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omments3.xml" ContentType="application/vnd.openxmlformats-officedocument.spreadsheetml.comments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omments4.xml" ContentType="application/vnd.openxmlformats-officedocument.spreadsheetml.comments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rsonal\Documents\Roberto\Trabajo\Consultoría AMT RTV\Productos\Segundo Entregable\"/>
    </mc:Choice>
  </mc:AlternateContent>
  <bookViews>
    <workbookView xWindow="0" yWindow="0" windowWidth="16815" windowHeight="7155" tabRatio="805" activeTab="18"/>
  </bookViews>
  <sheets>
    <sheet name="Condiciones" sheetId="32" r:id="rId1"/>
    <sheet name="Inflación" sheetId="9" r:id="rId2"/>
    <sheet name=" Vehículos 1" sheetId="37" r:id="rId3"/>
    <sheet name="Vehiculos" sheetId="36" state="hidden" r:id="rId4"/>
    <sheet name="Plan Inversiones" sheetId="7" r:id="rId5"/>
    <sheet name="Amort." sheetId="22" r:id="rId6"/>
    <sheet name="Inv.Rep." sheetId="16" r:id="rId7"/>
    <sheet name="Deprec." sheetId="18" r:id="rId8"/>
    <sheet name="Tarifa" sheetId="19" r:id="rId9"/>
    <sheet name="IVA+Itransacc" sheetId="31" r:id="rId10"/>
    <sheet name="Impuestos V." sheetId="34" r:id="rId11"/>
    <sheet name="Ing." sheetId="1" r:id="rId12"/>
    <sheet name="Egr." sheetId="4" r:id="rId13"/>
    <sheet name="PyG" sheetId="14" r:id="rId14"/>
    <sheet name="Flujo" sheetId="13" r:id="rId15"/>
    <sheet name="Evaluación" sheetId="15" r:id="rId16"/>
    <sheet name="Dist. Tarifa" sheetId="21" r:id="rId17"/>
    <sheet name="Evaluación (2)" sheetId="20" state="hidden" r:id="rId18"/>
    <sheet name="Resumen" sheetId="38" r:id="rId19"/>
  </sheets>
  <definedNames>
    <definedName name="_xlnm.Print_Area" localSheetId="0">Condiciones!$A$2:$P$4</definedName>
    <definedName name="_xlnm.Print_Area" localSheetId="1">Inflación!$A$2:$L$8</definedName>
    <definedName name="_xlnm.Print_Titles" localSheetId="5">Amort.!$2:$5</definedName>
    <definedName name="_xlnm.Print_Titles" localSheetId="0">Condiciones!$A:$A</definedName>
    <definedName name="_xlnm.Print_Titles" localSheetId="7">Deprec.!$2:$5</definedName>
    <definedName name="_xlnm.Print_Titles" localSheetId="16">'Dist. Tarifa'!$A:$B</definedName>
    <definedName name="_xlnm.Print_Titles" localSheetId="12">Egr.!$2:$5</definedName>
    <definedName name="_xlnm.Print_Titles" localSheetId="15">Evaluación!$A:$C</definedName>
    <definedName name="_xlnm.Print_Titles" localSheetId="17">'Evaluación (2)'!$A:$B</definedName>
    <definedName name="_xlnm.Print_Titles" localSheetId="14">Flujo!$A:$B</definedName>
    <definedName name="_xlnm.Print_Titles" localSheetId="10">'Impuestos V.'!$2:$5</definedName>
    <definedName name="_xlnm.Print_Titles" localSheetId="1">Inflación!$A:$B</definedName>
    <definedName name="_xlnm.Print_Titles" localSheetId="11">Ing.!$2:$5</definedName>
    <definedName name="_xlnm.Print_Titles" localSheetId="6">Inv.Rep.!$2:$5</definedName>
    <definedName name="_xlnm.Print_Titles" localSheetId="9">'IVA+Itransacc'!$2:$5</definedName>
    <definedName name="_xlnm.Print_Titles" localSheetId="4">'Plan Inversiones'!$2:$9</definedName>
    <definedName name="_xlnm.Print_Titles" localSheetId="13">PyG!$A:$B</definedName>
  </definedNames>
  <calcPr calcId="162913"/>
</workbook>
</file>

<file path=xl/calcChain.xml><?xml version="1.0" encoding="utf-8"?>
<calcChain xmlns="http://schemas.openxmlformats.org/spreadsheetml/2006/main">
  <c r="G25" i="19" l="1"/>
  <c r="G24" i="19"/>
  <c r="G23" i="19"/>
  <c r="G22" i="19"/>
  <c r="G21" i="19"/>
  <c r="G11" i="19"/>
  <c r="G10" i="19"/>
  <c r="G9" i="19"/>
  <c r="G8" i="19"/>
  <c r="G7" i="19"/>
  <c r="G6" i="19"/>
  <c r="F31" i="7" l="1"/>
  <c r="F44" i="37" l="1"/>
  <c r="G44" i="37" s="1"/>
  <c r="H44" i="37" s="1"/>
  <c r="I44" i="37" s="1"/>
  <c r="G45" i="37"/>
  <c r="H45" i="37" s="1"/>
  <c r="I45" i="37" s="1"/>
  <c r="F45" i="37"/>
  <c r="S10" i="37" l="1"/>
  <c r="S9" i="37"/>
  <c r="S8" i="37"/>
  <c r="O11" i="19"/>
  <c r="O10" i="19"/>
  <c r="O9" i="19"/>
  <c r="O8" i="19"/>
  <c r="O7" i="19"/>
  <c r="O6" i="19"/>
  <c r="A22" i="1"/>
  <c r="A26" i="1"/>
  <c r="C12" i="1"/>
  <c r="C36" i="32"/>
  <c r="E36" i="32"/>
  <c r="D38" i="32" l="1"/>
  <c r="E38" i="32" s="1"/>
  <c r="I37" i="32"/>
  <c r="G37" i="32"/>
  <c r="H37" i="32" s="1"/>
  <c r="J37" i="32" s="1"/>
  <c r="C37" i="32" s="1"/>
  <c r="I36" i="32"/>
  <c r="G36" i="32"/>
  <c r="H36" i="32" s="1"/>
  <c r="J36" i="32" s="1"/>
  <c r="D35" i="32"/>
  <c r="E35" i="32" s="1"/>
  <c r="D34" i="32"/>
  <c r="E34" i="32" s="1"/>
  <c r="B34" i="32" s="1"/>
  <c r="H33" i="32"/>
  <c r="G33" i="32"/>
  <c r="I33" i="32" s="1"/>
  <c r="J33" i="32" s="1"/>
  <c r="C33" i="32" s="1"/>
  <c r="H32" i="32"/>
  <c r="G32" i="32"/>
  <c r="I32" i="32" s="1"/>
  <c r="J32" i="32" s="1"/>
  <c r="C32" i="32" s="1"/>
  <c r="D32" i="32" l="1"/>
  <c r="E32" i="32" s="1"/>
  <c r="B32" i="32" s="1"/>
  <c r="D37" i="32"/>
  <c r="E37" i="32" s="1"/>
  <c r="B37" i="32" s="1"/>
  <c r="D33" i="32"/>
  <c r="E33" i="32" s="1"/>
  <c r="B33" i="32" s="1"/>
  <c r="D36" i="32"/>
  <c r="D13" i="7" l="1"/>
  <c r="D12" i="7"/>
  <c r="C6" i="37" l="1"/>
  <c r="R32" i="38"/>
  <c r="D96" i="4"/>
  <c r="E96" i="4" s="1"/>
  <c r="F96" i="4" l="1"/>
  <c r="C97" i="4"/>
  <c r="D97" i="4" l="1"/>
  <c r="C98" i="4"/>
  <c r="G96" i="4"/>
  <c r="B84" i="32"/>
  <c r="B83" i="32"/>
  <c r="B82" i="32"/>
  <c r="D98" i="4" l="1"/>
  <c r="H96" i="4"/>
  <c r="I5" i="19"/>
  <c r="I96" i="4" l="1"/>
  <c r="N4" i="34"/>
  <c r="M4" i="34"/>
  <c r="L4" i="34"/>
  <c r="L4" i="31"/>
  <c r="K4" i="31"/>
  <c r="J4" i="31"/>
  <c r="J96" i="4" l="1"/>
  <c r="D14" i="7"/>
  <c r="E5" i="9"/>
  <c r="F5" i="9" s="1"/>
  <c r="G5" i="9" s="1"/>
  <c r="H5" i="9" s="1"/>
  <c r="I5" i="9" s="1"/>
  <c r="J5" i="9" s="1"/>
  <c r="C10" i="4" l="1"/>
  <c r="D17" i="7"/>
  <c r="D21" i="7"/>
  <c r="D22" i="7" s="1"/>
  <c r="K96" i="4"/>
  <c r="B75" i="32"/>
  <c r="B74" i="32"/>
  <c r="B73" i="32"/>
  <c r="B72" i="32"/>
  <c r="B70" i="32"/>
  <c r="L96" i="4" l="1"/>
  <c r="U12" i="38"/>
  <c r="U4" i="38"/>
  <c r="T14" i="38"/>
  <c r="T13" i="38"/>
  <c r="T12" i="38"/>
  <c r="T10" i="38"/>
  <c r="T9" i="38"/>
  <c r="T8" i="38"/>
  <c r="T7" i="38"/>
  <c r="T6" i="38"/>
  <c r="T4" i="38"/>
  <c r="Q28" i="38" l="1"/>
  <c r="Q29" i="38"/>
  <c r="Q30" i="38"/>
  <c r="Q32" i="38"/>
  <c r="Q16" i="38" l="1"/>
  <c r="Q18" i="38"/>
  <c r="Q19" i="38"/>
  <c r="Q20" i="38"/>
  <c r="Q21" i="38"/>
  <c r="Q22" i="38"/>
  <c r="Q23" i="38"/>
  <c r="Q26" i="38"/>
  <c r="Q6" i="38"/>
  <c r="Q8" i="38"/>
  <c r="Q9" i="38"/>
  <c r="Q10" i="38"/>
  <c r="Q11" i="38"/>
  <c r="Q12" i="38"/>
  <c r="Q13" i="38"/>
  <c r="Q14" i="38"/>
  <c r="Q4" i="38"/>
  <c r="N5" i="38"/>
  <c r="N6" i="38"/>
  <c r="N7" i="38"/>
  <c r="N8" i="38"/>
  <c r="L5" i="38"/>
  <c r="L6" i="38"/>
  <c r="L7" i="38"/>
  <c r="L8" i="38"/>
  <c r="N4" i="38"/>
  <c r="L4" i="38"/>
  <c r="J4" i="38"/>
  <c r="I4" i="38"/>
  <c r="B8" i="38"/>
  <c r="B7" i="38"/>
  <c r="B6" i="38"/>
  <c r="B5" i="38"/>
  <c r="B4" i="38"/>
  <c r="E6" i="38"/>
  <c r="E8" i="38"/>
  <c r="E9" i="38"/>
  <c r="E10" i="38"/>
  <c r="E11" i="38"/>
  <c r="E12" i="38"/>
  <c r="E13" i="38"/>
  <c r="E14" i="38"/>
  <c r="E16" i="38"/>
  <c r="E18" i="38"/>
  <c r="E19" i="38"/>
  <c r="E20" i="38"/>
  <c r="E21" i="38"/>
  <c r="E22" i="38"/>
  <c r="E23" i="38"/>
  <c r="E4" i="38"/>
  <c r="D170" i="4" l="1"/>
  <c r="A170" i="4"/>
  <c r="C73" i="4"/>
  <c r="D73" i="4" s="1"/>
  <c r="A73" i="4"/>
  <c r="K5" i="9" l="1"/>
  <c r="L5" i="9" s="1"/>
  <c r="M5" i="9" s="1"/>
  <c r="E8" i="9"/>
  <c r="E9" i="9"/>
  <c r="F9" i="9" s="1"/>
  <c r="G9" i="9" s="1"/>
  <c r="H9" i="9" s="1"/>
  <c r="I9" i="9" s="1"/>
  <c r="J9" i="9" s="1"/>
  <c r="K9" i="9" s="1"/>
  <c r="L9" i="9" s="1"/>
  <c r="M9" i="9" s="1"/>
  <c r="E40" i="16"/>
  <c r="L11" i="16"/>
  <c r="L12" i="16"/>
  <c r="L13" i="16"/>
  <c r="L14" i="16"/>
  <c r="L15" i="16"/>
  <c r="L19" i="16"/>
  <c r="L10" i="16"/>
  <c r="K12" i="16"/>
  <c r="K13" i="16"/>
  <c r="K14" i="16"/>
  <c r="K15" i="16"/>
  <c r="K19" i="16"/>
  <c r="K10" i="16"/>
  <c r="J12" i="16"/>
  <c r="J13" i="16"/>
  <c r="J14" i="16"/>
  <c r="J15" i="16"/>
  <c r="J19" i="16"/>
  <c r="J10" i="16"/>
  <c r="C47" i="14"/>
  <c r="E28" i="7"/>
  <c r="E44" i="16" l="1"/>
  <c r="E97" i="4"/>
  <c r="E43" i="16"/>
  <c r="E38" i="16"/>
  <c r="E170" i="4"/>
  <c r="E73" i="4"/>
  <c r="E46" i="16"/>
  <c r="E42" i="16"/>
  <c r="E45" i="16"/>
  <c r="E41" i="16"/>
  <c r="F8" i="9"/>
  <c r="C157" i="4"/>
  <c r="C158" i="4"/>
  <c r="C159" i="4"/>
  <c r="C160" i="4"/>
  <c r="C161" i="4"/>
  <c r="C162" i="4"/>
  <c r="C163" i="4"/>
  <c r="C164" i="4"/>
  <c r="C165" i="4"/>
  <c r="C166" i="4"/>
  <c r="C167" i="4"/>
  <c r="C168" i="4"/>
  <c r="C169" i="4"/>
  <c r="C156" i="4"/>
  <c r="C142" i="4"/>
  <c r="C137" i="4"/>
  <c r="C127" i="4"/>
  <c r="C122" i="4"/>
  <c r="C117" i="4"/>
  <c r="C112" i="4"/>
  <c r="D112" i="4" s="1"/>
  <c r="E112" i="4" s="1"/>
  <c r="C107" i="4"/>
  <c r="C102" i="4"/>
  <c r="C92" i="4"/>
  <c r="C152" i="4"/>
  <c r="C147" i="4"/>
  <c r="C132" i="4"/>
  <c r="C72" i="4"/>
  <c r="C71" i="4"/>
  <c r="C63" i="4"/>
  <c r="C57" i="4"/>
  <c r="C52" i="4"/>
  <c r="C47" i="4"/>
  <c r="C42" i="4"/>
  <c r="C37" i="4"/>
  <c r="C32" i="4"/>
  <c r="C27" i="4"/>
  <c r="C21" i="4"/>
  <c r="C13" i="4"/>
  <c r="C70" i="4"/>
  <c r="C69" i="4"/>
  <c r="C68" i="4"/>
  <c r="C67" i="4"/>
  <c r="F97" i="4" l="1"/>
  <c r="E98" i="4"/>
  <c r="F42" i="16"/>
  <c r="G8" i="9"/>
  <c r="F44" i="16"/>
  <c r="G44" i="16" s="1"/>
  <c r="F38" i="16"/>
  <c r="G38" i="16" s="1"/>
  <c r="F112" i="4"/>
  <c r="G112" i="4" s="1"/>
  <c r="F41" i="16"/>
  <c r="G41" i="16" s="1"/>
  <c r="F46" i="16"/>
  <c r="G46" i="16" s="1"/>
  <c r="F43" i="16"/>
  <c r="G43" i="16" s="1"/>
  <c r="F45" i="16"/>
  <c r="G45" i="16" s="1"/>
  <c r="F73" i="4"/>
  <c r="G73" i="4" s="1"/>
  <c r="F40" i="16"/>
  <c r="G40" i="16" s="1"/>
  <c r="F170" i="4"/>
  <c r="G170" i="4" s="1"/>
  <c r="C171" i="4"/>
  <c r="C74" i="4"/>
  <c r="G97" i="4" l="1"/>
  <c r="F98" i="4"/>
  <c r="H8" i="9"/>
  <c r="I8" i="9" s="1"/>
  <c r="J8" i="9" s="1"/>
  <c r="G42" i="16"/>
  <c r="E13" i="7"/>
  <c r="H97" i="4" l="1"/>
  <c r="G98" i="4"/>
  <c r="H41" i="16"/>
  <c r="I41" i="16" s="1"/>
  <c r="J41" i="16" s="1"/>
  <c r="K41" i="16" s="1"/>
  <c r="L41" i="16" s="1"/>
  <c r="M41" i="16" s="1"/>
  <c r="H43" i="16"/>
  <c r="I43" i="16" s="1"/>
  <c r="J43" i="16" s="1"/>
  <c r="H42" i="16"/>
  <c r="I42" i="16" s="1"/>
  <c r="J42" i="16" s="1"/>
  <c r="H44" i="16"/>
  <c r="I44" i="16" s="1"/>
  <c r="J44" i="16" s="1"/>
  <c r="K8" i="9"/>
  <c r="L8" i="9" s="1"/>
  <c r="M8" i="9" s="1"/>
  <c r="H170" i="4"/>
  <c r="I170" i="4" s="1"/>
  <c r="J170" i="4" s="1"/>
  <c r="H73" i="4"/>
  <c r="I73" i="4" s="1"/>
  <c r="J73" i="4" s="1"/>
  <c r="H40" i="16"/>
  <c r="I40" i="16" s="1"/>
  <c r="J40" i="16" s="1"/>
  <c r="K40" i="16" s="1"/>
  <c r="L40" i="16" s="1"/>
  <c r="M40" i="16" s="1"/>
  <c r="H46" i="16"/>
  <c r="I46" i="16" s="1"/>
  <c r="J46" i="16" s="1"/>
  <c r="K46" i="16" s="1"/>
  <c r="L46" i="16" s="1"/>
  <c r="M46" i="16" s="1"/>
  <c r="H112" i="4"/>
  <c r="I112" i="4" s="1"/>
  <c r="J112" i="4" s="1"/>
  <c r="K112" i="4" s="1"/>
  <c r="L112" i="4" s="1"/>
  <c r="H38" i="16"/>
  <c r="I38" i="16" s="1"/>
  <c r="J38" i="16" s="1"/>
  <c r="H45" i="16"/>
  <c r="I45" i="16" s="1"/>
  <c r="J45" i="16" s="1"/>
  <c r="F71" i="7"/>
  <c r="A14" i="13"/>
  <c r="F18" i="34"/>
  <c r="G18" i="34"/>
  <c r="H18" i="34"/>
  <c r="I18" i="34"/>
  <c r="J18" i="34"/>
  <c r="K18" i="34"/>
  <c r="L18" i="34"/>
  <c r="M18" i="34"/>
  <c r="N18" i="34"/>
  <c r="H57" i="14"/>
  <c r="I57" i="14"/>
  <c r="J57" i="14"/>
  <c r="K57" i="14"/>
  <c r="L57" i="14"/>
  <c r="I97" i="4" l="1"/>
  <c r="H98" i="4"/>
  <c r="K43" i="16"/>
  <c r="L43" i="16" s="1"/>
  <c r="M43" i="16" s="1"/>
  <c r="K38" i="16"/>
  <c r="L38" i="16" s="1"/>
  <c r="M38" i="16" s="1"/>
  <c r="K44" i="16"/>
  <c r="L44" i="16" s="1"/>
  <c r="M44" i="16" s="1"/>
  <c r="K73" i="4"/>
  <c r="L73" i="4" s="1"/>
  <c r="K170" i="4"/>
  <c r="L170" i="4" s="1"/>
  <c r="K42" i="16"/>
  <c r="L42" i="16" s="1"/>
  <c r="M42" i="16" s="1"/>
  <c r="K45" i="16"/>
  <c r="L45" i="16" s="1"/>
  <c r="M45" i="16" s="1"/>
  <c r="J97" i="4" l="1"/>
  <c r="I98" i="4"/>
  <c r="C41" i="19"/>
  <c r="D41" i="19" s="1"/>
  <c r="E41" i="19" s="1"/>
  <c r="F41" i="19" s="1"/>
  <c r="G41" i="19" s="1"/>
  <c r="H41" i="19" s="1"/>
  <c r="I41" i="19" s="1"/>
  <c r="J41" i="19" s="1"/>
  <c r="K41" i="19" s="1"/>
  <c r="L41" i="19" s="1"/>
  <c r="M41" i="19" s="1"/>
  <c r="N41" i="19" s="1"/>
  <c r="O41" i="19" s="1"/>
  <c r="P41" i="19" s="1"/>
  <c r="C31" i="19"/>
  <c r="K97" i="4" l="1"/>
  <c r="J98" i="4"/>
  <c r="D31" i="19"/>
  <c r="L97" i="4" l="1"/>
  <c r="L98" i="4" s="1"/>
  <c r="K98" i="4"/>
  <c r="E31" i="19"/>
  <c r="F31" i="19" l="1"/>
  <c r="G31" i="19" l="1"/>
  <c r="H31" i="19" l="1"/>
  <c r="I31" i="19" l="1"/>
  <c r="J31" i="19" l="1"/>
  <c r="K31" i="19" l="1"/>
  <c r="L31" i="19" l="1"/>
  <c r="M31" i="19" l="1"/>
  <c r="N31" i="19" l="1"/>
  <c r="O31" i="19" s="1"/>
  <c r="P31" i="19" s="1"/>
  <c r="A88" i="4" l="1"/>
  <c r="E12" i="7" l="1"/>
  <c r="D12" i="16" l="1"/>
  <c r="A12" i="16"/>
  <c r="A32" i="16" s="1"/>
  <c r="E10" i="16"/>
  <c r="F10" i="16"/>
  <c r="G10" i="16"/>
  <c r="E15" i="16"/>
  <c r="F15" i="16"/>
  <c r="G15" i="16"/>
  <c r="G11" i="18" s="1"/>
  <c r="J11" i="18"/>
  <c r="K11" i="18"/>
  <c r="E19" i="16"/>
  <c r="E39" i="16" s="1"/>
  <c r="F19" i="16"/>
  <c r="G19" i="16"/>
  <c r="D10" i="16"/>
  <c r="D11" i="16"/>
  <c r="D13" i="16"/>
  <c r="D14" i="16"/>
  <c r="D15" i="16"/>
  <c r="D16" i="16"/>
  <c r="D17" i="16"/>
  <c r="D18" i="16"/>
  <c r="D19" i="16"/>
  <c r="D20" i="16"/>
  <c r="D21" i="16"/>
  <c r="D22" i="16"/>
  <c r="D23" i="16"/>
  <c r="D24" i="16"/>
  <c r="D25" i="16"/>
  <c r="D26" i="16"/>
  <c r="D35" i="37"/>
  <c r="D34" i="37"/>
  <c r="E5" i="19"/>
  <c r="E14" i="7"/>
  <c r="C19" i="37"/>
  <c r="D18" i="37"/>
  <c r="E18" i="37" s="1"/>
  <c r="F17" i="37"/>
  <c r="C13" i="37"/>
  <c r="D16" i="1" s="1"/>
  <c r="E26" i="1" s="1"/>
  <c r="D12" i="37"/>
  <c r="E12" i="37" s="1"/>
  <c r="F11" i="37"/>
  <c r="E17" i="7"/>
  <c r="E15" i="7"/>
  <c r="D12" i="1" l="1"/>
  <c r="E22" i="1" s="1"/>
  <c r="G17" i="37"/>
  <c r="H17" i="37" s="1"/>
  <c r="I17" i="37" s="1"/>
  <c r="J17" i="37" s="1"/>
  <c r="K17" i="37" s="1"/>
  <c r="L17" i="37" s="1"/>
  <c r="M17" i="37" s="1"/>
  <c r="N17" i="37" s="1"/>
  <c r="O17" i="37" s="1"/>
  <c r="D14" i="1"/>
  <c r="E24" i="1" s="1"/>
  <c r="D15" i="1"/>
  <c r="E25" i="1" s="1"/>
  <c r="F39" i="16"/>
  <c r="G39" i="16" s="1"/>
  <c r="F11" i="18"/>
  <c r="E11" i="18"/>
  <c r="D10" i="18"/>
  <c r="J10" i="18"/>
  <c r="G10" i="18"/>
  <c r="E10" i="18"/>
  <c r="D11" i="18"/>
  <c r="K10" i="18"/>
  <c r="F10" i="18"/>
  <c r="C43" i="37"/>
  <c r="C44" i="37"/>
  <c r="F14" i="7"/>
  <c r="C12" i="16" s="1"/>
  <c r="F18" i="37"/>
  <c r="D13" i="37"/>
  <c r="E16" i="1" s="1"/>
  <c r="G11" i="37"/>
  <c r="H11" i="37" s="1"/>
  <c r="I11" i="37" s="1"/>
  <c r="J11" i="37" s="1"/>
  <c r="K11" i="37" s="1"/>
  <c r="L11" i="37" s="1"/>
  <c r="M11" i="37" s="1"/>
  <c r="N11" i="37" s="1"/>
  <c r="O11" i="37" s="1"/>
  <c r="F12" i="37"/>
  <c r="E19" i="37"/>
  <c r="D19" i="37"/>
  <c r="G18" i="37" l="1"/>
  <c r="H18" i="37" s="1"/>
  <c r="I18" i="37" s="1"/>
  <c r="J18" i="37" s="1"/>
  <c r="K18" i="37" s="1"/>
  <c r="L18" i="37" s="1"/>
  <c r="M18" i="37" s="1"/>
  <c r="N18" i="37" s="1"/>
  <c r="O18" i="37" s="1"/>
  <c r="D32" i="16"/>
  <c r="E32" i="16" s="1"/>
  <c r="F32" i="16" s="1"/>
  <c r="G32" i="16" s="1"/>
  <c r="I12" i="16"/>
  <c r="M12" i="16"/>
  <c r="H12" i="16"/>
  <c r="E14" i="1"/>
  <c r="E15" i="1"/>
  <c r="F15" i="1"/>
  <c r="F14" i="1"/>
  <c r="C45" i="37"/>
  <c r="G12" i="37"/>
  <c r="E13" i="37"/>
  <c r="F16" i="1" s="1"/>
  <c r="F19" i="37"/>
  <c r="D165" i="4"/>
  <c r="E165" i="4" s="1"/>
  <c r="F165" i="4" s="1"/>
  <c r="G165" i="4" s="1"/>
  <c r="H165" i="4" s="1"/>
  <c r="I165" i="4" s="1"/>
  <c r="J165" i="4" s="1"/>
  <c r="K165" i="4" s="1"/>
  <c r="L165" i="4" s="1"/>
  <c r="D163" i="4"/>
  <c r="E163" i="4" s="1"/>
  <c r="F163" i="4" s="1"/>
  <c r="G163" i="4" s="1"/>
  <c r="H163" i="4" s="1"/>
  <c r="I163" i="4" s="1"/>
  <c r="J163" i="4" s="1"/>
  <c r="K163" i="4" s="1"/>
  <c r="L163" i="4" s="1"/>
  <c r="D162" i="4"/>
  <c r="E162" i="4" s="1"/>
  <c r="F162" i="4" s="1"/>
  <c r="G162" i="4" s="1"/>
  <c r="H162" i="4" s="1"/>
  <c r="I162" i="4" s="1"/>
  <c r="J162" i="4" s="1"/>
  <c r="K162" i="4" s="1"/>
  <c r="L162" i="4" s="1"/>
  <c r="D161" i="4"/>
  <c r="E161" i="4" s="1"/>
  <c r="F161" i="4" s="1"/>
  <c r="G161" i="4" s="1"/>
  <c r="H161" i="4" s="1"/>
  <c r="I161" i="4" s="1"/>
  <c r="J161" i="4" s="1"/>
  <c r="K161" i="4" s="1"/>
  <c r="L161" i="4" s="1"/>
  <c r="D160" i="4"/>
  <c r="E160" i="4" s="1"/>
  <c r="F160" i="4" s="1"/>
  <c r="G160" i="4" s="1"/>
  <c r="H160" i="4" s="1"/>
  <c r="I160" i="4" s="1"/>
  <c r="J160" i="4" s="1"/>
  <c r="K160" i="4" s="1"/>
  <c r="L160" i="4" s="1"/>
  <c r="D159" i="4"/>
  <c r="E159" i="4" s="1"/>
  <c r="F159" i="4" s="1"/>
  <c r="G159" i="4" s="1"/>
  <c r="H159" i="4" s="1"/>
  <c r="I159" i="4" s="1"/>
  <c r="J159" i="4" s="1"/>
  <c r="K159" i="4" s="1"/>
  <c r="L159" i="4" s="1"/>
  <c r="D158" i="4"/>
  <c r="E158" i="4" s="1"/>
  <c r="F158" i="4" s="1"/>
  <c r="G158" i="4" s="1"/>
  <c r="H158" i="4" s="1"/>
  <c r="I158" i="4" s="1"/>
  <c r="J158" i="4" s="1"/>
  <c r="K158" i="4" s="1"/>
  <c r="L158" i="4" s="1"/>
  <c r="D157" i="4"/>
  <c r="E157" i="4" s="1"/>
  <c r="F157" i="4" s="1"/>
  <c r="G157" i="4" s="1"/>
  <c r="H157" i="4" s="1"/>
  <c r="I157" i="4" s="1"/>
  <c r="J157" i="4" s="1"/>
  <c r="K157" i="4" s="1"/>
  <c r="L157" i="4" s="1"/>
  <c r="C153" i="4"/>
  <c r="C148" i="4"/>
  <c r="C143" i="4"/>
  <c r="C138" i="4"/>
  <c r="C133" i="4"/>
  <c r="C128" i="4"/>
  <c r="C123" i="4"/>
  <c r="C118" i="4"/>
  <c r="C113" i="4"/>
  <c r="C108" i="4"/>
  <c r="C103" i="4"/>
  <c r="C93" i="4"/>
  <c r="E20" i="19"/>
  <c r="D6" i="19"/>
  <c r="B59" i="19" s="1"/>
  <c r="D10" i="4"/>
  <c r="E10" i="4" s="1"/>
  <c r="F10" i="4" s="1"/>
  <c r="G10" i="4" s="1"/>
  <c r="H10" i="4" s="1"/>
  <c r="I10" i="4" s="1"/>
  <c r="J10" i="4" s="1"/>
  <c r="K10" i="4" s="1"/>
  <c r="L10" i="4" s="1"/>
  <c r="C48" i="4"/>
  <c r="C33" i="4"/>
  <c r="C28" i="4"/>
  <c r="E18" i="34"/>
  <c r="D5" i="37"/>
  <c r="G38" i="21"/>
  <c r="H38" i="21"/>
  <c r="I38" i="21"/>
  <c r="J38" i="21"/>
  <c r="K38" i="21"/>
  <c r="D70" i="4"/>
  <c r="D68" i="4"/>
  <c r="E68" i="4" s="1"/>
  <c r="F68" i="4" s="1"/>
  <c r="G68" i="4" s="1"/>
  <c r="H68" i="4" s="1"/>
  <c r="I68" i="4" s="1"/>
  <c r="J68" i="4" s="1"/>
  <c r="K68" i="4" s="1"/>
  <c r="L68" i="4" s="1"/>
  <c r="D67" i="4"/>
  <c r="E4" i="37"/>
  <c r="C35" i="36"/>
  <c r="D35" i="36" s="1"/>
  <c r="C34" i="36"/>
  <c r="D34" i="36" s="1"/>
  <c r="C33" i="36"/>
  <c r="D33" i="36" s="1"/>
  <c r="C29" i="36"/>
  <c r="D29" i="36" s="1"/>
  <c r="C28" i="36"/>
  <c r="D28" i="36" s="1"/>
  <c r="C27" i="36"/>
  <c r="D27" i="36" s="1"/>
  <c r="C26" i="36"/>
  <c r="D26" i="36" s="1"/>
  <c r="C25" i="36"/>
  <c r="D25" i="36" s="1"/>
  <c r="C21" i="36"/>
  <c r="K3" i="36"/>
  <c r="L3" i="36"/>
  <c r="M3" i="36"/>
  <c r="N3" i="36"/>
  <c r="O3" i="36"/>
  <c r="P3" i="36"/>
  <c r="Q3" i="36"/>
  <c r="R3" i="36"/>
  <c r="J3" i="36"/>
  <c r="F4" i="36"/>
  <c r="J4" i="36" s="1"/>
  <c r="K4" i="36" s="1"/>
  <c r="L4" i="36" s="1"/>
  <c r="M4" i="36" s="1"/>
  <c r="N4" i="36" s="1"/>
  <c r="O4" i="36" s="1"/>
  <c r="P4" i="36" s="1"/>
  <c r="Q4" i="36" s="1"/>
  <c r="R4" i="36" s="1"/>
  <c r="E4" i="36"/>
  <c r="D11" i="36"/>
  <c r="D20" i="36"/>
  <c r="D19" i="36"/>
  <c r="D18" i="36"/>
  <c r="D17" i="36"/>
  <c r="D16" i="36"/>
  <c r="E16" i="36"/>
  <c r="F16" i="36" s="1"/>
  <c r="D15" i="36"/>
  <c r="D14" i="36"/>
  <c r="D13" i="36"/>
  <c r="E13" i="36"/>
  <c r="F13" i="36" s="1"/>
  <c r="D12" i="36"/>
  <c r="D10" i="36"/>
  <c r="D9" i="36"/>
  <c r="D8" i="36"/>
  <c r="E8" i="36" s="1"/>
  <c r="D7" i="36"/>
  <c r="D6" i="36"/>
  <c r="D5" i="36"/>
  <c r="E5" i="36" s="1"/>
  <c r="D24" i="13"/>
  <c r="D25" i="13" s="1"/>
  <c r="B139" i="22"/>
  <c r="D146" i="22" s="1"/>
  <c r="B126" i="22"/>
  <c r="D133" i="22" s="1"/>
  <c r="B113" i="22"/>
  <c r="D120" i="22" s="1"/>
  <c r="B100" i="22"/>
  <c r="D107" i="22" s="1"/>
  <c r="B87" i="22"/>
  <c r="D94" i="22" s="1"/>
  <c r="B74" i="22"/>
  <c r="D81" i="22" s="1"/>
  <c r="B61" i="22"/>
  <c r="D68" i="22" s="1"/>
  <c r="B48" i="22"/>
  <c r="D55" i="22" s="1"/>
  <c r="B35" i="22"/>
  <c r="D42" i="22" s="1"/>
  <c r="B22" i="22"/>
  <c r="B9" i="22"/>
  <c r="E163" i="1"/>
  <c r="F163" i="1" s="1"/>
  <c r="G163" i="1" s="1"/>
  <c r="H163" i="1" s="1"/>
  <c r="I163" i="1" s="1"/>
  <c r="J163" i="1" s="1"/>
  <c r="K163" i="1" s="1"/>
  <c r="L163" i="1" s="1"/>
  <c r="M163" i="1" s="1"/>
  <c r="N163" i="1" s="1"/>
  <c r="E162" i="1"/>
  <c r="F162" i="1" s="1"/>
  <c r="G162" i="1" s="1"/>
  <c r="H162" i="1" s="1"/>
  <c r="I162" i="1" s="1"/>
  <c r="J162" i="1" s="1"/>
  <c r="K162" i="1" s="1"/>
  <c r="L162" i="1" s="1"/>
  <c r="M162" i="1" s="1"/>
  <c r="N162" i="1" s="1"/>
  <c r="E161" i="1"/>
  <c r="F161" i="1" s="1"/>
  <c r="G161" i="1" s="1"/>
  <c r="H161" i="1" s="1"/>
  <c r="I161" i="1" s="1"/>
  <c r="J161" i="1" s="1"/>
  <c r="K161" i="1" s="1"/>
  <c r="L161" i="1" s="1"/>
  <c r="M161" i="1" s="1"/>
  <c r="N161" i="1" s="1"/>
  <c r="E160" i="1"/>
  <c r="F160" i="1" s="1"/>
  <c r="G160" i="1" s="1"/>
  <c r="H160" i="1" s="1"/>
  <c r="I160" i="1" s="1"/>
  <c r="J160" i="1" s="1"/>
  <c r="K160" i="1" s="1"/>
  <c r="L160" i="1" s="1"/>
  <c r="M160" i="1" s="1"/>
  <c r="N160" i="1" s="1"/>
  <c r="E159" i="1"/>
  <c r="F159" i="1" s="1"/>
  <c r="G159" i="1" s="1"/>
  <c r="H159" i="1" s="1"/>
  <c r="I159" i="1" s="1"/>
  <c r="J159" i="1" s="1"/>
  <c r="K159" i="1" s="1"/>
  <c r="L159" i="1" s="1"/>
  <c r="M159" i="1" s="1"/>
  <c r="N159" i="1" s="1"/>
  <c r="E131" i="1"/>
  <c r="F131" i="1" s="1"/>
  <c r="G131" i="1" s="1"/>
  <c r="H131" i="1" s="1"/>
  <c r="I131" i="1" s="1"/>
  <c r="J131" i="1" s="1"/>
  <c r="K131" i="1" s="1"/>
  <c r="L131" i="1" s="1"/>
  <c r="M131" i="1" s="1"/>
  <c r="N131" i="1" s="1"/>
  <c r="E130" i="1"/>
  <c r="F130" i="1" s="1"/>
  <c r="G130" i="1" s="1"/>
  <c r="H130" i="1" s="1"/>
  <c r="I130" i="1" s="1"/>
  <c r="J130" i="1" s="1"/>
  <c r="K130" i="1" s="1"/>
  <c r="L130" i="1" s="1"/>
  <c r="M130" i="1" s="1"/>
  <c r="N130" i="1" s="1"/>
  <c r="E129" i="1"/>
  <c r="F129" i="1" s="1"/>
  <c r="G129" i="1" s="1"/>
  <c r="H129" i="1" s="1"/>
  <c r="I129" i="1" s="1"/>
  <c r="J129" i="1" s="1"/>
  <c r="K129" i="1" s="1"/>
  <c r="L129" i="1" s="1"/>
  <c r="M129" i="1" s="1"/>
  <c r="N129" i="1" s="1"/>
  <c r="E128" i="1"/>
  <c r="F128" i="1" s="1"/>
  <c r="G128" i="1" s="1"/>
  <c r="H128" i="1" s="1"/>
  <c r="I128" i="1" s="1"/>
  <c r="J128" i="1" s="1"/>
  <c r="K128" i="1" s="1"/>
  <c r="L128" i="1" s="1"/>
  <c r="M128" i="1" s="1"/>
  <c r="N128" i="1" s="1"/>
  <c r="E127" i="1"/>
  <c r="F127" i="1" s="1"/>
  <c r="G127" i="1" s="1"/>
  <c r="H127" i="1" s="1"/>
  <c r="I127" i="1" s="1"/>
  <c r="J127" i="1" s="1"/>
  <c r="K127" i="1" s="1"/>
  <c r="L127" i="1" s="1"/>
  <c r="M127" i="1" s="1"/>
  <c r="N127" i="1" s="1"/>
  <c r="E99" i="1"/>
  <c r="F99" i="1" s="1"/>
  <c r="G99" i="1" s="1"/>
  <c r="H99" i="1" s="1"/>
  <c r="I99" i="1" s="1"/>
  <c r="J99" i="1" s="1"/>
  <c r="K99" i="1" s="1"/>
  <c r="L99" i="1" s="1"/>
  <c r="M99" i="1" s="1"/>
  <c r="N99" i="1" s="1"/>
  <c r="E98" i="1"/>
  <c r="F98" i="1" s="1"/>
  <c r="G98" i="1" s="1"/>
  <c r="H98" i="1" s="1"/>
  <c r="I98" i="1" s="1"/>
  <c r="J98" i="1" s="1"/>
  <c r="K98" i="1" s="1"/>
  <c r="L98" i="1" s="1"/>
  <c r="M98" i="1" s="1"/>
  <c r="N98" i="1" s="1"/>
  <c r="E97" i="1"/>
  <c r="F97" i="1" s="1"/>
  <c r="G97" i="1" s="1"/>
  <c r="H97" i="1" s="1"/>
  <c r="I97" i="1" s="1"/>
  <c r="J97" i="1" s="1"/>
  <c r="K97" i="1" s="1"/>
  <c r="L97" i="1" s="1"/>
  <c r="M97" i="1" s="1"/>
  <c r="N97" i="1" s="1"/>
  <c r="E96" i="1"/>
  <c r="F96" i="1" s="1"/>
  <c r="G96" i="1" s="1"/>
  <c r="H96" i="1" s="1"/>
  <c r="I96" i="1" s="1"/>
  <c r="J96" i="1" s="1"/>
  <c r="K96" i="1" s="1"/>
  <c r="L96" i="1" s="1"/>
  <c r="M96" i="1" s="1"/>
  <c r="N96" i="1" s="1"/>
  <c r="E95" i="1"/>
  <c r="F95" i="1" s="1"/>
  <c r="G95" i="1" s="1"/>
  <c r="H95" i="1" s="1"/>
  <c r="I95" i="1" s="1"/>
  <c r="J95" i="1" s="1"/>
  <c r="K95" i="1" s="1"/>
  <c r="L95" i="1" s="1"/>
  <c r="M95" i="1" s="1"/>
  <c r="N95" i="1" s="1"/>
  <c r="E62" i="1"/>
  <c r="F62" i="1" s="1"/>
  <c r="G62" i="1" s="1"/>
  <c r="H62" i="1" s="1"/>
  <c r="I62" i="1" s="1"/>
  <c r="J62" i="1" s="1"/>
  <c r="K62" i="1" s="1"/>
  <c r="L62" i="1" s="1"/>
  <c r="M62" i="1" s="1"/>
  <c r="N62" i="1" s="1"/>
  <c r="E61" i="1"/>
  <c r="F61" i="1" s="1"/>
  <c r="G61" i="1" s="1"/>
  <c r="H61" i="1" s="1"/>
  <c r="I61" i="1" s="1"/>
  <c r="J61" i="1" s="1"/>
  <c r="K61" i="1" s="1"/>
  <c r="L61" i="1" s="1"/>
  <c r="M61" i="1" s="1"/>
  <c r="N61" i="1" s="1"/>
  <c r="E60" i="1"/>
  <c r="F60" i="1" s="1"/>
  <c r="G60" i="1" s="1"/>
  <c r="H60" i="1" s="1"/>
  <c r="I60" i="1" s="1"/>
  <c r="J60" i="1" s="1"/>
  <c r="K60" i="1" s="1"/>
  <c r="L60" i="1" s="1"/>
  <c r="M60" i="1" s="1"/>
  <c r="N60" i="1" s="1"/>
  <c r="E59" i="1"/>
  <c r="F59" i="1" s="1"/>
  <c r="G59" i="1" s="1"/>
  <c r="H59" i="1" s="1"/>
  <c r="I59" i="1" s="1"/>
  <c r="J59" i="1" s="1"/>
  <c r="K59" i="1" s="1"/>
  <c r="L59" i="1" s="1"/>
  <c r="M59" i="1" s="1"/>
  <c r="N59" i="1" s="1"/>
  <c r="E58" i="1"/>
  <c r="F58" i="1" s="1"/>
  <c r="G58" i="1" s="1"/>
  <c r="H58" i="1" s="1"/>
  <c r="I58" i="1" s="1"/>
  <c r="J58" i="1" s="1"/>
  <c r="K58" i="1" s="1"/>
  <c r="L58" i="1" s="1"/>
  <c r="M58" i="1" s="1"/>
  <c r="N58" i="1" s="1"/>
  <c r="E57" i="1"/>
  <c r="F57" i="1" s="1"/>
  <c r="G57" i="1" s="1"/>
  <c r="H57" i="1" s="1"/>
  <c r="I57" i="1" s="1"/>
  <c r="J57" i="1" s="1"/>
  <c r="K57" i="1" s="1"/>
  <c r="L57" i="1" s="1"/>
  <c r="M57" i="1" s="1"/>
  <c r="N57" i="1" s="1"/>
  <c r="E44" i="1"/>
  <c r="E43" i="1"/>
  <c r="E42" i="1"/>
  <c r="E41" i="1"/>
  <c r="E40" i="1"/>
  <c r="F32" i="1"/>
  <c r="F33" i="1"/>
  <c r="F34" i="1"/>
  <c r="F35" i="1"/>
  <c r="F31" i="1"/>
  <c r="G31" i="1" s="1"/>
  <c r="H31" i="1" s="1"/>
  <c r="I31" i="1" s="1"/>
  <c r="J31" i="1" s="1"/>
  <c r="K31" i="1" s="1"/>
  <c r="L31" i="1" s="1"/>
  <c r="M31" i="1" s="1"/>
  <c r="N31" i="1" s="1"/>
  <c r="B33" i="21"/>
  <c r="C54" i="16"/>
  <c r="C40" i="14" s="1"/>
  <c r="C43" i="4"/>
  <c r="C38" i="4"/>
  <c r="D14" i="21"/>
  <c r="D24" i="21" s="1"/>
  <c r="D47" i="21" s="1"/>
  <c r="E14" i="21"/>
  <c r="E24" i="21" s="1"/>
  <c r="E47" i="21" s="1"/>
  <c r="F14" i="21"/>
  <c r="F24" i="21" s="1"/>
  <c r="F47" i="21" s="1"/>
  <c r="G14" i="21"/>
  <c r="G24" i="21" s="1"/>
  <c r="G47" i="21" s="1"/>
  <c r="H14" i="21"/>
  <c r="H24" i="21" s="1"/>
  <c r="H47" i="21" s="1"/>
  <c r="I14" i="21"/>
  <c r="I24" i="21" s="1"/>
  <c r="I47" i="21" s="1"/>
  <c r="J14" i="21"/>
  <c r="J24" i="21" s="1"/>
  <c r="J47" i="21" s="1"/>
  <c r="K14" i="21"/>
  <c r="K24" i="21" s="1"/>
  <c r="K47" i="21" s="1"/>
  <c r="C14" i="21"/>
  <c r="C24" i="21" s="1"/>
  <c r="C47" i="21" s="1"/>
  <c r="B14" i="21"/>
  <c r="B24" i="21" s="1"/>
  <c r="B47" i="21" s="1"/>
  <c r="E33" i="7"/>
  <c r="C17" i="13"/>
  <c r="C15" i="13"/>
  <c r="D145" i="22"/>
  <c r="D132" i="22"/>
  <c r="D119" i="22"/>
  <c r="D106" i="22"/>
  <c r="D93" i="22"/>
  <c r="D80" i="22"/>
  <c r="D67" i="22"/>
  <c r="D54" i="22"/>
  <c r="D41" i="22"/>
  <c r="C27" i="22"/>
  <c r="E54" i="16"/>
  <c r="C39" i="21" s="1"/>
  <c r="D54" i="16"/>
  <c r="D4" i="22"/>
  <c r="D118" i="22" s="1"/>
  <c r="D164" i="4"/>
  <c r="E164" i="4" s="1"/>
  <c r="F164" i="4" s="1"/>
  <c r="G164" i="4" s="1"/>
  <c r="H164" i="4" s="1"/>
  <c r="I164" i="4" s="1"/>
  <c r="J164" i="4" s="1"/>
  <c r="K164" i="4" s="1"/>
  <c r="L164" i="4" s="1"/>
  <c r="C22" i="19"/>
  <c r="C23" i="19" s="1"/>
  <c r="C24" i="19" s="1"/>
  <c r="C25" i="19" s="1"/>
  <c r="C7" i="19"/>
  <c r="A15" i="20"/>
  <c r="A14" i="20"/>
  <c r="A13" i="20"/>
  <c r="A12" i="20"/>
  <c r="A11" i="20"/>
  <c r="F54" i="16"/>
  <c r="G53" i="16"/>
  <c r="H53" i="16" s="1"/>
  <c r="D111" i="4"/>
  <c r="E111" i="4" s="1"/>
  <c r="F111" i="4" s="1"/>
  <c r="G111" i="4" s="1"/>
  <c r="H111" i="4" s="1"/>
  <c r="I111" i="4" s="1"/>
  <c r="J111" i="4" s="1"/>
  <c r="K111" i="4" s="1"/>
  <c r="L111" i="4" s="1"/>
  <c r="D151" i="4"/>
  <c r="E151" i="4" s="1"/>
  <c r="D146" i="4"/>
  <c r="E146" i="4" s="1"/>
  <c r="D141" i="4"/>
  <c r="D136" i="4"/>
  <c r="E136" i="4" s="1"/>
  <c r="D131" i="4"/>
  <c r="E131" i="4" s="1"/>
  <c r="D126" i="4"/>
  <c r="E126" i="4" s="1"/>
  <c r="D121" i="4"/>
  <c r="E121" i="4" s="1"/>
  <c r="D116" i="4"/>
  <c r="E116" i="4" s="1"/>
  <c r="F116" i="4" s="1"/>
  <c r="D106" i="4"/>
  <c r="E106" i="4" s="1"/>
  <c r="D101" i="4"/>
  <c r="E101" i="4" s="1"/>
  <c r="F101" i="4" s="1"/>
  <c r="G101" i="4" s="1"/>
  <c r="D91" i="4"/>
  <c r="E91" i="4" s="1"/>
  <c r="F91" i="4" s="1"/>
  <c r="D46" i="4"/>
  <c r="E46" i="4" s="1"/>
  <c r="F46" i="4" s="1"/>
  <c r="G46" i="4" s="1"/>
  <c r="H46" i="4" s="1"/>
  <c r="D41" i="4"/>
  <c r="E41" i="4" s="1"/>
  <c r="D36" i="4"/>
  <c r="E36" i="4" s="1"/>
  <c r="F36" i="4" s="1"/>
  <c r="G36" i="4" s="1"/>
  <c r="H36" i="4" s="1"/>
  <c r="I36" i="4" s="1"/>
  <c r="J36" i="4" s="1"/>
  <c r="K36" i="4" s="1"/>
  <c r="L36" i="4" s="1"/>
  <c r="D31" i="4"/>
  <c r="E31" i="4" s="1"/>
  <c r="D26" i="4"/>
  <c r="E26" i="4" s="1"/>
  <c r="F26" i="4" s="1"/>
  <c r="G26" i="4" s="1"/>
  <c r="H26" i="4" s="1"/>
  <c r="I26" i="4" s="1"/>
  <c r="J26" i="4" s="1"/>
  <c r="K26" i="4" s="1"/>
  <c r="L26" i="4" s="1"/>
  <c r="D19" i="4"/>
  <c r="E19" i="4" s="1"/>
  <c r="F19" i="4" s="1"/>
  <c r="G19" i="4" s="1"/>
  <c r="H19" i="4" s="1"/>
  <c r="I19" i="4" s="1"/>
  <c r="J19" i="4" s="1"/>
  <c r="K19" i="4" s="1"/>
  <c r="L19" i="4" s="1"/>
  <c r="D11" i="4"/>
  <c r="E11" i="4" s="1"/>
  <c r="F11" i="4" s="1"/>
  <c r="G11" i="4" s="1"/>
  <c r="H11" i="4" s="1"/>
  <c r="I11" i="4" s="1"/>
  <c r="J11" i="4" s="1"/>
  <c r="K11" i="4" s="1"/>
  <c r="L11" i="4" s="1"/>
  <c r="A62" i="1"/>
  <c r="A89" i="1"/>
  <c r="A16" i="1"/>
  <c r="A35" i="1" s="1"/>
  <c r="A44" i="1" s="1"/>
  <c r="A51" i="1" s="1"/>
  <c r="A61" i="1" s="1"/>
  <c r="A69" i="1" s="1"/>
  <c r="A80" i="1" s="1"/>
  <c r="A88" i="1" s="1"/>
  <c r="A99" i="1" s="1"/>
  <c r="A106" i="1" s="1"/>
  <c r="A114" i="1" s="1"/>
  <c r="A121" i="1" s="1"/>
  <c r="A131" i="1" s="1"/>
  <c r="A138" i="1" s="1"/>
  <c r="A146" i="1" s="1"/>
  <c r="A153" i="1" s="1"/>
  <c r="A163" i="1" s="1"/>
  <c r="A170" i="1" s="1"/>
  <c r="A178" i="1" s="1"/>
  <c r="A185" i="1" s="1"/>
  <c r="F58" i="7"/>
  <c r="F57" i="7"/>
  <c r="F56" i="7"/>
  <c r="F55" i="7"/>
  <c r="F54" i="7"/>
  <c r="F53" i="7"/>
  <c r="F16" i="7"/>
  <c r="C14" i="16" s="1"/>
  <c r="F15" i="7"/>
  <c r="C13" i="16" s="1"/>
  <c r="A9" i="20"/>
  <c r="A130" i="1"/>
  <c r="A137" i="1" s="1"/>
  <c r="A145" i="1" s="1"/>
  <c r="A152" i="1" s="1"/>
  <c r="A162" i="1" s="1"/>
  <c r="A169" i="1" s="1"/>
  <c r="A177" i="1" s="1"/>
  <c r="A184" i="1" s="1"/>
  <c r="F113" i="1"/>
  <c r="G113" i="1" s="1"/>
  <c r="H113" i="1" s="1"/>
  <c r="I113" i="1" s="1"/>
  <c r="J113" i="1" s="1"/>
  <c r="K113" i="1" s="1"/>
  <c r="L113" i="1" s="1"/>
  <c r="M113" i="1" s="1"/>
  <c r="N113" i="1" s="1"/>
  <c r="A68" i="1"/>
  <c r="A79" i="1" s="1"/>
  <c r="A87" i="1" s="1"/>
  <c r="A34" i="1"/>
  <c r="A43" i="1" s="1"/>
  <c r="A50" i="1" s="1"/>
  <c r="F110" i="1"/>
  <c r="G110" i="1" s="1"/>
  <c r="H110" i="1" s="1"/>
  <c r="I110" i="1" s="1"/>
  <c r="J110" i="1" s="1"/>
  <c r="K110" i="1" s="1"/>
  <c r="L110" i="1" s="1"/>
  <c r="M110" i="1" s="1"/>
  <c r="N110" i="1" s="1"/>
  <c r="F111" i="1"/>
  <c r="G111" i="1" s="1"/>
  <c r="H111" i="1" s="1"/>
  <c r="I111" i="1" s="1"/>
  <c r="J111" i="1" s="1"/>
  <c r="K111" i="1" s="1"/>
  <c r="L111" i="1" s="1"/>
  <c r="M111" i="1" s="1"/>
  <c r="N111" i="1" s="1"/>
  <c r="F112" i="1"/>
  <c r="G112" i="1" s="1"/>
  <c r="H112" i="1" s="1"/>
  <c r="I112" i="1" s="1"/>
  <c r="J112" i="1" s="1"/>
  <c r="K112" i="1" s="1"/>
  <c r="L112" i="1" s="1"/>
  <c r="M112" i="1" s="1"/>
  <c r="N112" i="1" s="1"/>
  <c r="F114" i="1"/>
  <c r="G114" i="1" s="1"/>
  <c r="H114" i="1" s="1"/>
  <c r="I114" i="1" s="1"/>
  <c r="J114" i="1" s="1"/>
  <c r="K114" i="1" s="1"/>
  <c r="L114" i="1" s="1"/>
  <c r="M114" i="1" s="1"/>
  <c r="N114" i="1" s="1"/>
  <c r="D13" i="4"/>
  <c r="E13" i="4" s="1"/>
  <c r="F13" i="4" s="1"/>
  <c r="G13" i="4" s="1"/>
  <c r="H13" i="4" s="1"/>
  <c r="I13" i="4" s="1"/>
  <c r="J13" i="4" s="1"/>
  <c r="K13" i="4" s="1"/>
  <c r="L13" i="4" s="1"/>
  <c r="D21" i="4"/>
  <c r="E21" i="4" s="1"/>
  <c r="F21" i="4" s="1"/>
  <c r="G21" i="4" s="1"/>
  <c r="H21" i="4" s="1"/>
  <c r="I21" i="4" s="1"/>
  <c r="J21" i="4" s="1"/>
  <c r="K21" i="4" s="1"/>
  <c r="L21" i="4" s="1"/>
  <c r="D27" i="4"/>
  <c r="E27" i="4" s="1"/>
  <c r="D32" i="4"/>
  <c r="E32" i="4" s="1"/>
  <c r="F32" i="4" s="1"/>
  <c r="G32" i="4" s="1"/>
  <c r="H32" i="4" s="1"/>
  <c r="D37" i="4"/>
  <c r="E37" i="4" s="1"/>
  <c r="D42" i="4"/>
  <c r="D47" i="4"/>
  <c r="E47" i="4" s="1"/>
  <c r="D52" i="4"/>
  <c r="E52" i="4" s="1"/>
  <c r="F52" i="4" s="1"/>
  <c r="G52" i="4" s="1"/>
  <c r="H52" i="4" s="1"/>
  <c r="I52" i="4" s="1"/>
  <c r="J52" i="4" s="1"/>
  <c r="K52" i="4" s="1"/>
  <c r="L52" i="4" s="1"/>
  <c r="D57" i="4"/>
  <c r="E57" i="4" s="1"/>
  <c r="F57" i="4" s="1"/>
  <c r="G57" i="4" s="1"/>
  <c r="H57" i="4" s="1"/>
  <c r="I57" i="4" s="1"/>
  <c r="J57" i="4" s="1"/>
  <c r="K57" i="4" s="1"/>
  <c r="L57" i="4" s="1"/>
  <c r="D63" i="4"/>
  <c r="E63" i="4" s="1"/>
  <c r="F63" i="4" s="1"/>
  <c r="G63" i="4" s="1"/>
  <c r="H63" i="4" s="1"/>
  <c r="I63" i="4" s="1"/>
  <c r="J63" i="4" s="1"/>
  <c r="K63" i="4" s="1"/>
  <c r="L63" i="4" s="1"/>
  <c r="D71" i="4"/>
  <c r="E71" i="4" s="1"/>
  <c r="F71" i="4" s="1"/>
  <c r="G71" i="4" s="1"/>
  <c r="H71" i="4" s="1"/>
  <c r="I71" i="4" s="1"/>
  <c r="J71" i="4" s="1"/>
  <c r="K71" i="4" s="1"/>
  <c r="L71" i="4" s="1"/>
  <c r="D72" i="4"/>
  <c r="E72" i="4" s="1"/>
  <c r="F72" i="4" s="1"/>
  <c r="G72" i="4" s="1"/>
  <c r="H72" i="4" s="1"/>
  <c r="I72" i="4" s="1"/>
  <c r="J72" i="4" s="1"/>
  <c r="K72" i="4" s="1"/>
  <c r="L72" i="4" s="1"/>
  <c r="D92" i="4"/>
  <c r="E92" i="4" s="1"/>
  <c r="F92" i="4" s="1"/>
  <c r="G92" i="4" s="1"/>
  <c r="H92" i="4" s="1"/>
  <c r="I92" i="4" s="1"/>
  <c r="J92" i="4" s="1"/>
  <c r="K92" i="4" s="1"/>
  <c r="L92" i="4" s="1"/>
  <c r="D102" i="4"/>
  <c r="E102" i="4" s="1"/>
  <c r="F102" i="4" s="1"/>
  <c r="G102" i="4" s="1"/>
  <c r="H102" i="4" s="1"/>
  <c r="I102" i="4" s="1"/>
  <c r="J102" i="4" s="1"/>
  <c r="K102" i="4" s="1"/>
  <c r="L102" i="4" s="1"/>
  <c r="D107" i="4"/>
  <c r="D117" i="4"/>
  <c r="E117" i="4" s="1"/>
  <c r="F117" i="4" s="1"/>
  <c r="G117" i="4" s="1"/>
  <c r="H117" i="4" s="1"/>
  <c r="I117" i="4" s="1"/>
  <c r="J117" i="4" s="1"/>
  <c r="K117" i="4" s="1"/>
  <c r="L117" i="4" s="1"/>
  <c r="D122" i="4"/>
  <c r="E122" i="4" s="1"/>
  <c r="F122" i="4" s="1"/>
  <c r="G122" i="4" s="1"/>
  <c r="H122" i="4" s="1"/>
  <c r="I122" i="4" s="1"/>
  <c r="J122" i="4" s="1"/>
  <c r="K122" i="4" s="1"/>
  <c r="L122" i="4" s="1"/>
  <c r="D127" i="4"/>
  <c r="E127" i="4" s="1"/>
  <c r="F127" i="4" s="1"/>
  <c r="G127" i="4" s="1"/>
  <c r="H127" i="4" s="1"/>
  <c r="I127" i="4" s="1"/>
  <c r="J127" i="4" s="1"/>
  <c r="K127" i="4" s="1"/>
  <c r="L127" i="4" s="1"/>
  <c r="D132" i="4"/>
  <c r="E132" i="4" s="1"/>
  <c r="F132" i="4" s="1"/>
  <c r="G132" i="4" s="1"/>
  <c r="H132" i="4" s="1"/>
  <c r="I132" i="4" s="1"/>
  <c r="J132" i="4" s="1"/>
  <c r="K132" i="4" s="1"/>
  <c r="L132" i="4" s="1"/>
  <c r="D137" i="4"/>
  <c r="E137" i="4" s="1"/>
  <c r="F137" i="4" s="1"/>
  <c r="G137" i="4" s="1"/>
  <c r="H137" i="4" s="1"/>
  <c r="I137" i="4" s="1"/>
  <c r="J137" i="4" s="1"/>
  <c r="K137" i="4" s="1"/>
  <c r="L137" i="4" s="1"/>
  <c r="D142" i="4"/>
  <c r="D143" i="4" s="1"/>
  <c r="D147" i="4"/>
  <c r="E147" i="4" s="1"/>
  <c r="F147" i="4" s="1"/>
  <c r="G147" i="4" s="1"/>
  <c r="D152" i="4"/>
  <c r="E152" i="4" s="1"/>
  <c r="F152" i="4" s="1"/>
  <c r="G152" i="4" s="1"/>
  <c r="D166" i="4"/>
  <c r="E166" i="4" s="1"/>
  <c r="F166" i="4" s="1"/>
  <c r="G166" i="4" s="1"/>
  <c r="H166" i="4" s="1"/>
  <c r="I166" i="4" s="1"/>
  <c r="J166" i="4" s="1"/>
  <c r="K166" i="4" s="1"/>
  <c r="L166" i="4" s="1"/>
  <c r="D167" i="4"/>
  <c r="E167" i="4" s="1"/>
  <c r="F167" i="4" s="1"/>
  <c r="G167" i="4" s="1"/>
  <c r="H167" i="4" s="1"/>
  <c r="I167" i="4" s="1"/>
  <c r="J167" i="4" s="1"/>
  <c r="K167" i="4" s="1"/>
  <c r="L167" i="4" s="1"/>
  <c r="D168" i="4"/>
  <c r="E168" i="4" s="1"/>
  <c r="F168" i="4" s="1"/>
  <c r="G168" i="4" s="1"/>
  <c r="H168" i="4" s="1"/>
  <c r="I168" i="4" s="1"/>
  <c r="J168" i="4" s="1"/>
  <c r="K168" i="4" s="1"/>
  <c r="L168" i="4" s="1"/>
  <c r="D169" i="4"/>
  <c r="E169" i="4" s="1"/>
  <c r="A12" i="1"/>
  <c r="F33" i="7"/>
  <c r="A7" i="16"/>
  <c r="A7" i="4" s="1"/>
  <c r="C47" i="16"/>
  <c r="A26" i="16"/>
  <c r="A46" i="16" s="1"/>
  <c r="A25" i="16"/>
  <c r="A45" i="16" s="1"/>
  <c r="A24" i="16"/>
  <c r="A44" i="16" s="1"/>
  <c r="A23" i="16"/>
  <c r="A43" i="16" s="1"/>
  <c r="A22" i="16"/>
  <c r="A42" i="16" s="1"/>
  <c r="A21" i="16"/>
  <c r="A41" i="16" s="1"/>
  <c r="A20" i="16"/>
  <c r="A40" i="16" s="1"/>
  <c r="A19" i="16"/>
  <c r="A39" i="16" s="1"/>
  <c r="A18" i="16"/>
  <c r="A38" i="16" s="1"/>
  <c r="A17" i="16"/>
  <c r="A37" i="16" s="1"/>
  <c r="A16" i="16"/>
  <c r="A36" i="16" s="1"/>
  <c r="A15" i="16"/>
  <c r="A35" i="16" s="1"/>
  <c r="A14" i="16"/>
  <c r="A34" i="16" s="1"/>
  <c r="A13" i="16"/>
  <c r="A33" i="16" s="1"/>
  <c r="A11" i="16"/>
  <c r="A31" i="16" s="1"/>
  <c r="A10" i="16"/>
  <c r="A30" i="16" s="1"/>
  <c r="F18" i="7"/>
  <c r="C16" i="16" s="1"/>
  <c r="F19" i="7"/>
  <c r="C17" i="16" s="1"/>
  <c r="F20" i="7"/>
  <c r="C18" i="16" s="1"/>
  <c r="F22" i="7"/>
  <c r="C20" i="16" s="1"/>
  <c r="F23" i="7"/>
  <c r="C21" i="16" s="1"/>
  <c r="F24" i="7"/>
  <c r="C22" i="16" s="1"/>
  <c r="F25" i="7"/>
  <c r="C23" i="16" s="1"/>
  <c r="F26" i="7"/>
  <c r="C24" i="16" s="1"/>
  <c r="F27" i="7"/>
  <c r="C25" i="16" s="1"/>
  <c r="F28" i="7"/>
  <c r="F79" i="7" s="1"/>
  <c r="F34" i="7"/>
  <c r="F35" i="7"/>
  <c r="F36" i="7"/>
  <c r="F37" i="7"/>
  <c r="F38" i="7"/>
  <c r="F39" i="7"/>
  <c r="F40" i="7"/>
  <c r="F41" i="7"/>
  <c r="F42" i="7"/>
  <c r="F43" i="7"/>
  <c r="F44" i="7"/>
  <c r="F47" i="7"/>
  <c r="F48" i="7"/>
  <c r="F49" i="7"/>
  <c r="F50" i="7"/>
  <c r="F51" i="7"/>
  <c r="F52" i="7"/>
  <c r="F59" i="7"/>
  <c r="F60" i="7"/>
  <c r="F61" i="7"/>
  <c r="F62" i="7"/>
  <c r="D69" i="4"/>
  <c r="E69" i="4" s="1"/>
  <c r="D156" i="4"/>
  <c r="C18" i="13"/>
  <c r="C10" i="13"/>
  <c r="A33" i="1"/>
  <c r="A42" i="1" s="1"/>
  <c r="A49" i="1" s="1"/>
  <c r="A59" i="1" s="1"/>
  <c r="A67" i="1" s="1"/>
  <c r="A78" i="1" s="1"/>
  <c r="A86" i="1" s="1"/>
  <c r="A97" i="1" s="1"/>
  <c r="A104" i="1" s="1"/>
  <c r="A112" i="1" s="1"/>
  <c r="A119" i="1" s="1"/>
  <c r="A129" i="1" s="1"/>
  <c r="A136" i="1" s="1"/>
  <c r="A144" i="1" s="1"/>
  <c r="A151" i="1" s="1"/>
  <c r="A161" i="1" s="1"/>
  <c r="A168" i="1" s="1"/>
  <c r="A176" i="1" s="1"/>
  <c r="A183" i="1" s="1"/>
  <c r="A32" i="1"/>
  <c r="A41" i="1" s="1"/>
  <c r="A48" i="1" s="1"/>
  <c r="A58" i="1" s="1"/>
  <c r="A66" i="1" s="1"/>
  <c r="A77" i="1" s="1"/>
  <c r="A85" i="1" s="1"/>
  <c r="A96" i="1" s="1"/>
  <c r="A103" i="1" s="1"/>
  <c r="A111" i="1" s="1"/>
  <c r="A118" i="1" s="1"/>
  <c r="A128" i="1" s="1"/>
  <c r="A135" i="1" s="1"/>
  <c r="A143" i="1" s="1"/>
  <c r="A150" i="1" s="1"/>
  <c r="A160" i="1" s="1"/>
  <c r="A167" i="1" s="1"/>
  <c r="A175" i="1" s="1"/>
  <c r="A182" i="1" s="1"/>
  <c r="A81" i="1"/>
  <c r="G141" i="4"/>
  <c r="H141" i="4" s="1"/>
  <c r="I141" i="4" s="1"/>
  <c r="J141" i="4" s="1"/>
  <c r="K141" i="4" s="1"/>
  <c r="L141" i="4" s="1"/>
  <c r="H12" i="20"/>
  <c r="H14" i="20"/>
  <c r="H15" i="20"/>
  <c r="H11" i="20"/>
  <c r="H13" i="20"/>
  <c r="D105" i="22"/>
  <c r="C30" i="22"/>
  <c r="C95" i="22"/>
  <c r="C147" i="22"/>
  <c r="C16" i="13"/>
  <c r="D53" i="22"/>
  <c r="E54" i="22" s="1"/>
  <c r="E4" i="34"/>
  <c r="M4" i="31"/>
  <c r="N11" i="31"/>
  <c r="N4" i="31"/>
  <c r="O11" i="31"/>
  <c r="P11" i="31"/>
  <c r="Q11" i="31"/>
  <c r="D30" i="13"/>
  <c r="F5" i="36"/>
  <c r="J5" i="36" s="1"/>
  <c r="K5" i="36" s="1"/>
  <c r="J16" i="36"/>
  <c r="K16" i="36" s="1"/>
  <c r="L16" i="36" s="1"/>
  <c r="M16" i="36" s="1"/>
  <c r="N16" i="36" s="1"/>
  <c r="O16" i="36" s="1"/>
  <c r="P16" i="36" s="1"/>
  <c r="Q16" i="36" s="1"/>
  <c r="R16" i="36" s="1"/>
  <c r="D47" i="14"/>
  <c r="E17" i="18"/>
  <c r="F17" i="18" s="1"/>
  <c r="G17" i="18" s="1"/>
  <c r="H17" i="18" s="1"/>
  <c r="I17" i="18" s="1"/>
  <c r="G21" i="18"/>
  <c r="H21" i="18" s="1"/>
  <c r="I21" i="18" s="1"/>
  <c r="J21" i="18" s="1"/>
  <c r="K21" i="18" s="1"/>
  <c r="K29" i="18"/>
  <c r="L29" i="18" s="1"/>
  <c r="D15" i="18"/>
  <c r="E15" i="18" s="1"/>
  <c r="F15" i="18" s="1"/>
  <c r="G15" i="18" s="1"/>
  <c r="H15" i="18" s="1"/>
  <c r="F19" i="18"/>
  <c r="G19" i="18" s="1"/>
  <c r="H19" i="18" s="1"/>
  <c r="I19" i="18" s="1"/>
  <c r="J19" i="18" s="1"/>
  <c r="J27" i="18"/>
  <c r="K27" i="18" s="1"/>
  <c r="L27" i="18" s="1"/>
  <c r="D14" i="18"/>
  <c r="E14" i="18" s="1"/>
  <c r="F14" i="18" s="1"/>
  <c r="G14" i="18" s="1"/>
  <c r="H14" i="18" s="1"/>
  <c r="I14" i="18" s="1"/>
  <c r="J14" i="18" s="1"/>
  <c r="K14" i="18" s="1"/>
  <c r="L14" i="18" s="1"/>
  <c r="D79" i="22" l="1"/>
  <c r="D92" i="22"/>
  <c r="E92" i="22" s="1"/>
  <c r="F93" i="22" s="1"/>
  <c r="E4" i="22"/>
  <c r="F4" i="22" s="1"/>
  <c r="D40" i="22"/>
  <c r="E41" i="22" s="1"/>
  <c r="D66" i="22"/>
  <c r="D21" i="36"/>
  <c r="D144" i="22"/>
  <c r="E144" i="22" s="1"/>
  <c r="D131" i="22"/>
  <c r="E131" i="22" s="1"/>
  <c r="F133" i="22" s="1"/>
  <c r="E11" i="36"/>
  <c r="F11" i="36" s="1"/>
  <c r="H12" i="37"/>
  <c r="B21" i="19"/>
  <c r="D21" i="19" s="1"/>
  <c r="E21" i="19" s="1"/>
  <c r="B39" i="21"/>
  <c r="D43" i="4"/>
  <c r="D39" i="21"/>
  <c r="F40" i="14"/>
  <c r="E12" i="36"/>
  <c r="F12" i="36" s="1"/>
  <c r="J12" i="36" s="1"/>
  <c r="K12" i="36" s="1"/>
  <c r="L12" i="36" s="1"/>
  <c r="M12" i="36" s="1"/>
  <c r="N12" i="36" s="1"/>
  <c r="O12" i="36" s="1"/>
  <c r="P12" i="36" s="1"/>
  <c r="Q12" i="36" s="1"/>
  <c r="R12" i="36" s="1"/>
  <c r="E15" i="36"/>
  <c r="F15" i="36" s="1"/>
  <c r="J15" i="36" s="1"/>
  <c r="K15" i="36" s="1"/>
  <c r="L15" i="36" s="1"/>
  <c r="M15" i="36" s="1"/>
  <c r="N15" i="36" s="1"/>
  <c r="O15" i="36" s="1"/>
  <c r="P15" i="36" s="1"/>
  <c r="Q15" i="36" s="1"/>
  <c r="R15" i="36" s="1"/>
  <c r="E18" i="36"/>
  <c r="F18" i="36" s="1"/>
  <c r="J18" i="36" s="1"/>
  <c r="K18" i="36" s="1"/>
  <c r="L18" i="36" s="1"/>
  <c r="M18" i="36" s="1"/>
  <c r="N18" i="36" s="1"/>
  <c r="O18" i="36" s="1"/>
  <c r="P18" i="36" s="1"/>
  <c r="Q18" i="36" s="1"/>
  <c r="R18" i="36" s="1"/>
  <c r="C20" i="13"/>
  <c r="E6" i="36"/>
  <c r="F6" i="36" s="1"/>
  <c r="J6" i="36" s="1"/>
  <c r="K6" i="36" s="1"/>
  <c r="L6" i="36" s="1"/>
  <c r="M6" i="36" s="1"/>
  <c r="N6" i="36" s="1"/>
  <c r="O6" i="36" s="1"/>
  <c r="P6" i="36" s="1"/>
  <c r="Q6" i="36" s="1"/>
  <c r="R6" i="36" s="1"/>
  <c r="E9" i="36"/>
  <c r="F9" i="36" s="1"/>
  <c r="J9" i="36" s="1"/>
  <c r="K9" i="36" s="1"/>
  <c r="L9" i="36" s="1"/>
  <c r="M9" i="36" s="1"/>
  <c r="N9" i="36" s="1"/>
  <c r="O9" i="36" s="1"/>
  <c r="P9" i="36" s="1"/>
  <c r="Q9" i="36" s="1"/>
  <c r="R9" i="36" s="1"/>
  <c r="E20" i="36"/>
  <c r="F20" i="36" s="1"/>
  <c r="J20" i="36" s="1"/>
  <c r="K20" i="36" s="1"/>
  <c r="L20" i="36" s="1"/>
  <c r="M20" i="36" s="1"/>
  <c r="N20" i="36" s="1"/>
  <c r="O20" i="36" s="1"/>
  <c r="P20" i="36" s="1"/>
  <c r="Q20" i="36" s="1"/>
  <c r="R20" i="36" s="1"/>
  <c r="E26" i="36"/>
  <c r="E7" i="36"/>
  <c r="F7" i="36" s="1"/>
  <c r="J7" i="36" s="1"/>
  <c r="K7" i="36" s="1"/>
  <c r="L7" i="36" s="1"/>
  <c r="M7" i="36" s="1"/>
  <c r="N7" i="36" s="1"/>
  <c r="O7" i="36" s="1"/>
  <c r="P7" i="36" s="1"/>
  <c r="Q7" i="36" s="1"/>
  <c r="R7" i="36" s="1"/>
  <c r="E10" i="36"/>
  <c r="F10" i="36" s="1"/>
  <c r="J10" i="36" s="1"/>
  <c r="K10" i="36" s="1"/>
  <c r="L10" i="36" s="1"/>
  <c r="M10" i="36" s="1"/>
  <c r="N10" i="36" s="1"/>
  <c r="O10" i="36" s="1"/>
  <c r="P10" i="36" s="1"/>
  <c r="Q10" i="36" s="1"/>
  <c r="R10" i="36" s="1"/>
  <c r="E14" i="36"/>
  <c r="E17" i="36"/>
  <c r="F17" i="36" s="1"/>
  <c r="E27" i="36"/>
  <c r="F27" i="36" s="1"/>
  <c r="E33" i="36"/>
  <c r="F33" i="36" s="1"/>
  <c r="A8" i="18"/>
  <c r="H5" i="38" s="1"/>
  <c r="A10" i="14"/>
  <c r="C33" i="21"/>
  <c r="D34" i="16"/>
  <c r="E34" i="16" s="1"/>
  <c r="F34" i="16" s="1"/>
  <c r="G34" i="16" s="1"/>
  <c r="H34" i="16" s="1"/>
  <c r="I34" i="16" s="1"/>
  <c r="J34" i="16" s="1"/>
  <c r="K34" i="16" s="1"/>
  <c r="L34" i="16" s="1"/>
  <c r="M34" i="16" s="1"/>
  <c r="D37" i="16"/>
  <c r="E37" i="16" s="1"/>
  <c r="F37" i="16" s="1"/>
  <c r="G37" i="16" s="1"/>
  <c r="H37" i="16" s="1"/>
  <c r="I37" i="16" s="1"/>
  <c r="J37" i="16" s="1"/>
  <c r="K37" i="16" s="1"/>
  <c r="L37" i="16" s="1"/>
  <c r="M37" i="16" s="1"/>
  <c r="D36" i="16"/>
  <c r="E36" i="16" s="1"/>
  <c r="F36" i="16" s="1"/>
  <c r="G36" i="16" s="1"/>
  <c r="H36" i="16" s="1"/>
  <c r="I36" i="16" s="1"/>
  <c r="J36" i="16" s="1"/>
  <c r="K36" i="16" s="1"/>
  <c r="L36" i="16" s="1"/>
  <c r="M36" i="16" s="1"/>
  <c r="D33" i="16"/>
  <c r="E33" i="16" s="1"/>
  <c r="F33" i="16" s="1"/>
  <c r="G33" i="16" s="1"/>
  <c r="H33" i="16" s="1"/>
  <c r="I33" i="16" s="1"/>
  <c r="J33" i="16" s="1"/>
  <c r="K33" i="16" s="1"/>
  <c r="L33" i="16" s="1"/>
  <c r="M33" i="16" s="1"/>
  <c r="H32" i="16"/>
  <c r="I32" i="16" s="1"/>
  <c r="J32" i="16" s="1"/>
  <c r="K32" i="16" s="1"/>
  <c r="L32" i="16" s="1"/>
  <c r="M32" i="16" s="1"/>
  <c r="E156" i="4"/>
  <c r="D171" i="4"/>
  <c r="D23" i="14" s="1"/>
  <c r="E67" i="4"/>
  <c r="D74" i="4"/>
  <c r="D15" i="14" s="1"/>
  <c r="D29" i="22"/>
  <c r="E107" i="22"/>
  <c r="G32" i="1"/>
  <c r="H32" i="1" s="1"/>
  <c r="I32" i="1" s="1"/>
  <c r="J32" i="1" s="1"/>
  <c r="K32" i="1" s="1"/>
  <c r="L32" i="1" s="1"/>
  <c r="M32" i="1" s="1"/>
  <c r="N32" i="1" s="1"/>
  <c r="F43" i="1"/>
  <c r="G43" i="1" s="1"/>
  <c r="H43" i="1" s="1"/>
  <c r="I43" i="1" s="1"/>
  <c r="J43" i="1" s="1"/>
  <c r="K43" i="1" s="1"/>
  <c r="L43" i="1" s="1"/>
  <c r="M43" i="1" s="1"/>
  <c r="N43" i="1" s="1"/>
  <c r="E50" i="1"/>
  <c r="E68" i="1" s="1"/>
  <c r="G33" i="1"/>
  <c r="H33" i="1" s="1"/>
  <c r="I33" i="1" s="1"/>
  <c r="J33" i="1" s="1"/>
  <c r="K33" i="1" s="1"/>
  <c r="L33" i="1" s="1"/>
  <c r="M33" i="1" s="1"/>
  <c r="N33" i="1" s="1"/>
  <c r="F24" i="1"/>
  <c r="G34" i="1"/>
  <c r="H34" i="1" s="1"/>
  <c r="I34" i="1" s="1"/>
  <c r="J34" i="1" s="1"/>
  <c r="K34" i="1" s="1"/>
  <c r="L34" i="1" s="1"/>
  <c r="M34" i="1" s="1"/>
  <c r="N34" i="1" s="1"/>
  <c r="F25" i="1"/>
  <c r="F41" i="1"/>
  <c r="G41" i="1" s="1"/>
  <c r="H41" i="1" s="1"/>
  <c r="I41" i="1" s="1"/>
  <c r="J41" i="1" s="1"/>
  <c r="K41" i="1" s="1"/>
  <c r="L41" i="1" s="1"/>
  <c r="M41" i="1" s="1"/>
  <c r="N41" i="1" s="1"/>
  <c r="F42" i="1"/>
  <c r="G42" i="1" s="1"/>
  <c r="H42" i="1" s="1"/>
  <c r="I42" i="1" s="1"/>
  <c r="J42" i="1" s="1"/>
  <c r="K42" i="1" s="1"/>
  <c r="L42" i="1" s="1"/>
  <c r="M42" i="1" s="1"/>
  <c r="N42" i="1" s="1"/>
  <c r="E49" i="1"/>
  <c r="E67" i="1" s="1"/>
  <c r="G35" i="1"/>
  <c r="H35" i="1" s="1"/>
  <c r="I35" i="1" s="1"/>
  <c r="J35" i="1" s="1"/>
  <c r="K35" i="1" s="1"/>
  <c r="L35" i="1" s="1"/>
  <c r="M35" i="1" s="1"/>
  <c r="N35" i="1" s="1"/>
  <c r="F26" i="1"/>
  <c r="F44" i="1"/>
  <c r="G44" i="1" s="1"/>
  <c r="H44" i="1" s="1"/>
  <c r="I44" i="1" s="1"/>
  <c r="J44" i="1" s="1"/>
  <c r="K44" i="1" s="1"/>
  <c r="L44" i="1" s="1"/>
  <c r="M44" i="1" s="1"/>
  <c r="N44" i="1" s="1"/>
  <c r="E51" i="1"/>
  <c r="E69" i="1" s="1"/>
  <c r="E68" i="22"/>
  <c r="D134" i="22"/>
  <c r="D82" i="22"/>
  <c r="D121" i="22"/>
  <c r="C26" i="16"/>
  <c r="C50" i="16" s="1"/>
  <c r="C19" i="14"/>
  <c r="D33" i="4"/>
  <c r="D113" i="4"/>
  <c r="D118" i="4"/>
  <c r="G54" i="16"/>
  <c r="G14" i="1"/>
  <c r="G15" i="1"/>
  <c r="C46" i="37"/>
  <c r="F63" i="7"/>
  <c r="C56" i="16" s="1"/>
  <c r="F45" i="7"/>
  <c r="E38" i="4"/>
  <c r="D108" i="4"/>
  <c r="D103" i="4"/>
  <c r="E70" i="4"/>
  <c r="F70" i="4" s="1"/>
  <c r="G70" i="4" s="1"/>
  <c r="H70" i="4" s="1"/>
  <c r="I70" i="4" s="1"/>
  <c r="J70" i="4" s="1"/>
  <c r="K70" i="4" s="1"/>
  <c r="L70" i="4" s="1"/>
  <c r="D138" i="4"/>
  <c r="D38" i="4"/>
  <c r="D93" i="4"/>
  <c r="E118" i="4"/>
  <c r="D28" i="4"/>
  <c r="D153" i="4"/>
  <c r="E107" i="4"/>
  <c r="F107" i="4" s="1"/>
  <c r="G107" i="4" s="1"/>
  <c r="H107" i="4" s="1"/>
  <c r="I107" i="4" s="1"/>
  <c r="J107" i="4" s="1"/>
  <c r="K107" i="4" s="1"/>
  <c r="L107" i="4" s="1"/>
  <c r="D48" i="4"/>
  <c r="E42" i="4"/>
  <c r="F42" i="4" s="1"/>
  <c r="G42" i="4" s="1"/>
  <c r="H42" i="4" s="1"/>
  <c r="I42" i="4" s="1"/>
  <c r="J42" i="4" s="1"/>
  <c r="K42" i="4" s="1"/>
  <c r="L42" i="4" s="1"/>
  <c r="E142" i="4"/>
  <c r="D123" i="4"/>
  <c r="C15" i="14"/>
  <c r="C173" i="4"/>
  <c r="F17" i="7"/>
  <c r="C15" i="16" s="1"/>
  <c r="E5" i="37"/>
  <c r="F13" i="37"/>
  <c r="G16" i="1" s="1"/>
  <c r="G19" i="37"/>
  <c r="K28" i="18"/>
  <c r="L28" i="18" s="1"/>
  <c r="F4" i="37"/>
  <c r="G4" i="37" s="1"/>
  <c r="H4" i="37" s="1"/>
  <c r="I4" i="37" s="1"/>
  <c r="J4" i="37" s="1"/>
  <c r="F12" i="7"/>
  <c r="C10" i="16" s="1"/>
  <c r="I10" i="16" s="1"/>
  <c r="K27" i="16"/>
  <c r="G20" i="18"/>
  <c r="H20" i="18" s="1"/>
  <c r="I20" i="18" s="1"/>
  <c r="J20" i="18" s="1"/>
  <c r="K20" i="18" s="1"/>
  <c r="L20" i="18" s="1"/>
  <c r="F18" i="18"/>
  <c r="G18" i="18" s="1"/>
  <c r="H18" i="18" s="1"/>
  <c r="I18" i="18" s="1"/>
  <c r="J18" i="18" s="1"/>
  <c r="K18" i="18" s="1"/>
  <c r="L18" i="18" s="1"/>
  <c r="J26" i="18"/>
  <c r="K26" i="18" s="1"/>
  <c r="L26" i="18" s="1"/>
  <c r="E16" i="18"/>
  <c r="F16" i="18" s="1"/>
  <c r="G16" i="18" s="1"/>
  <c r="H16" i="18" s="1"/>
  <c r="I16" i="18" s="1"/>
  <c r="J16" i="18" s="1"/>
  <c r="K16" i="18" s="1"/>
  <c r="L16" i="18" s="1"/>
  <c r="E80" i="22"/>
  <c r="E27" i="16"/>
  <c r="D147" i="22"/>
  <c r="E30" i="13"/>
  <c r="E47" i="14"/>
  <c r="F30" i="13" s="1"/>
  <c r="E6" i="19"/>
  <c r="E48" i="4"/>
  <c r="F47" i="4"/>
  <c r="F48" i="4" s="1"/>
  <c r="F27" i="4"/>
  <c r="F28" i="4" s="1"/>
  <c r="E28" i="4"/>
  <c r="E113" i="4"/>
  <c r="F94" i="22"/>
  <c r="F95" i="22" s="1"/>
  <c r="E94" i="22"/>
  <c r="D148" i="4"/>
  <c r="D108" i="22"/>
  <c r="F21" i="7"/>
  <c r="C19" i="16" s="1"/>
  <c r="D28" i="22"/>
  <c r="A31" i="1"/>
  <c r="A40" i="1" s="1"/>
  <c r="A47" i="1" s="1"/>
  <c r="A57" i="1" s="1"/>
  <c r="A65" i="1" s="1"/>
  <c r="A76" i="1" s="1"/>
  <c r="A84" i="1" s="1"/>
  <c r="A95" i="1" s="1"/>
  <c r="A102" i="1" s="1"/>
  <c r="A110" i="1" s="1"/>
  <c r="A117" i="1" s="1"/>
  <c r="A127" i="1" s="1"/>
  <c r="A134" i="1" s="1"/>
  <c r="A142" i="1" s="1"/>
  <c r="A149" i="1" s="1"/>
  <c r="A159" i="1" s="1"/>
  <c r="A166" i="1" s="1"/>
  <c r="A174" i="1" s="1"/>
  <c r="A181" i="1" s="1"/>
  <c r="D128" i="4"/>
  <c r="F13" i="7"/>
  <c r="D95" i="22"/>
  <c r="E81" i="22"/>
  <c r="E93" i="22"/>
  <c r="E103" i="4"/>
  <c r="D43" i="22"/>
  <c r="E106" i="22"/>
  <c r="E120" i="22"/>
  <c r="E118" i="22"/>
  <c r="F119" i="22" s="1"/>
  <c r="E119" i="22"/>
  <c r="G4" i="22"/>
  <c r="H4" i="22" s="1"/>
  <c r="I4" i="22" s="1"/>
  <c r="J4" i="22" s="1"/>
  <c r="K4" i="22" s="1"/>
  <c r="L4" i="22" s="1"/>
  <c r="M4" i="22" s="1"/>
  <c r="N4" i="22" s="1"/>
  <c r="O4" i="22" s="1"/>
  <c r="P4" i="22" s="1"/>
  <c r="Q4" i="22" s="1"/>
  <c r="R4" i="22" s="1"/>
  <c r="S4" i="22" s="1"/>
  <c r="T4" i="22" s="1"/>
  <c r="U4" i="22" s="1"/>
  <c r="V4" i="22" s="1"/>
  <c r="W4" i="22" s="1"/>
  <c r="X4" i="22" s="1"/>
  <c r="Y4" i="22" s="1"/>
  <c r="Z4" i="22" s="1"/>
  <c r="AA4" i="22" s="1"/>
  <c r="AB4" i="22" s="1"/>
  <c r="AC4" i="22" s="1"/>
  <c r="AD4" i="22" s="1"/>
  <c r="AE4" i="22" s="1"/>
  <c r="AF4" i="22" s="1"/>
  <c r="AG4" i="22" s="1"/>
  <c r="AH4" i="22" s="1"/>
  <c r="AI4" i="22" s="1"/>
  <c r="AJ4" i="22" s="1"/>
  <c r="AK4" i="22" s="1"/>
  <c r="AL4" i="22" s="1"/>
  <c r="AM4" i="22" s="1"/>
  <c r="AN4" i="22" s="1"/>
  <c r="AO4" i="22" s="1"/>
  <c r="AP4" i="22" s="1"/>
  <c r="AQ4" i="22" s="1"/>
  <c r="AR4" i="22" s="1"/>
  <c r="AS4" i="22" s="1"/>
  <c r="AT4" i="22" s="1"/>
  <c r="AU4" i="22" s="1"/>
  <c r="AV4" i="22" s="1"/>
  <c r="AW4" i="22" s="1"/>
  <c r="AX4" i="22" s="1"/>
  <c r="AY4" i="22" s="1"/>
  <c r="AZ4" i="22" s="1"/>
  <c r="BA4" i="22" s="1"/>
  <c r="BB4" i="22" s="1"/>
  <c r="BC4" i="22" s="1"/>
  <c r="BD4" i="22" s="1"/>
  <c r="BE4" i="22" s="1"/>
  <c r="BF4" i="22" s="1"/>
  <c r="BG4" i="22" s="1"/>
  <c r="BH4" i="22" s="1"/>
  <c r="BI4" i="22" s="1"/>
  <c r="BJ4" i="22" s="1"/>
  <c r="BK4" i="22" s="1"/>
  <c r="BL4" i="22" s="1"/>
  <c r="BM4" i="22" s="1"/>
  <c r="BN4" i="22" s="1"/>
  <c r="BO4" i="22" s="1"/>
  <c r="BP4" i="22" s="1"/>
  <c r="BQ4" i="22" s="1"/>
  <c r="BR4" i="22" s="1"/>
  <c r="BS4" i="22" s="1"/>
  <c r="BT4" i="22" s="1"/>
  <c r="BU4" i="22" s="1"/>
  <c r="BV4" i="22" s="1"/>
  <c r="BW4" i="22" s="1"/>
  <c r="BX4" i="22" s="1"/>
  <c r="BY4" i="22" s="1"/>
  <c r="BZ4" i="22" s="1"/>
  <c r="CA4" i="22" s="1"/>
  <c r="CB4" i="22" s="1"/>
  <c r="CC4" i="22" s="1"/>
  <c r="CD4" i="22" s="1"/>
  <c r="CE4" i="22" s="1"/>
  <c r="CF4" i="22" s="1"/>
  <c r="CG4" i="22" s="1"/>
  <c r="CH4" i="22" s="1"/>
  <c r="CI4" i="22" s="1"/>
  <c r="CJ4" i="22" s="1"/>
  <c r="CK4" i="22" s="1"/>
  <c r="CL4" i="22" s="1"/>
  <c r="CM4" i="22" s="1"/>
  <c r="CN4" i="22" s="1"/>
  <c r="CO4" i="22" s="1"/>
  <c r="CP4" i="22" s="1"/>
  <c r="CQ4" i="22" s="1"/>
  <c r="CR4" i="22" s="1"/>
  <c r="CS4" i="22" s="1"/>
  <c r="CT4" i="22" s="1"/>
  <c r="CU4" i="22" s="1"/>
  <c r="CV4" i="22" s="1"/>
  <c r="CW4" i="22" s="1"/>
  <c r="CX4" i="22" s="1"/>
  <c r="CY4" i="22" s="1"/>
  <c r="CZ4" i="22" s="1"/>
  <c r="DA4" i="22" s="1"/>
  <c r="DB4" i="22" s="1"/>
  <c r="DC4" i="22" s="1"/>
  <c r="DD4" i="22" s="1"/>
  <c r="DE4" i="22" s="1"/>
  <c r="DF4" i="22" s="1"/>
  <c r="DG4" i="22" s="1"/>
  <c r="DH4" i="22" s="1"/>
  <c r="DI4" i="22" s="1"/>
  <c r="DJ4" i="22" s="1"/>
  <c r="DK4" i="22" s="1"/>
  <c r="DL4" i="22" s="1"/>
  <c r="DM4" i="22" s="1"/>
  <c r="DN4" i="22" s="1"/>
  <c r="DO4" i="22" s="1"/>
  <c r="DP4" i="22" s="1"/>
  <c r="DQ4" i="22" s="1"/>
  <c r="DR4" i="22" s="1"/>
  <c r="DS4" i="22" s="1"/>
  <c r="DT4" i="22" s="1"/>
  <c r="DU4" i="22" s="1"/>
  <c r="DV4" i="22" s="1"/>
  <c r="DW4" i="22" s="1"/>
  <c r="DX4" i="22" s="1"/>
  <c r="DY4" i="22" s="1"/>
  <c r="DZ4" i="22" s="1"/>
  <c r="EA4" i="22" s="1"/>
  <c r="EB4" i="22" s="1"/>
  <c r="EC4" i="22" s="1"/>
  <c r="ED4" i="22" s="1"/>
  <c r="EE4" i="22" s="1"/>
  <c r="EF4" i="22" s="1"/>
  <c r="EG4" i="22" s="1"/>
  <c r="EH4" i="22" s="1"/>
  <c r="EI4" i="22" s="1"/>
  <c r="EJ4" i="22" s="1"/>
  <c r="EK4" i="22" s="1"/>
  <c r="EL4" i="22" s="1"/>
  <c r="EM4" i="22" s="1"/>
  <c r="EN4" i="22" s="1"/>
  <c r="EO4" i="22" s="1"/>
  <c r="EP4" i="22" s="1"/>
  <c r="EQ4" i="22" s="1"/>
  <c r="ER4" i="22" s="1"/>
  <c r="ES4" i="22" s="1"/>
  <c r="ET4" i="22" s="1"/>
  <c r="EU4" i="22" s="1"/>
  <c r="EV4" i="22" s="1"/>
  <c r="EW4" i="22" s="1"/>
  <c r="EX4" i="22" s="1"/>
  <c r="EY4" i="22" s="1"/>
  <c r="EZ4" i="22" s="1"/>
  <c r="FA4" i="22" s="1"/>
  <c r="FB4" i="22" s="1"/>
  <c r="FC4" i="22" s="1"/>
  <c r="FD4" i="22" s="1"/>
  <c r="FE4" i="22" s="1"/>
  <c r="FF4" i="22" s="1"/>
  <c r="FG4" i="22" s="1"/>
  <c r="FH4" i="22" s="1"/>
  <c r="FI4" i="22" s="1"/>
  <c r="FJ4" i="22" s="1"/>
  <c r="FK4" i="22" s="1"/>
  <c r="FL4" i="22" s="1"/>
  <c r="FM4" i="22" s="1"/>
  <c r="FN4" i="22" s="1"/>
  <c r="FO4" i="22" s="1"/>
  <c r="FP4" i="22" s="1"/>
  <c r="FQ4" i="22" s="1"/>
  <c r="FR4" i="22" s="1"/>
  <c r="FS4" i="22" s="1"/>
  <c r="FT4" i="22" s="1"/>
  <c r="FU4" i="22" s="1"/>
  <c r="FV4" i="22" s="1"/>
  <c r="FW4" i="22" s="1"/>
  <c r="FX4" i="22" s="1"/>
  <c r="FY4" i="22" s="1"/>
  <c r="FZ4" i="22" s="1"/>
  <c r="F92" i="22"/>
  <c r="G93" i="22" s="1"/>
  <c r="F41" i="4"/>
  <c r="F8" i="36"/>
  <c r="J8" i="36" s="1"/>
  <c r="I46" i="4"/>
  <c r="F31" i="4"/>
  <c r="G31" i="4" s="1"/>
  <c r="E33" i="4"/>
  <c r="E19" i="36"/>
  <c r="F19" i="36" s="1"/>
  <c r="J19" i="36" s="1"/>
  <c r="K19" i="36" s="1"/>
  <c r="L19" i="36" s="1"/>
  <c r="M19" i="36" s="1"/>
  <c r="N19" i="36" s="1"/>
  <c r="O19" i="36" s="1"/>
  <c r="P19" i="36" s="1"/>
  <c r="Q19" i="36" s="1"/>
  <c r="R19" i="36" s="1"/>
  <c r="E28" i="36"/>
  <c r="F28" i="36" s="1"/>
  <c r="I28" i="36" s="1"/>
  <c r="F37" i="4"/>
  <c r="F26" i="36"/>
  <c r="J26" i="36" s="1"/>
  <c r="K26" i="36" s="1"/>
  <c r="L26" i="36" s="1"/>
  <c r="M26" i="36" s="1"/>
  <c r="N26" i="36" s="1"/>
  <c r="O26" i="36" s="1"/>
  <c r="P26" i="36" s="1"/>
  <c r="Q26" i="36" s="1"/>
  <c r="R26" i="36" s="1"/>
  <c r="E35" i="36"/>
  <c r="F35" i="36" s="1"/>
  <c r="J35" i="36" s="1"/>
  <c r="K35" i="36" s="1"/>
  <c r="L35" i="36" s="1"/>
  <c r="M35" i="36" s="1"/>
  <c r="N35" i="36" s="1"/>
  <c r="O35" i="36" s="1"/>
  <c r="P35" i="36" s="1"/>
  <c r="Q35" i="36" s="1"/>
  <c r="R35" i="36" s="1"/>
  <c r="F14" i="36"/>
  <c r="J14" i="36" s="1"/>
  <c r="K14" i="36" s="1"/>
  <c r="L14" i="36" s="1"/>
  <c r="M14" i="36" s="1"/>
  <c r="N14" i="36" s="1"/>
  <c r="O14" i="36" s="1"/>
  <c r="P14" i="36" s="1"/>
  <c r="Q14" i="36" s="1"/>
  <c r="R14" i="36" s="1"/>
  <c r="E29" i="36"/>
  <c r="F29" i="36" s="1"/>
  <c r="J29" i="36" s="1"/>
  <c r="K29" i="36" s="1"/>
  <c r="L29" i="36" s="1"/>
  <c r="M29" i="36" s="1"/>
  <c r="N29" i="36" s="1"/>
  <c r="O29" i="36" s="1"/>
  <c r="P29" i="36" s="1"/>
  <c r="Q29" i="36" s="1"/>
  <c r="R29" i="36" s="1"/>
  <c r="E34" i="36"/>
  <c r="F34" i="36" s="1"/>
  <c r="D6" i="37"/>
  <c r="G27" i="16"/>
  <c r="D56" i="22"/>
  <c r="D69" i="22"/>
  <c r="E66" i="22"/>
  <c r="F66" i="22" s="1"/>
  <c r="E105" i="22"/>
  <c r="F106" i="22" s="1"/>
  <c r="D27" i="22"/>
  <c r="E29" i="22" s="1"/>
  <c r="E67" i="22"/>
  <c r="E55" i="22"/>
  <c r="C4" i="31"/>
  <c r="D133" i="4"/>
  <c r="I53" i="16"/>
  <c r="H54" i="16"/>
  <c r="D27" i="16"/>
  <c r="J27" i="16"/>
  <c r="I32" i="4"/>
  <c r="H101" i="4"/>
  <c r="H103" i="4" s="1"/>
  <c r="G103" i="4"/>
  <c r="L5" i="36"/>
  <c r="F27" i="16"/>
  <c r="E53" i="22"/>
  <c r="F103" i="4"/>
  <c r="I26" i="36"/>
  <c r="D38" i="36"/>
  <c r="D39" i="36" s="1"/>
  <c r="E25" i="36"/>
  <c r="J27" i="36"/>
  <c r="K27" i="36" s="1"/>
  <c r="L27" i="36" s="1"/>
  <c r="M27" i="36" s="1"/>
  <c r="N27" i="36" s="1"/>
  <c r="O27" i="36" s="1"/>
  <c r="P27" i="36" s="1"/>
  <c r="Q27" i="36" s="1"/>
  <c r="R27" i="36" s="1"/>
  <c r="I27" i="36"/>
  <c r="I29" i="36"/>
  <c r="J13" i="36"/>
  <c r="K13" i="36" s="1"/>
  <c r="L13" i="36" s="1"/>
  <c r="M13" i="36" s="1"/>
  <c r="N13" i="36" s="1"/>
  <c r="O13" i="36" s="1"/>
  <c r="P13" i="36" s="1"/>
  <c r="Q13" i="36" s="1"/>
  <c r="R13" i="36" s="1"/>
  <c r="J17" i="36"/>
  <c r="K17" i="36" s="1"/>
  <c r="L17" i="36" s="1"/>
  <c r="M17" i="36" s="1"/>
  <c r="N17" i="36" s="1"/>
  <c r="O17" i="36" s="1"/>
  <c r="P17" i="36" s="1"/>
  <c r="Q17" i="36" s="1"/>
  <c r="R17" i="36" s="1"/>
  <c r="J11" i="36"/>
  <c r="K11" i="36" s="1"/>
  <c r="L11" i="36" s="1"/>
  <c r="M11" i="36" s="1"/>
  <c r="N11" i="36" s="1"/>
  <c r="O11" i="36" s="1"/>
  <c r="P11" i="36" s="1"/>
  <c r="Q11" i="36" s="1"/>
  <c r="R11" i="36" s="1"/>
  <c r="J34" i="36"/>
  <c r="K34" i="36" s="1"/>
  <c r="L34" i="36" s="1"/>
  <c r="M34" i="36" s="1"/>
  <c r="N34" i="36" s="1"/>
  <c r="O34" i="36" s="1"/>
  <c r="P34" i="36" s="1"/>
  <c r="Q34" i="36" s="1"/>
  <c r="R34" i="36" s="1"/>
  <c r="C8" i="19"/>
  <c r="C38" i="36"/>
  <c r="C39" i="36" s="1"/>
  <c r="D7" i="19"/>
  <c r="B60" i="19" s="1"/>
  <c r="F169" i="4"/>
  <c r="F151" i="4"/>
  <c r="G151" i="4" s="1"/>
  <c r="H151" i="4" s="1"/>
  <c r="I151" i="4" s="1"/>
  <c r="J151" i="4" s="1"/>
  <c r="K151" i="4" s="1"/>
  <c r="L151" i="4" s="1"/>
  <c r="E153" i="4"/>
  <c r="F146" i="4"/>
  <c r="E148" i="4"/>
  <c r="F136" i="4"/>
  <c r="E138" i="4"/>
  <c r="F131" i="4"/>
  <c r="E133" i="4"/>
  <c r="F126" i="4"/>
  <c r="E128" i="4"/>
  <c r="E123" i="4"/>
  <c r="F121" i="4"/>
  <c r="G116" i="4"/>
  <c r="F118" i="4"/>
  <c r="F106" i="4"/>
  <c r="F93" i="4"/>
  <c r="G91" i="4"/>
  <c r="E93" i="4"/>
  <c r="D13" i="1"/>
  <c r="E23" i="1" s="1"/>
  <c r="E27" i="1" s="1"/>
  <c r="E72" i="1" s="1"/>
  <c r="H147" i="4"/>
  <c r="F69" i="4"/>
  <c r="H152" i="4"/>
  <c r="F40" i="1"/>
  <c r="E145" i="22" l="1"/>
  <c r="F144" i="22"/>
  <c r="G145" i="22" s="1"/>
  <c r="F146" i="22"/>
  <c r="F145" i="22"/>
  <c r="E146" i="22"/>
  <c r="E147" i="22" s="1"/>
  <c r="E132" i="22"/>
  <c r="E42" i="22"/>
  <c r="E40" i="22"/>
  <c r="F40" i="22" s="1"/>
  <c r="G40" i="22" s="1"/>
  <c r="E133" i="22"/>
  <c r="E13" i="1"/>
  <c r="F23" i="1" s="1"/>
  <c r="E12" i="1"/>
  <c r="F22" i="1" s="1"/>
  <c r="F36" i="36"/>
  <c r="I36" i="36" s="1"/>
  <c r="I37" i="36" s="1"/>
  <c r="E79" i="22"/>
  <c r="C29" i="21"/>
  <c r="J33" i="36"/>
  <c r="K33" i="36" s="1"/>
  <c r="L33" i="36" s="1"/>
  <c r="M33" i="36" s="1"/>
  <c r="N33" i="36" s="1"/>
  <c r="O33" i="36" s="1"/>
  <c r="P33" i="36" s="1"/>
  <c r="Q33" i="36" s="1"/>
  <c r="R33" i="36" s="1"/>
  <c r="J28" i="36"/>
  <c r="K28" i="36" s="1"/>
  <c r="L28" i="36" s="1"/>
  <c r="M28" i="36" s="1"/>
  <c r="N28" i="36" s="1"/>
  <c r="O28" i="36" s="1"/>
  <c r="P28" i="36" s="1"/>
  <c r="Q28" i="36" s="1"/>
  <c r="R28" i="36" s="1"/>
  <c r="E21" i="36"/>
  <c r="C197" i="4"/>
  <c r="C38" i="14" s="1"/>
  <c r="B41" i="21" s="1"/>
  <c r="I12" i="37"/>
  <c r="Q7" i="38"/>
  <c r="E7" i="38"/>
  <c r="A13" i="13"/>
  <c r="M19" i="16"/>
  <c r="I19" i="16"/>
  <c r="I10" i="18" s="1"/>
  <c r="I24" i="18" s="1"/>
  <c r="J24" i="18" s="1"/>
  <c r="K24" i="18" s="1"/>
  <c r="L24" i="18" s="1"/>
  <c r="M10" i="16"/>
  <c r="D30" i="16"/>
  <c r="E30" i="16" s="1"/>
  <c r="F30" i="16" s="1"/>
  <c r="G30" i="16" s="1"/>
  <c r="D35" i="16"/>
  <c r="E35" i="16" s="1"/>
  <c r="F35" i="16" s="1"/>
  <c r="G35" i="16" s="1"/>
  <c r="M15" i="16"/>
  <c r="I15" i="16"/>
  <c r="I11" i="18" s="1"/>
  <c r="F156" i="4"/>
  <c r="E171" i="4"/>
  <c r="E23" i="14" s="1"/>
  <c r="F67" i="4"/>
  <c r="E74" i="4"/>
  <c r="E15" i="14" s="1"/>
  <c r="E69" i="22"/>
  <c r="C11" i="18"/>
  <c r="C13" i="18" s="1"/>
  <c r="D13" i="18" s="1"/>
  <c r="E13" i="18" s="1"/>
  <c r="E39" i="21"/>
  <c r="G40" i="14"/>
  <c r="E48" i="1"/>
  <c r="E66" i="1" s="1"/>
  <c r="H40" i="14"/>
  <c r="F147" i="22"/>
  <c r="E108" i="22"/>
  <c r="G26" i="1"/>
  <c r="G24" i="1"/>
  <c r="G25" i="1"/>
  <c r="E56" i="22"/>
  <c r="E43" i="22"/>
  <c r="D30" i="22"/>
  <c r="C39" i="14"/>
  <c r="C175" i="4"/>
  <c r="C23" i="14"/>
  <c r="C18" i="14" s="1"/>
  <c r="D19" i="14"/>
  <c r="D18" i="14" s="1"/>
  <c r="E14" i="13" s="1"/>
  <c r="E108" i="4"/>
  <c r="G27" i="4"/>
  <c r="G28" i="4" s="1"/>
  <c r="G47" i="4"/>
  <c r="H47" i="4" s="1"/>
  <c r="H15" i="16"/>
  <c r="H19" i="16"/>
  <c r="H39" i="16" s="1"/>
  <c r="H15" i="1"/>
  <c r="H14" i="1"/>
  <c r="D8" i="19"/>
  <c r="B61" i="19" s="1"/>
  <c r="F21" i="19"/>
  <c r="I101" i="4"/>
  <c r="J101" i="4" s="1"/>
  <c r="G153" i="4"/>
  <c r="F142" i="4"/>
  <c r="E143" i="4"/>
  <c r="D175" i="4"/>
  <c r="F113" i="4"/>
  <c r="E43" i="4"/>
  <c r="C9" i="19"/>
  <c r="F6" i="19"/>
  <c r="H19" i="37"/>
  <c r="G13" i="37"/>
  <c r="H16" i="1" s="1"/>
  <c r="B14" i="20"/>
  <c r="C14" i="20" s="1"/>
  <c r="E14" i="20" s="1"/>
  <c r="G14" i="20" s="1"/>
  <c r="I14" i="20" s="1"/>
  <c r="F132" i="22"/>
  <c r="F134" i="22" s="1"/>
  <c r="E82" i="22"/>
  <c r="F5" i="37"/>
  <c r="E6" i="37"/>
  <c r="G24" i="37" s="1"/>
  <c r="F131" i="22"/>
  <c r="G133" i="22" s="1"/>
  <c r="E95" i="22"/>
  <c r="D33" i="21"/>
  <c r="F47" i="14"/>
  <c r="C11" i="16"/>
  <c r="F67" i="7"/>
  <c r="G29" i="7" s="1"/>
  <c r="G146" i="22"/>
  <c r="G147" i="22" s="1"/>
  <c r="F120" i="22"/>
  <c r="F121" i="22" s="1"/>
  <c r="G144" i="22"/>
  <c r="H146" i="22" s="1"/>
  <c r="F118" i="22"/>
  <c r="G120" i="22" s="1"/>
  <c r="E27" i="22"/>
  <c r="F27" i="22" s="1"/>
  <c r="F107" i="22"/>
  <c r="G94" i="22"/>
  <c r="G95" i="22" s="1"/>
  <c r="J46" i="4"/>
  <c r="G41" i="4"/>
  <c r="F43" i="4"/>
  <c r="K4" i="37"/>
  <c r="F105" i="22"/>
  <c r="F33" i="4"/>
  <c r="E121" i="22"/>
  <c r="H31" i="4"/>
  <c r="G33" i="4"/>
  <c r="E28" i="22"/>
  <c r="E30" i="22" s="1"/>
  <c r="G92" i="22"/>
  <c r="F21" i="36"/>
  <c r="G37" i="4"/>
  <c r="F38" i="4"/>
  <c r="D173" i="4"/>
  <c r="F68" i="22"/>
  <c r="F67" i="22"/>
  <c r="I54" i="16"/>
  <c r="J53" i="16"/>
  <c r="K8" i="36"/>
  <c r="J21" i="36"/>
  <c r="J32" i="4"/>
  <c r="E7" i="19"/>
  <c r="B22" i="19"/>
  <c r="D22" i="19" s="1"/>
  <c r="E22" i="19" s="1"/>
  <c r="E38" i="36"/>
  <c r="E39" i="36" s="1"/>
  <c r="F25" i="36"/>
  <c r="F53" i="22"/>
  <c r="F55" i="22"/>
  <c r="F54" i="22"/>
  <c r="M5" i="36"/>
  <c r="F153" i="4"/>
  <c r="G169" i="4"/>
  <c r="F148" i="4"/>
  <c r="G146" i="4"/>
  <c r="F138" i="4"/>
  <c r="G136" i="4"/>
  <c r="F133" i="4"/>
  <c r="G131" i="4"/>
  <c r="G126" i="4"/>
  <c r="F128" i="4"/>
  <c r="G121" i="4"/>
  <c r="F123" i="4"/>
  <c r="H116" i="4"/>
  <c r="G118" i="4"/>
  <c r="G106" i="4"/>
  <c r="F108" i="4"/>
  <c r="G93" i="4"/>
  <c r="H91" i="4"/>
  <c r="G66" i="22"/>
  <c r="G67" i="22"/>
  <c r="G68" i="22"/>
  <c r="B12" i="20"/>
  <c r="C12" i="20" s="1"/>
  <c r="E12" i="20" s="1"/>
  <c r="G12" i="20" s="1"/>
  <c r="I12" i="20" s="1"/>
  <c r="D17" i="1"/>
  <c r="G40" i="1"/>
  <c r="H153" i="4"/>
  <c r="I152" i="4"/>
  <c r="G113" i="4"/>
  <c r="G69" i="4"/>
  <c r="I147" i="4"/>
  <c r="C191" i="4" l="1"/>
  <c r="F41" i="22"/>
  <c r="G42" i="22"/>
  <c r="E134" i="22"/>
  <c r="F42" i="22"/>
  <c r="G41" i="22"/>
  <c r="H41" i="22"/>
  <c r="H40" i="22"/>
  <c r="I40" i="22" s="1"/>
  <c r="H42" i="22"/>
  <c r="H43" i="22" s="1"/>
  <c r="F79" i="22"/>
  <c r="F81" i="22"/>
  <c r="F80" i="22"/>
  <c r="H21" i="19"/>
  <c r="H6" i="19"/>
  <c r="J6" i="19" s="1"/>
  <c r="E175" i="4"/>
  <c r="D17" i="13"/>
  <c r="D29" i="21"/>
  <c r="B29" i="21"/>
  <c r="I103" i="4"/>
  <c r="J12" i="37"/>
  <c r="I39" i="16"/>
  <c r="J39" i="16" s="1"/>
  <c r="K39" i="16" s="1"/>
  <c r="L39" i="16" s="1"/>
  <c r="M39" i="16" s="1"/>
  <c r="G5" i="37"/>
  <c r="H27" i="4"/>
  <c r="I27" i="4" s="1"/>
  <c r="J27" i="4" s="1"/>
  <c r="D14" i="13"/>
  <c r="B38" i="21"/>
  <c r="F39" i="21"/>
  <c r="I27" i="16"/>
  <c r="D31" i="16"/>
  <c r="E31" i="16" s="1"/>
  <c r="F31" i="16" s="1"/>
  <c r="G31" i="16" s="1"/>
  <c r="H31" i="16" s="1"/>
  <c r="I31" i="16" s="1"/>
  <c r="J31" i="16" s="1"/>
  <c r="K31" i="16" s="1"/>
  <c r="L31" i="16" s="1"/>
  <c r="M31" i="16" s="1"/>
  <c r="H35" i="16"/>
  <c r="I35" i="16" s="1"/>
  <c r="J35" i="16" s="1"/>
  <c r="K35" i="16" s="1"/>
  <c r="L35" i="16" s="1"/>
  <c r="M35" i="16" s="1"/>
  <c r="M27" i="16"/>
  <c r="G156" i="4"/>
  <c r="F171" i="4"/>
  <c r="F23" i="14" s="1"/>
  <c r="G67" i="4"/>
  <c r="F74" i="4"/>
  <c r="F15" i="14" s="1"/>
  <c r="H30" i="16"/>
  <c r="I30" i="16" s="1"/>
  <c r="J30" i="16" s="1"/>
  <c r="K30" i="16" s="1"/>
  <c r="L30" i="16" s="1"/>
  <c r="M30" i="16" s="1"/>
  <c r="C10" i="18"/>
  <c r="C12" i="18" s="1"/>
  <c r="L11" i="18"/>
  <c r="L31" i="18" s="1"/>
  <c r="C57" i="14"/>
  <c r="D39" i="14"/>
  <c r="D57" i="14" s="1"/>
  <c r="G39" i="21"/>
  <c r="I40" i="14"/>
  <c r="E47" i="1"/>
  <c r="E65" i="1" s="1"/>
  <c r="L10" i="18"/>
  <c r="L30" i="18" s="1"/>
  <c r="G48" i="4"/>
  <c r="F108" i="22"/>
  <c r="C192" i="4"/>
  <c r="H10" i="18"/>
  <c r="H22" i="18" s="1"/>
  <c r="I22" i="18" s="1"/>
  <c r="J22" i="18" s="1"/>
  <c r="K22" i="18" s="1"/>
  <c r="L22" i="18" s="1"/>
  <c r="H11" i="18"/>
  <c r="H23" i="18" s="1"/>
  <c r="I23" i="18" s="1"/>
  <c r="J23" i="18" s="1"/>
  <c r="K23" i="18" s="1"/>
  <c r="L23" i="18" s="1"/>
  <c r="C38" i="18"/>
  <c r="C40" i="18" s="1"/>
  <c r="D40" i="18" s="1"/>
  <c r="E40" i="18" s="1"/>
  <c r="F40" i="18" s="1"/>
  <c r="G40" i="18" s="1"/>
  <c r="E173" i="4"/>
  <c r="E19" i="14"/>
  <c r="E18" i="14" s="1"/>
  <c r="F14" i="13" s="1"/>
  <c r="L27" i="16"/>
  <c r="H27" i="16"/>
  <c r="F13" i="1"/>
  <c r="G23" i="1" s="1"/>
  <c r="F12" i="1"/>
  <c r="I15" i="1"/>
  <c r="I14" i="1"/>
  <c r="D9" i="19"/>
  <c r="B62" i="19" s="1"/>
  <c r="F22" i="19"/>
  <c r="F143" i="4"/>
  <c r="F19" i="14" s="1"/>
  <c r="G142" i="4"/>
  <c r="C10" i="19"/>
  <c r="F7" i="19"/>
  <c r="F50" i="1"/>
  <c r="F68" i="1" s="1"/>
  <c r="I19" i="37"/>
  <c r="H13" i="37"/>
  <c r="I16" i="1" s="1"/>
  <c r="G119" i="22"/>
  <c r="B11" i="20"/>
  <c r="C11" i="20" s="1"/>
  <c r="G131" i="22"/>
  <c r="H131" i="22" s="1"/>
  <c r="B15" i="20"/>
  <c r="C15" i="20" s="1"/>
  <c r="E15" i="20" s="1"/>
  <c r="G15" i="20" s="1"/>
  <c r="I15" i="20" s="1"/>
  <c r="B13" i="20"/>
  <c r="C13" i="20" s="1"/>
  <c r="E13" i="20" s="1"/>
  <c r="G13" i="20" s="1"/>
  <c r="I13" i="20" s="1"/>
  <c r="G43" i="22"/>
  <c r="E106" i="1"/>
  <c r="E138" i="1" s="1"/>
  <c r="E17" i="1"/>
  <c r="I25" i="18"/>
  <c r="J25" i="18" s="1"/>
  <c r="K25" i="18" s="1"/>
  <c r="L25" i="18" s="1"/>
  <c r="F6" i="37"/>
  <c r="H24" i="37" s="1"/>
  <c r="G132" i="22"/>
  <c r="G134" i="22" s="1"/>
  <c r="H145" i="22"/>
  <c r="H147" i="22" s="1"/>
  <c r="F28" i="22"/>
  <c r="G118" i="22"/>
  <c r="H118" i="22" s="1"/>
  <c r="G30" i="13"/>
  <c r="G47" i="14"/>
  <c r="E33" i="21"/>
  <c r="C18" i="4"/>
  <c r="C20" i="4" s="1"/>
  <c r="C22" i="4" s="1"/>
  <c r="C23" i="4" s="1"/>
  <c r="C62" i="4"/>
  <c r="C64" i="4" s="1"/>
  <c r="C14" i="14" s="1"/>
  <c r="B28" i="21" s="1"/>
  <c r="C12" i="4"/>
  <c r="C27" i="16"/>
  <c r="C58" i="16" s="1"/>
  <c r="C59" i="16" s="1"/>
  <c r="B66" i="18" s="1"/>
  <c r="H144" i="22"/>
  <c r="I145" i="22" s="1"/>
  <c r="F29" i="22"/>
  <c r="I47" i="4"/>
  <c r="H48" i="4"/>
  <c r="F69" i="22"/>
  <c r="I31" i="4"/>
  <c r="H33" i="4"/>
  <c r="G106" i="22"/>
  <c r="G105" i="22"/>
  <c r="G107" i="22"/>
  <c r="H37" i="4"/>
  <c r="G38" i="4"/>
  <c r="L4" i="37"/>
  <c r="M4" i="37" s="1"/>
  <c r="N4" i="37" s="1"/>
  <c r="O4" i="37" s="1"/>
  <c r="H93" i="22"/>
  <c r="H94" i="22"/>
  <c r="H92" i="22"/>
  <c r="H41" i="4"/>
  <c r="G43" i="4"/>
  <c r="K46" i="4"/>
  <c r="F56" i="22"/>
  <c r="J54" i="16"/>
  <c r="K53" i="16"/>
  <c r="E8" i="19"/>
  <c r="B23" i="19"/>
  <c r="D23" i="19" s="1"/>
  <c r="E23" i="19" s="1"/>
  <c r="F30" i="36"/>
  <c r="F38" i="36"/>
  <c r="F39" i="36" s="1"/>
  <c r="I25" i="36"/>
  <c r="I30" i="36" s="1"/>
  <c r="J25" i="36"/>
  <c r="K32" i="4"/>
  <c r="N5" i="36"/>
  <c r="G55" i="22"/>
  <c r="G54" i="22"/>
  <c r="G53" i="22"/>
  <c r="L8" i="36"/>
  <c r="K21" i="36"/>
  <c r="H169" i="4"/>
  <c r="H146" i="4"/>
  <c r="G148" i="4"/>
  <c r="H136" i="4"/>
  <c r="G138" i="4"/>
  <c r="H131" i="4"/>
  <c r="G133" i="4"/>
  <c r="G128" i="4"/>
  <c r="H126" i="4"/>
  <c r="H121" i="4"/>
  <c r="G123" i="4"/>
  <c r="I116" i="4"/>
  <c r="H118" i="4"/>
  <c r="H106" i="4"/>
  <c r="G108" i="4"/>
  <c r="K101" i="4"/>
  <c r="J103" i="4"/>
  <c r="I91" i="4"/>
  <c r="H93" i="4"/>
  <c r="H68" i="22"/>
  <c r="H67" i="22"/>
  <c r="H66" i="22"/>
  <c r="G29" i="22"/>
  <c r="G27" i="22"/>
  <c r="G28" i="22"/>
  <c r="G69" i="22"/>
  <c r="E103" i="1"/>
  <c r="F51" i="1"/>
  <c r="F69" i="1" s="1"/>
  <c r="E104" i="1"/>
  <c r="J147" i="4"/>
  <c r="F13" i="18"/>
  <c r="H40" i="1"/>
  <c r="H69" i="4"/>
  <c r="H113" i="4"/>
  <c r="J152" i="4"/>
  <c r="I153" i="4"/>
  <c r="D194" i="4" l="1"/>
  <c r="D193" i="4"/>
  <c r="F43" i="22"/>
  <c r="F82" i="22"/>
  <c r="I42" i="22"/>
  <c r="I41" i="22"/>
  <c r="C213" i="4"/>
  <c r="E135" i="1"/>
  <c r="C233" i="4" s="1"/>
  <c r="C214" i="4"/>
  <c r="E136" i="1"/>
  <c r="C234" i="4" s="1"/>
  <c r="G81" i="22"/>
  <c r="G79" i="22"/>
  <c r="G80" i="22"/>
  <c r="I28" i="4"/>
  <c r="B42" i="19"/>
  <c r="C42" i="19" s="1"/>
  <c r="D42" i="19" s="1"/>
  <c r="E42" i="19" s="1"/>
  <c r="F42" i="19" s="1"/>
  <c r="G42" i="19" s="1"/>
  <c r="H42" i="19" s="1"/>
  <c r="I42" i="19" s="1"/>
  <c r="J42" i="19" s="1"/>
  <c r="K42" i="19" s="1"/>
  <c r="L42" i="19" s="1"/>
  <c r="M42" i="19" s="1"/>
  <c r="N42" i="19" s="1"/>
  <c r="O42" i="19" s="1"/>
  <c r="P42" i="19" s="1"/>
  <c r="J21" i="19"/>
  <c r="H22" i="19"/>
  <c r="H7" i="19"/>
  <c r="B33" i="19"/>
  <c r="C33" i="19" s="1"/>
  <c r="D33" i="19" s="1"/>
  <c r="E33" i="19" s="1"/>
  <c r="F33" i="19" s="1"/>
  <c r="G33" i="19" s="1"/>
  <c r="H33" i="19" s="1"/>
  <c r="I33" i="19" s="1"/>
  <c r="J33" i="19" s="1"/>
  <c r="K33" i="19" s="1"/>
  <c r="L33" i="19" s="1"/>
  <c r="M33" i="19" s="1"/>
  <c r="N33" i="19" s="1"/>
  <c r="O33" i="19" s="1"/>
  <c r="P33" i="19" s="1"/>
  <c r="D11" i="20"/>
  <c r="J11" i="20" s="1"/>
  <c r="B23" i="32"/>
  <c r="E29" i="21"/>
  <c r="I31" i="36"/>
  <c r="H28" i="4"/>
  <c r="K12" i="37"/>
  <c r="G6" i="37"/>
  <c r="B24" i="19"/>
  <c r="D24" i="19" s="1"/>
  <c r="E24" i="19" s="1"/>
  <c r="E9" i="19"/>
  <c r="F9" i="19" s="1"/>
  <c r="H5" i="37"/>
  <c r="F175" i="4"/>
  <c r="C37" i="18"/>
  <c r="C39" i="18" s="1"/>
  <c r="F18" i="14"/>
  <c r="G14" i="13" s="1"/>
  <c r="H156" i="4"/>
  <c r="G171" i="4"/>
  <c r="G23" i="14" s="1"/>
  <c r="H67" i="4"/>
  <c r="G74" i="4"/>
  <c r="G15" i="14" s="1"/>
  <c r="C38" i="21"/>
  <c r="E39" i="14"/>
  <c r="D38" i="21" s="1"/>
  <c r="C51" i="4"/>
  <c r="C56" i="4" s="1"/>
  <c r="C59" i="4" s="1"/>
  <c r="C13" i="14" s="1"/>
  <c r="B27" i="21" s="1"/>
  <c r="H39" i="21"/>
  <c r="J40" i="14"/>
  <c r="E70" i="1"/>
  <c r="E52" i="1"/>
  <c r="F48" i="1"/>
  <c r="F66" i="1" s="1"/>
  <c r="F47" i="1"/>
  <c r="F65" i="1" s="1"/>
  <c r="G22" i="1"/>
  <c r="G27" i="1" s="1"/>
  <c r="F142" i="1"/>
  <c r="G121" i="22"/>
  <c r="F173" i="4"/>
  <c r="C193" i="4"/>
  <c r="E142" i="1"/>
  <c r="D38" i="18"/>
  <c r="D42" i="18" s="1"/>
  <c r="E42" i="18" s="1"/>
  <c r="F42" i="18" s="1"/>
  <c r="G37" i="18"/>
  <c r="D37" i="18"/>
  <c r="L37" i="18"/>
  <c r="L57" i="18" s="1"/>
  <c r="K37" i="18"/>
  <c r="K55" i="18" s="1"/>
  <c r="J15" i="1"/>
  <c r="J14" i="1"/>
  <c r="G13" i="1"/>
  <c r="H23" i="1" s="1"/>
  <c r="G12" i="1"/>
  <c r="G47" i="1" s="1"/>
  <c r="G65" i="1" s="1"/>
  <c r="F73" i="7"/>
  <c r="D10" i="19"/>
  <c r="B63" i="19" s="1"/>
  <c r="F23" i="19"/>
  <c r="G143" i="4"/>
  <c r="G19" i="14" s="1"/>
  <c r="H142" i="4"/>
  <c r="C11" i="19"/>
  <c r="F8" i="19"/>
  <c r="H25" i="1"/>
  <c r="G44" i="7"/>
  <c r="G14" i="7"/>
  <c r="E105" i="1"/>
  <c r="G36" i="7"/>
  <c r="G53" i="7"/>
  <c r="J19" i="37"/>
  <c r="I13" i="37"/>
  <c r="J16" i="1" s="1"/>
  <c r="H133" i="22"/>
  <c r="H132" i="22"/>
  <c r="G25" i="7"/>
  <c r="G34" i="7"/>
  <c r="F17" i="1"/>
  <c r="B16" i="20"/>
  <c r="F27" i="1"/>
  <c r="F72" i="1" s="1"/>
  <c r="G23" i="7"/>
  <c r="F49" i="1"/>
  <c r="F67" i="1" s="1"/>
  <c r="G62" i="7"/>
  <c r="G17" i="7"/>
  <c r="H119" i="22"/>
  <c r="G24" i="7"/>
  <c r="I146" i="22"/>
  <c r="G60" i="7"/>
  <c r="G67" i="7"/>
  <c r="G57" i="7"/>
  <c r="G22" i="7"/>
  <c r="G26" i="7"/>
  <c r="G41" i="7"/>
  <c r="G58" i="7"/>
  <c r="G16" i="7"/>
  <c r="G13" i="7"/>
  <c r="G48" i="7"/>
  <c r="G33" i="7"/>
  <c r="G51" i="7"/>
  <c r="G43" i="7"/>
  <c r="G49" i="7"/>
  <c r="G50" i="7"/>
  <c r="G19" i="7"/>
  <c r="G20" i="7"/>
  <c r="G65" i="7"/>
  <c r="G15" i="7"/>
  <c r="G55" i="7"/>
  <c r="G52" i="7"/>
  <c r="G47" i="7"/>
  <c r="G28" i="7"/>
  <c r="G38" i="7"/>
  <c r="G56" i="7"/>
  <c r="G63" i="7"/>
  <c r="I144" i="22"/>
  <c r="J144" i="22" s="1"/>
  <c r="H120" i="22"/>
  <c r="G39" i="7"/>
  <c r="G61" i="7"/>
  <c r="G27" i="7"/>
  <c r="G45" i="7"/>
  <c r="G12" i="7"/>
  <c r="G54" i="7"/>
  <c r="G37" i="7"/>
  <c r="G18" i="7"/>
  <c r="G59" i="7"/>
  <c r="G21" i="7"/>
  <c r="G42" i="7"/>
  <c r="G40" i="7"/>
  <c r="G35" i="7"/>
  <c r="F30" i="22"/>
  <c r="H30" i="13"/>
  <c r="H47" i="14"/>
  <c r="F33" i="21"/>
  <c r="D12" i="18"/>
  <c r="D34" i="18" s="1"/>
  <c r="C34" i="18"/>
  <c r="C14" i="4"/>
  <c r="C15" i="4" s="1"/>
  <c r="D47" i="16"/>
  <c r="D58" i="16" s="1"/>
  <c r="D59" i="16" s="1"/>
  <c r="C66" i="18" s="1"/>
  <c r="C68" i="18" s="1"/>
  <c r="D62" i="4"/>
  <c r="D64" i="4" s="1"/>
  <c r="D14" i="14" s="1"/>
  <c r="C28" i="21" s="1"/>
  <c r="D12" i="4"/>
  <c r="D14" i="4" s="1"/>
  <c r="D15" i="4" s="1"/>
  <c r="D18" i="4"/>
  <c r="D20" i="4" s="1"/>
  <c r="D22" i="4" s="1"/>
  <c r="D23" i="4" s="1"/>
  <c r="J47" i="4"/>
  <c r="I48" i="4"/>
  <c r="G108" i="22"/>
  <c r="H95" i="22"/>
  <c r="L46" i="4"/>
  <c r="I92" i="22"/>
  <c r="I93" i="22"/>
  <c r="I94" i="22"/>
  <c r="H107" i="22"/>
  <c r="H105" i="22"/>
  <c r="H106" i="22"/>
  <c r="I41" i="4"/>
  <c r="H43" i="4"/>
  <c r="I37" i="4"/>
  <c r="H38" i="4"/>
  <c r="J31" i="4"/>
  <c r="I33" i="4"/>
  <c r="G30" i="22"/>
  <c r="K54" i="16"/>
  <c r="L53" i="16"/>
  <c r="G56" i="22"/>
  <c r="M8" i="36"/>
  <c r="L21" i="36"/>
  <c r="L32" i="4"/>
  <c r="I43" i="22"/>
  <c r="H54" i="22"/>
  <c r="H55" i="22"/>
  <c r="H53" i="22"/>
  <c r="O5" i="36"/>
  <c r="I132" i="22"/>
  <c r="I131" i="22"/>
  <c r="I133" i="22"/>
  <c r="J41" i="22"/>
  <c r="J42" i="22"/>
  <c r="J40" i="22"/>
  <c r="J38" i="36"/>
  <c r="J39" i="36" s="1"/>
  <c r="K25" i="36"/>
  <c r="E76" i="1"/>
  <c r="E84" i="1" s="1"/>
  <c r="I169" i="4"/>
  <c r="G175" i="4"/>
  <c r="I146" i="4"/>
  <c r="H148" i="4"/>
  <c r="I136" i="4"/>
  <c r="H138" i="4"/>
  <c r="I131" i="4"/>
  <c r="H133" i="4"/>
  <c r="I126" i="4"/>
  <c r="H128" i="4"/>
  <c r="I121" i="4"/>
  <c r="H123" i="4"/>
  <c r="J116" i="4"/>
  <c r="I118" i="4"/>
  <c r="H108" i="4"/>
  <c r="I106" i="4"/>
  <c r="K103" i="4"/>
  <c r="L101" i="4"/>
  <c r="L103" i="4" s="1"/>
  <c r="I93" i="4"/>
  <c r="J91" i="4"/>
  <c r="H69" i="22"/>
  <c r="I120" i="22"/>
  <c r="I118" i="22"/>
  <c r="I119" i="22"/>
  <c r="H27" i="22"/>
  <c r="H28" i="22"/>
  <c r="H29" i="22"/>
  <c r="I66" i="22"/>
  <c r="I67" i="22"/>
  <c r="I68" i="22"/>
  <c r="G51" i="1"/>
  <c r="G69" i="1" s="1"/>
  <c r="F106" i="1"/>
  <c r="F105" i="1"/>
  <c r="E118" i="1"/>
  <c r="E119" i="1"/>
  <c r="E11" i="20"/>
  <c r="C16" i="20"/>
  <c r="E121" i="1"/>
  <c r="G50" i="1"/>
  <c r="G68" i="1" s="1"/>
  <c r="I113" i="4"/>
  <c r="K27" i="4"/>
  <c r="J28" i="4"/>
  <c r="I69" i="4"/>
  <c r="G13" i="18"/>
  <c r="K147" i="4"/>
  <c r="J153" i="4"/>
  <c r="K152" i="4"/>
  <c r="I40" i="1"/>
  <c r="E194" i="4" l="1"/>
  <c r="D190" i="4"/>
  <c r="E190" i="4"/>
  <c r="D191" i="4"/>
  <c r="E193" i="4"/>
  <c r="G82" i="22"/>
  <c r="D215" i="4"/>
  <c r="F137" i="1"/>
  <c r="D235" i="4" s="1"/>
  <c r="H80" i="22"/>
  <c r="H81" i="22"/>
  <c r="H79" i="22"/>
  <c r="D216" i="4"/>
  <c r="F138" i="1"/>
  <c r="D236" i="4" s="1"/>
  <c r="E120" i="1"/>
  <c r="E137" i="1"/>
  <c r="C28" i="13"/>
  <c r="C34" i="13" s="1"/>
  <c r="F75" i="7"/>
  <c r="F77" i="7" s="1"/>
  <c r="C11" i="14"/>
  <c r="B25" i="21" s="1"/>
  <c r="B43" i="19"/>
  <c r="C43" i="19" s="1"/>
  <c r="D43" i="19" s="1"/>
  <c r="E43" i="19" s="1"/>
  <c r="F43" i="19" s="1"/>
  <c r="G43" i="19" s="1"/>
  <c r="H43" i="19" s="1"/>
  <c r="I43" i="19" s="1"/>
  <c r="J43" i="19" s="1"/>
  <c r="K43" i="19" s="1"/>
  <c r="L43" i="19" s="1"/>
  <c r="M43" i="19" s="1"/>
  <c r="N43" i="19" s="1"/>
  <c r="O43" i="19" s="1"/>
  <c r="P43" i="19" s="1"/>
  <c r="J22" i="19"/>
  <c r="H23" i="19"/>
  <c r="H9" i="19"/>
  <c r="H8" i="19"/>
  <c r="B34" i="19"/>
  <c r="C34" i="19" s="1"/>
  <c r="D34" i="19" s="1"/>
  <c r="E34" i="19" s="1"/>
  <c r="F34" i="19" s="1"/>
  <c r="G34" i="19" s="1"/>
  <c r="H34" i="19" s="1"/>
  <c r="I34" i="19" s="1"/>
  <c r="J34" i="19" s="1"/>
  <c r="K34" i="19" s="1"/>
  <c r="L34" i="19" s="1"/>
  <c r="M34" i="19" s="1"/>
  <c r="N34" i="19" s="1"/>
  <c r="O34" i="19" s="1"/>
  <c r="P34" i="19" s="1"/>
  <c r="J7" i="19"/>
  <c r="D12" i="20"/>
  <c r="J12" i="20" s="1"/>
  <c r="F29" i="21"/>
  <c r="H12" i="1"/>
  <c r="H47" i="1" s="1"/>
  <c r="H65" i="1" s="1"/>
  <c r="I24" i="37"/>
  <c r="F24" i="19"/>
  <c r="H13" i="1"/>
  <c r="I23" i="1" s="1"/>
  <c r="L12" i="37"/>
  <c r="F103" i="1"/>
  <c r="I5" i="37"/>
  <c r="H6" i="37"/>
  <c r="J24" i="37" s="1"/>
  <c r="G18" i="14"/>
  <c r="H14" i="13" s="1"/>
  <c r="I156" i="4"/>
  <c r="H171" i="4"/>
  <c r="H23" i="14" s="1"/>
  <c r="I67" i="4"/>
  <c r="H74" i="4"/>
  <c r="H15" i="14" s="1"/>
  <c r="C53" i="4"/>
  <c r="C76" i="4" s="1"/>
  <c r="E57" i="14"/>
  <c r="F39" i="14"/>
  <c r="E102" i="1"/>
  <c r="E134" i="1" s="1"/>
  <c r="E166" i="1" s="1"/>
  <c r="C190" i="4"/>
  <c r="I39" i="21"/>
  <c r="K40" i="14"/>
  <c r="G48" i="1"/>
  <c r="G66" i="1" s="1"/>
  <c r="F102" i="1"/>
  <c r="D197" i="4"/>
  <c r="D38" i="14" s="1"/>
  <c r="F104" i="1"/>
  <c r="D192" i="4"/>
  <c r="C215" i="4"/>
  <c r="I147" i="22"/>
  <c r="G173" i="4"/>
  <c r="C236" i="4"/>
  <c r="C216" i="4"/>
  <c r="C194" i="4"/>
  <c r="F37" i="18"/>
  <c r="E37" i="18"/>
  <c r="H37" i="18"/>
  <c r="E38" i="18"/>
  <c r="E44" i="18" s="1"/>
  <c r="F44" i="18" s="1"/>
  <c r="G44" i="18" s="1"/>
  <c r="H44" i="18" s="1"/>
  <c r="I44" i="18" s="1"/>
  <c r="K14" i="1"/>
  <c r="K15" i="1"/>
  <c r="B25" i="19"/>
  <c r="D25" i="19" s="1"/>
  <c r="E25" i="19" s="1"/>
  <c r="F25" i="19" s="1"/>
  <c r="E10" i="19"/>
  <c r="F10" i="19" s="1"/>
  <c r="D11" i="19"/>
  <c r="B64" i="19" s="1"/>
  <c r="H143" i="4"/>
  <c r="H19" i="14" s="1"/>
  <c r="I142" i="4"/>
  <c r="G142" i="1"/>
  <c r="C235" i="4"/>
  <c r="J145" i="22"/>
  <c r="H134" i="22"/>
  <c r="J146" i="22"/>
  <c r="C11" i="31"/>
  <c r="K19" i="37"/>
  <c r="J13" i="37"/>
  <c r="K16" i="1" s="1"/>
  <c r="H22" i="1"/>
  <c r="F70" i="1"/>
  <c r="F52" i="1"/>
  <c r="G72" i="1"/>
  <c r="B8" i="21"/>
  <c r="H26" i="1"/>
  <c r="G49" i="1"/>
  <c r="G67" i="1" s="1"/>
  <c r="H24" i="1"/>
  <c r="G73" i="7"/>
  <c r="H121" i="22"/>
  <c r="G17" i="1"/>
  <c r="C23" i="13"/>
  <c r="C25" i="13" s="1"/>
  <c r="G31" i="7"/>
  <c r="G33" i="21"/>
  <c r="I30" i="13"/>
  <c r="I47" i="14"/>
  <c r="E12" i="18"/>
  <c r="D41" i="18"/>
  <c r="E41" i="18" s="1"/>
  <c r="F41" i="18" s="1"/>
  <c r="G41" i="18" s="1"/>
  <c r="H41" i="18" s="1"/>
  <c r="I41" i="18" s="1"/>
  <c r="J41" i="18" s="1"/>
  <c r="K41" i="18" s="1"/>
  <c r="L41" i="18" s="1"/>
  <c r="E47" i="16"/>
  <c r="E58" i="16" s="1"/>
  <c r="E59" i="16" s="1"/>
  <c r="D66" i="18" s="1"/>
  <c r="E62" i="4"/>
  <c r="E64" i="4" s="1"/>
  <c r="E14" i="14" s="1"/>
  <c r="D28" i="21" s="1"/>
  <c r="E18" i="4"/>
  <c r="E20" i="4" s="1"/>
  <c r="E22" i="4" s="1"/>
  <c r="E23" i="4" s="1"/>
  <c r="E12" i="4"/>
  <c r="E14" i="4" s="1"/>
  <c r="E15" i="4" s="1"/>
  <c r="D51" i="4"/>
  <c r="D39" i="18"/>
  <c r="C61" i="18"/>
  <c r="C64" i="18" s="1"/>
  <c r="C69" i="18" s="1"/>
  <c r="K47" i="4"/>
  <c r="J48" i="4"/>
  <c r="H108" i="22"/>
  <c r="I95" i="22"/>
  <c r="G42" i="18"/>
  <c r="I106" i="22"/>
  <c r="I105" i="22"/>
  <c r="I107" i="22"/>
  <c r="K31" i="4"/>
  <c r="J33" i="4"/>
  <c r="J37" i="4"/>
  <c r="I38" i="4"/>
  <c r="J41" i="4"/>
  <c r="I43" i="4"/>
  <c r="J93" i="22"/>
  <c r="J94" i="22"/>
  <c r="J92" i="22"/>
  <c r="M53" i="16"/>
  <c r="M54" i="16" s="1"/>
  <c r="L54" i="16"/>
  <c r="P5" i="36"/>
  <c r="I134" i="22"/>
  <c r="K38" i="36"/>
  <c r="K39" i="36" s="1"/>
  <c r="L25" i="36"/>
  <c r="K41" i="22"/>
  <c r="K40" i="22"/>
  <c r="K42" i="22"/>
  <c r="J132" i="22"/>
  <c r="J133" i="22"/>
  <c r="J131" i="22"/>
  <c r="I54" i="22"/>
  <c r="I53" i="22"/>
  <c r="I55" i="22"/>
  <c r="H56" i="22"/>
  <c r="N8" i="36"/>
  <c r="M21" i="36"/>
  <c r="J43" i="22"/>
  <c r="E174" i="1"/>
  <c r="F76" i="1"/>
  <c r="F84" i="1" s="1"/>
  <c r="H142" i="1"/>
  <c r="J169" i="4"/>
  <c r="J146" i="4"/>
  <c r="I148" i="4"/>
  <c r="I138" i="4"/>
  <c r="J136" i="4"/>
  <c r="J131" i="4"/>
  <c r="I133" i="4"/>
  <c r="J126" i="4"/>
  <c r="I128" i="4"/>
  <c r="J121" i="4"/>
  <c r="I123" i="4"/>
  <c r="K116" i="4"/>
  <c r="J118" i="4"/>
  <c r="I108" i="4"/>
  <c r="J106" i="4"/>
  <c r="J93" i="4"/>
  <c r="K91" i="4"/>
  <c r="J119" i="22"/>
  <c r="J118" i="22"/>
  <c r="J120" i="22"/>
  <c r="I69" i="22"/>
  <c r="I121" i="22"/>
  <c r="H30" i="22"/>
  <c r="J67" i="22"/>
  <c r="J66" i="22"/>
  <c r="J68" i="22"/>
  <c r="I28" i="22"/>
  <c r="I27" i="22"/>
  <c r="I29" i="22"/>
  <c r="K145" i="22"/>
  <c r="K144" i="22"/>
  <c r="K146" i="22"/>
  <c r="G105" i="1"/>
  <c r="E170" i="1"/>
  <c r="C256" i="4" s="1"/>
  <c r="E168" i="1"/>
  <c r="C254" i="4" s="1"/>
  <c r="F121" i="1"/>
  <c r="H51" i="1"/>
  <c r="H69" i="1" s="1"/>
  <c r="I25" i="1"/>
  <c r="H50" i="1"/>
  <c r="H68" i="1" s="1"/>
  <c r="G11" i="20"/>
  <c r="E16" i="20"/>
  <c r="E167" i="1"/>
  <c r="C253" i="4" s="1"/>
  <c r="H49" i="1"/>
  <c r="H67" i="1" s="1"/>
  <c r="F120" i="1"/>
  <c r="G106" i="1"/>
  <c r="L152" i="4"/>
  <c r="L153" i="4" s="1"/>
  <c r="K153" i="4"/>
  <c r="L147" i="4"/>
  <c r="G102" i="1"/>
  <c r="K28" i="4"/>
  <c r="L27" i="4"/>
  <c r="L28" i="4" s="1"/>
  <c r="J40" i="1"/>
  <c r="J69" i="4"/>
  <c r="J113" i="4"/>
  <c r="E77" i="1" l="1"/>
  <c r="E85" i="1" s="1"/>
  <c r="F194" i="4"/>
  <c r="F192" i="4"/>
  <c r="F193" i="4"/>
  <c r="E192" i="4"/>
  <c r="E191" i="4"/>
  <c r="F190" i="4"/>
  <c r="H82" i="22"/>
  <c r="E215" i="4"/>
  <c r="G137" i="1"/>
  <c r="E235" i="4" s="1"/>
  <c r="D212" i="4"/>
  <c r="F134" i="1"/>
  <c r="D232" i="4" s="1"/>
  <c r="D213" i="4"/>
  <c r="F135" i="1"/>
  <c r="D233" i="4" s="1"/>
  <c r="E212" i="4"/>
  <c r="G134" i="1"/>
  <c r="E232" i="4" s="1"/>
  <c r="E216" i="4"/>
  <c r="G138" i="1"/>
  <c r="D214" i="4"/>
  <c r="F136" i="1"/>
  <c r="D234" i="4" s="1"/>
  <c r="I81" i="22"/>
  <c r="I79" i="22"/>
  <c r="I80" i="22"/>
  <c r="E143" i="1"/>
  <c r="E150" i="1" s="1"/>
  <c r="B44" i="19"/>
  <c r="J23" i="19"/>
  <c r="H25" i="19"/>
  <c r="H24" i="19"/>
  <c r="H10" i="19"/>
  <c r="J9" i="19"/>
  <c r="B36" i="19"/>
  <c r="C36" i="19" s="1"/>
  <c r="D36" i="19" s="1"/>
  <c r="E36" i="19" s="1"/>
  <c r="F36" i="19" s="1"/>
  <c r="G36" i="19" s="1"/>
  <c r="H36" i="19" s="1"/>
  <c r="I36" i="19" s="1"/>
  <c r="J36" i="19" s="1"/>
  <c r="K36" i="19" s="1"/>
  <c r="L36" i="19" s="1"/>
  <c r="M36" i="19" s="1"/>
  <c r="N36" i="19" s="1"/>
  <c r="O36" i="19" s="1"/>
  <c r="P36" i="19" s="1"/>
  <c r="D14" i="20"/>
  <c r="J14" i="20" s="1"/>
  <c r="B35" i="19"/>
  <c r="C35" i="19" s="1"/>
  <c r="D35" i="19" s="1"/>
  <c r="E35" i="19" s="1"/>
  <c r="F35" i="19" s="1"/>
  <c r="G35" i="19" s="1"/>
  <c r="H35" i="19" s="1"/>
  <c r="I35" i="19" s="1"/>
  <c r="J35" i="19" s="1"/>
  <c r="K35" i="19" s="1"/>
  <c r="L35" i="19" s="1"/>
  <c r="M35" i="19" s="1"/>
  <c r="N35" i="19" s="1"/>
  <c r="O35" i="19" s="1"/>
  <c r="P35" i="19" s="1"/>
  <c r="D13" i="20"/>
  <c r="J13" i="20" s="1"/>
  <c r="J8" i="19"/>
  <c r="H48" i="1"/>
  <c r="H66" i="1" s="1"/>
  <c r="H103" i="1" s="1"/>
  <c r="G29" i="21"/>
  <c r="M12" i="37"/>
  <c r="F118" i="1"/>
  <c r="J5" i="37"/>
  <c r="I6" i="37"/>
  <c r="K24" i="37" s="1"/>
  <c r="I12" i="1"/>
  <c r="I47" i="1" s="1"/>
  <c r="I65" i="1" s="1"/>
  <c r="I13" i="1"/>
  <c r="J23" i="1" s="1"/>
  <c r="C195" i="4"/>
  <c r="C33" i="14" s="1"/>
  <c r="C12" i="14"/>
  <c r="B26" i="21" s="1"/>
  <c r="C78" i="4"/>
  <c r="C12" i="31" s="1"/>
  <c r="E17" i="13"/>
  <c r="H175" i="4"/>
  <c r="H18" i="14"/>
  <c r="J156" i="4"/>
  <c r="I171" i="4"/>
  <c r="I23" i="14" s="1"/>
  <c r="J67" i="4"/>
  <c r="I74" i="4"/>
  <c r="I15" i="14" s="1"/>
  <c r="B21" i="22"/>
  <c r="B27" i="22" s="1"/>
  <c r="D11" i="31"/>
  <c r="F57" i="14"/>
  <c r="G39" i="14"/>
  <c r="E38" i="21"/>
  <c r="C212" i="4"/>
  <c r="C217" i="4" s="1"/>
  <c r="C34" i="14" s="1"/>
  <c r="E117" i="1"/>
  <c r="E122" i="1" s="1"/>
  <c r="B16" i="21" s="1"/>
  <c r="E107" i="1"/>
  <c r="B9" i="21" s="1"/>
  <c r="J39" i="21"/>
  <c r="L40" i="14"/>
  <c r="F117" i="1"/>
  <c r="F119" i="1"/>
  <c r="G103" i="1"/>
  <c r="F107" i="1"/>
  <c r="C9" i="21" s="1"/>
  <c r="C41" i="21"/>
  <c r="E197" i="4"/>
  <c r="E38" i="14" s="1"/>
  <c r="D41" i="21" s="1"/>
  <c r="D61" i="18"/>
  <c r="D64" i="18" s="1"/>
  <c r="D69" i="18" s="1"/>
  <c r="D68" i="18"/>
  <c r="F143" i="1"/>
  <c r="F38" i="18"/>
  <c r="F46" i="18" s="1"/>
  <c r="G46" i="18" s="1"/>
  <c r="H46" i="18" s="1"/>
  <c r="I46" i="18" s="1"/>
  <c r="J46" i="18" s="1"/>
  <c r="C16" i="14"/>
  <c r="J37" i="18"/>
  <c r="I37" i="18"/>
  <c r="D53" i="4"/>
  <c r="D12" i="14" s="1"/>
  <c r="C26" i="21" s="1"/>
  <c r="D56" i="4"/>
  <c r="D59" i="4" s="1"/>
  <c r="D13" i="14" s="1"/>
  <c r="C27" i="21" s="1"/>
  <c r="L15" i="1"/>
  <c r="L14" i="1"/>
  <c r="B8" i="22"/>
  <c r="C10" i="15"/>
  <c r="J142" i="4"/>
  <c r="I143" i="4"/>
  <c r="I19" i="14" s="1"/>
  <c r="H173" i="4"/>
  <c r="E11" i="19"/>
  <c r="E169" i="1"/>
  <c r="C255" i="4" s="1"/>
  <c r="J147" i="22"/>
  <c r="H17" i="1"/>
  <c r="C8" i="21"/>
  <c r="I49" i="1"/>
  <c r="I67" i="1" s="1"/>
  <c r="K13" i="37"/>
  <c r="L16" i="1" s="1"/>
  <c r="L19" i="37"/>
  <c r="I22" i="1"/>
  <c r="C36" i="13"/>
  <c r="C38" i="13" s="1"/>
  <c r="C42" i="13" s="1"/>
  <c r="D40" i="13" s="1"/>
  <c r="H27" i="1"/>
  <c r="H72" i="1" s="1"/>
  <c r="G104" i="1"/>
  <c r="G136" i="1" s="1"/>
  <c r="I24" i="1"/>
  <c r="G70" i="1"/>
  <c r="D8" i="21" s="1"/>
  <c r="I26" i="1"/>
  <c r="G52" i="1"/>
  <c r="J47" i="14"/>
  <c r="H33" i="21"/>
  <c r="J30" i="13"/>
  <c r="E39" i="18"/>
  <c r="F47" i="16"/>
  <c r="F58" i="16" s="1"/>
  <c r="F59" i="16" s="1"/>
  <c r="E66" i="18" s="1"/>
  <c r="E43" i="18"/>
  <c r="F43" i="18" s="1"/>
  <c r="G43" i="18" s="1"/>
  <c r="H43" i="18" s="1"/>
  <c r="I43" i="18" s="1"/>
  <c r="J43" i="18" s="1"/>
  <c r="K43" i="18" s="1"/>
  <c r="L43" i="18" s="1"/>
  <c r="E51" i="4"/>
  <c r="F12" i="18"/>
  <c r="E34" i="18"/>
  <c r="F62" i="4"/>
  <c r="F64" i="4" s="1"/>
  <c r="F14" i="14" s="1"/>
  <c r="E28" i="21" s="1"/>
  <c r="F18" i="4"/>
  <c r="F20" i="4" s="1"/>
  <c r="F22" i="4" s="1"/>
  <c r="F23" i="4" s="1"/>
  <c r="F12" i="4"/>
  <c r="F14" i="4" s="1"/>
  <c r="F15" i="4" s="1"/>
  <c r="D11" i="14"/>
  <c r="C25" i="21" s="1"/>
  <c r="L47" i="4"/>
  <c r="L48" i="4" s="1"/>
  <c r="K48" i="4"/>
  <c r="J95" i="22"/>
  <c r="K41" i="4"/>
  <c r="J43" i="4"/>
  <c r="L31" i="4"/>
  <c r="L33" i="4" s="1"/>
  <c r="K33" i="4"/>
  <c r="I108" i="22"/>
  <c r="K92" i="22"/>
  <c r="K93" i="22"/>
  <c r="K94" i="22"/>
  <c r="J105" i="22"/>
  <c r="J107" i="22"/>
  <c r="J106" i="22"/>
  <c r="J38" i="4"/>
  <c r="K37" i="4"/>
  <c r="H42" i="18"/>
  <c r="J134" i="22"/>
  <c r="O8" i="36"/>
  <c r="N21" i="36"/>
  <c r="D195" i="4"/>
  <c r="D33" i="14" s="1"/>
  <c r="L41" i="22"/>
  <c r="L40" i="22"/>
  <c r="L42" i="22"/>
  <c r="L38" i="36"/>
  <c r="L39" i="36" s="1"/>
  <c r="M25" i="36"/>
  <c r="F77" i="1"/>
  <c r="F85" i="1" s="1"/>
  <c r="I56" i="22"/>
  <c r="E79" i="1"/>
  <c r="E87" i="1" s="1"/>
  <c r="J55" i="22"/>
  <c r="J53" i="22"/>
  <c r="J54" i="22"/>
  <c r="K132" i="22"/>
  <c r="K133" i="22"/>
  <c r="K131" i="22"/>
  <c r="E175" i="1"/>
  <c r="E182" i="1" s="1"/>
  <c r="Q5" i="36"/>
  <c r="K43" i="22"/>
  <c r="G76" i="1"/>
  <c r="G84" i="1" s="1"/>
  <c r="F174" i="1"/>
  <c r="I142" i="1"/>
  <c r="K169" i="4"/>
  <c r="K146" i="4"/>
  <c r="J148" i="4"/>
  <c r="K136" i="4"/>
  <c r="J138" i="4"/>
  <c r="J133" i="4"/>
  <c r="K131" i="4"/>
  <c r="K126" i="4"/>
  <c r="J128" i="4"/>
  <c r="K121" i="4"/>
  <c r="J123" i="4"/>
  <c r="L116" i="4"/>
  <c r="L118" i="4" s="1"/>
  <c r="K118" i="4"/>
  <c r="K106" i="4"/>
  <c r="J108" i="4"/>
  <c r="L91" i="4"/>
  <c r="L93" i="4" s="1"/>
  <c r="K93" i="4"/>
  <c r="K120" i="22"/>
  <c r="K119" i="22"/>
  <c r="K118" i="22"/>
  <c r="J121" i="22"/>
  <c r="K67" i="22"/>
  <c r="K68" i="22"/>
  <c r="K66" i="22"/>
  <c r="I30" i="22"/>
  <c r="J27" i="22"/>
  <c r="J29" i="22"/>
  <c r="J28" i="22"/>
  <c r="J69" i="22"/>
  <c r="L146" i="22"/>
  <c r="L144" i="22"/>
  <c r="L145" i="22"/>
  <c r="K147" i="22"/>
  <c r="F4" i="34"/>
  <c r="D4" i="31"/>
  <c r="H104" i="1"/>
  <c r="I11" i="20"/>
  <c r="I16" i="20" s="1"/>
  <c r="G16" i="20"/>
  <c r="I50" i="1"/>
  <c r="I68" i="1" s="1"/>
  <c r="J25" i="1"/>
  <c r="H106" i="1"/>
  <c r="F170" i="1"/>
  <c r="D256" i="4" s="1"/>
  <c r="G121" i="1"/>
  <c r="E236" i="4"/>
  <c r="F169" i="1"/>
  <c r="D255" i="4" s="1"/>
  <c r="H105" i="1"/>
  <c r="I51" i="1"/>
  <c r="I69" i="1" s="1"/>
  <c r="G120" i="1"/>
  <c r="K69" i="4"/>
  <c r="K40" i="1"/>
  <c r="G117" i="1"/>
  <c r="L113" i="4"/>
  <c r="K113" i="4"/>
  <c r="H102" i="1"/>
  <c r="G190" i="4" l="1"/>
  <c r="G192" i="4"/>
  <c r="G194" i="4"/>
  <c r="G193" i="4"/>
  <c r="F191" i="4"/>
  <c r="I82" i="22"/>
  <c r="I48" i="1"/>
  <c r="I66" i="1" s="1"/>
  <c r="I70" i="1" s="1"/>
  <c r="H70" i="1"/>
  <c r="E8" i="21" s="1"/>
  <c r="H52" i="1"/>
  <c r="F215" i="4"/>
  <c r="H137" i="1"/>
  <c r="F235" i="4" s="1"/>
  <c r="F214" i="4"/>
  <c r="H136" i="1"/>
  <c r="F234" i="4" s="1"/>
  <c r="J79" i="22"/>
  <c r="J80" i="22"/>
  <c r="J81" i="22"/>
  <c r="F212" i="4"/>
  <c r="H134" i="1"/>
  <c r="F213" i="4"/>
  <c r="H135" i="1"/>
  <c r="F233" i="4" s="1"/>
  <c r="F216" i="4"/>
  <c r="H138" i="1"/>
  <c r="F236" i="4" s="1"/>
  <c r="E213" i="4"/>
  <c r="G135" i="1"/>
  <c r="B46" i="19"/>
  <c r="J25" i="19"/>
  <c r="J10" i="19"/>
  <c r="B37" i="19"/>
  <c r="C37" i="19" s="1"/>
  <c r="D37" i="19" s="1"/>
  <c r="E37" i="19" s="1"/>
  <c r="F37" i="19" s="1"/>
  <c r="G37" i="19" s="1"/>
  <c r="H37" i="19" s="1"/>
  <c r="I37" i="19" s="1"/>
  <c r="J37" i="19" s="1"/>
  <c r="K37" i="19" s="1"/>
  <c r="L37" i="19" s="1"/>
  <c r="M37" i="19" s="1"/>
  <c r="N37" i="19" s="1"/>
  <c r="O37" i="19" s="1"/>
  <c r="P37" i="19" s="1"/>
  <c r="D15" i="20"/>
  <c r="J15" i="20" s="1"/>
  <c r="B45" i="19"/>
  <c r="J24" i="19"/>
  <c r="E78" i="1"/>
  <c r="E86" i="1" s="1"/>
  <c r="C44" i="19"/>
  <c r="E144" i="1"/>
  <c r="E151" i="1" s="1"/>
  <c r="H29" i="21"/>
  <c r="C56" i="14"/>
  <c r="B30" i="21"/>
  <c r="F167" i="1"/>
  <c r="D253" i="4" s="1"/>
  <c r="N12" i="37"/>
  <c r="F150" i="1"/>
  <c r="J13" i="1"/>
  <c r="J48" i="1" s="1"/>
  <c r="J66" i="1" s="1"/>
  <c r="J12" i="1"/>
  <c r="J47" i="1" s="1"/>
  <c r="J65" i="1" s="1"/>
  <c r="K5" i="37"/>
  <c r="J6" i="37"/>
  <c r="L24" i="37" s="1"/>
  <c r="U6" i="38"/>
  <c r="D16" i="14"/>
  <c r="C10" i="14"/>
  <c r="D13" i="13" s="1"/>
  <c r="F12" i="38"/>
  <c r="R12" i="38" s="1"/>
  <c r="I18" i="14"/>
  <c r="J14" i="13" s="1"/>
  <c r="I14" i="13"/>
  <c r="I175" i="4"/>
  <c r="E190" i="1"/>
  <c r="C14" i="15"/>
  <c r="K39" i="21"/>
  <c r="F13" i="38"/>
  <c r="R13" i="38" s="1"/>
  <c r="K156" i="4"/>
  <c r="J171" i="4"/>
  <c r="J23" i="14" s="1"/>
  <c r="K67" i="4"/>
  <c r="J74" i="4"/>
  <c r="J15" i="14" s="1"/>
  <c r="I173" i="4"/>
  <c r="B24" i="22"/>
  <c r="G57" i="14"/>
  <c r="R30" i="38" s="1"/>
  <c r="F38" i="21"/>
  <c r="C232" i="4"/>
  <c r="C237" i="4" s="1"/>
  <c r="C35" i="14" s="1"/>
  <c r="E171" i="1"/>
  <c r="B11" i="21" s="1"/>
  <c r="E149" i="1"/>
  <c r="E139" i="1"/>
  <c r="B10" i="21" s="1"/>
  <c r="F122" i="1"/>
  <c r="C16" i="21" s="1"/>
  <c r="D78" i="4"/>
  <c r="D12" i="31" s="1"/>
  <c r="G118" i="1"/>
  <c r="F149" i="1"/>
  <c r="E233" i="4"/>
  <c r="F166" i="1"/>
  <c r="D252" i="4" s="1"/>
  <c r="F17" i="13"/>
  <c r="F139" i="1"/>
  <c r="C10" i="21" s="1"/>
  <c r="F168" i="1"/>
  <c r="D254" i="4" s="1"/>
  <c r="D76" i="4"/>
  <c r="F197" i="4"/>
  <c r="F38" i="14" s="1"/>
  <c r="G17" i="13" s="1"/>
  <c r="E234" i="4"/>
  <c r="E214" i="4"/>
  <c r="C70" i="18"/>
  <c r="G143" i="1"/>
  <c r="G38" i="18"/>
  <c r="G48" i="18" s="1"/>
  <c r="H48" i="18" s="1"/>
  <c r="I48" i="18" s="1"/>
  <c r="J48" i="18" s="1"/>
  <c r="K48" i="18" s="1"/>
  <c r="E61" i="18"/>
  <c r="E64" i="18" s="1"/>
  <c r="E69" i="18" s="1"/>
  <c r="E53" i="4"/>
  <c r="E78" i="4" s="1"/>
  <c r="E12" i="31" s="1"/>
  <c r="E56" i="4"/>
  <c r="E59" i="4" s="1"/>
  <c r="E13" i="14" s="1"/>
  <c r="D27" i="21" s="1"/>
  <c r="M15" i="1"/>
  <c r="M14" i="1"/>
  <c r="B11" i="22"/>
  <c r="C15" i="22" s="1"/>
  <c r="B14" i="22"/>
  <c r="C16" i="22" s="1"/>
  <c r="K142" i="4"/>
  <c r="J143" i="4"/>
  <c r="F11" i="19"/>
  <c r="J22" i="1"/>
  <c r="I17" i="1"/>
  <c r="J24" i="1"/>
  <c r="L13" i="37"/>
  <c r="M16" i="1" s="1"/>
  <c r="M19" i="37"/>
  <c r="G107" i="1"/>
  <c r="D9" i="21" s="1"/>
  <c r="G119" i="1"/>
  <c r="I27" i="1"/>
  <c r="I72" i="1" s="1"/>
  <c r="J26" i="1"/>
  <c r="K26" i="1" s="1"/>
  <c r="D217" i="4"/>
  <c r="D34" i="14" s="1"/>
  <c r="K47" i="14"/>
  <c r="I33" i="21"/>
  <c r="K30" i="13"/>
  <c r="E11" i="14"/>
  <c r="D25" i="21" s="1"/>
  <c r="G47" i="16"/>
  <c r="G58" i="16" s="1"/>
  <c r="G59" i="16" s="1"/>
  <c r="F66" i="18" s="1"/>
  <c r="F45" i="18"/>
  <c r="G45" i="18" s="1"/>
  <c r="H45" i="18" s="1"/>
  <c r="I45" i="18" s="1"/>
  <c r="J45" i="18" s="1"/>
  <c r="K45" i="18" s="1"/>
  <c r="L45" i="18" s="1"/>
  <c r="G62" i="4"/>
  <c r="G64" i="4" s="1"/>
  <c r="G14" i="14" s="1"/>
  <c r="F28" i="21" s="1"/>
  <c r="G12" i="4"/>
  <c r="G14" i="4" s="1"/>
  <c r="G15" i="4" s="1"/>
  <c r="G18" i="4"/>
  <c r="G20" i="4" s="1"/>
  <c r="G22" i="4" s="1"/>
  <c r="G23" i="4" s="1"/>
  <c r="F51" i="4"/>
  <c r="G12" i="18"/>
  <c r="F34" i="18"/>
  <c r="F39" i="18"/>
  <c r="K95" i="22"/>
  <c r="J108" i="22"/>
  <c r="L93" i="22"/>
  <c r="L94" i="22"/>
  <c r="L92" i="22"/>
  <c r="K38" i="4"/>
  <c r="L37" i="4"/>
  <c r="L38" i="4" s="1"/>
  <c r="L41" i="4"/>
  <c r="L43" i="4" s="1"/>
  <c r="K43" i="4"/>
  <c r="K105" i="22"/>
  <c r="K107" i="22"/>
  <c r="K106" i="22"/>
  <c r="J30" i="22"/>
  <c r="K134" i="22"/>
  <c r="R5" i="36"/>
  <c r="L133" i="22"/>
  <c r="L132" i="22"/>
  <c r="L131" i="22"/>
  <c r="K55" i="22"/>
  <c r="K53" i="22"/>
  <c r="K54" i="22"/>
  <c r="E177" i="1"/>
  <c r="E184" i="1" s="1"/>
  <c r="F175" i="1"/>
  <c r="M40" i="22"/>
  <c r="M42" i="22"/>
  <c r="M41" i="22"/>
  <c r="J56" i="22"/>
  <c r="F79" i="1"/>
  <c r="F87" i="1" s="1"/>
  <c r="F78" i="1"/>
  <c r="F86" i="1" s="1"/>
  <c r="G77" i="1"/>
  <c r="G85" i="1" s="1"/>
  <c r="M38" i="36"/>
  <c r="M39" i="36" s="1"/>
  <c r="N25" i="36"/>
  <c r="L43" i="22"/>
  <c r="E195" i="4"/>
  <c r="E33" i="14" s="1"/>
  <c r="P8" i="36"/>
  <c r="O21" i="36"/>
  <c r="H76" i="1"/>
  <c r="H84" i="1" s="1"/>
  <c r="G174" i="1"/>
  <c r="J142" i="1"/>
  <c r="L169" i="4"/>
  <c r="L146" i="4"/>
  <c r="L148" i="4" s="1"/>
  <c r="K148" i="4"/>
  <c r="L136" i="4"/>
  <c r="L138" i="4" s="1"/>
  <c r="K138" i="4"/>
  <c r="L131" i="4"/>
  <c r="L133" i="4" s="1"/>
  <c r="K133" i="4"/>
  <c r="L126" i="4"/>
  <c r="L128" i="4" s="1"/>
  <c r="K128" i="4"/>
  <c r="K123" i="4"/>
  <c r="L121" i="4"/>
  <c r="L123" i="4" s="1"/>
  <c r="L106" i="4"/>
  <c r="L108" i="4" s="1"/>
  <c r="K108" i="4"/>
  <c r="K121" i="22"/>
  <c r="L118" i="22"/>
  <c r="L119" i="22"/>
  <c r="L120" i="22"/>
  <c r="L67" i="22"/>
  <c r="L68" i="22"/>
  <c r="L66" i="22"/>
  <c r="K69" i="22"/>
  <c r="K27" i="22"/>
  <c r="K28" i="22"/>
  <c r="K29" i="22"/>
  <c r="M144" i="22"/>
  <c r="M146" i="22"/>
  <c r="M145" i="22"/>
  <c r="L147" i="22"/>
  <c r="G4" i="34"/>
  <c r="E4" i="31"/>
  <c r="G169" i="1"/>
  <c r="E255" i="4" s="1"/>
  <c r="J51" i="1"/>
  <c r="J69" i="1" s="1"/>
  <c r="H120" i="1"/>
  <c r="G170" i="1"/>
  <c r="E256" i="4" s="1"/>
  <c r="H121" i="1"/>
  <c r="I105" i="1"/>
  <c r="H118" i="1"/>
  <c r="I106" i="1"/>
  <c r="I104" i="1"/>
  <c r="J50" i="1"/>
  <c r="J68" i="1" s="1"/>
  <c r="K25" i="1"/>
  <c r="H119" i="1"/>
  <c r="I102" i="1"/>
  <c r="G166" i="1"/>
  <c r="E252" i="4" s="1"/>
  <c r="G149" i="1"/>
  <c r="L40" i="1"/>
  <c r="F232" i="4"/>
  <c r="H117" i="1"/>
  <c r="H107" i="1"/>
  <c r="E9" i="21" s="1"/>
  <c r="L69" i="4"/>
  <c r="H193" i="4" l="1"/>
  <c r="I52" i="1"/>
  <c r="H190" i="4"/>
  <c r="H194" i="4"/>
  <c r="G191" i="4"/>
  <c r="I103" i="1"/>
  <c r="G213" i="4" s="1"/>
  <c r="H191" i="4"/>
  <c r="J82" i="22"/>
  <c r="G212" i="4"/>
  <c r="I134" i="1"/>
  <c r="G216" i="4"/>
  <c r="I138" i="1"/>
  <c r="G236" i="4" s="1"/>
  <c r="G214" i="4"/>
  <c r="I136" i="1"/>
  <c r="G215" i="4"/>
  <c r="I137" i="1"/>
  <c r="G235" i="4" s="1"/>
  <c r="K80" i="22"/>
  <c r="K79" i="22"/>
  <c r="K81" i="22"/>
  <c r="E176" i="1"/>
  <c r="E183" i="1" s="1"/>
  <c r="E80" i="1"/>
  <c r="E88" i="1" s="1"/>
  <c r="C45" i="19"/>
  <c r="E145" i="1"/>
  <c r="E152" i="1" s="1"/>
  <c r="D44" i="19"/>
  <c r="F144" i="1"/>
  <c r="F151" i="1" s="1"/>
  <c r="C46" i="19"/>
  <c r="E146" i="1"/>
  <c r="E153" i="1" s="1"/>
  <c r="H11" i="19"/>
  <c r="I29" i="21"/>
  <c r="F182" i="1"/>
  <c r="C30" i="21"/>
  <c r="D56" i="14"/>
  <c r="E8" i="34"/>
  <c r="E15" i="34" s="1"/>
  <c r="O12" i="37"/>
  <c r="K23" i="1"/>
  <c r="F190" i="1"/>
  <c r="D13" i="31"/>
  <c r="D10" i="14"/>
  <c r="E13" i="13" s="1"/>
  <c r="K13" i="1"/>
  <c r="K12" i="1"/>
  <c r="K47" i="1" s="1"/>
  <c r="K65" i="1" s="1"/>
  <c r="L5" i="37"/>
  <c r="K6" i="37"/>
  <c r="M24" i="37" s="1"/>
  <c r="E16" i="14"/>
  <c r="B12" i="21"/>
  <c r="B62" i="21" s="1"/>
  <c r="C58" i="14"/>
  <c r="F181" i="1"/>
  <c r="J175" i="4"/>
  <c r="J173" i="4"/>
  <c r="L156" i="4"/>
  <c r="L171" i="4" s="1"/>
  <c r="L23" i="14" s="1"/>
  <c r="K171" i="4"/>
  <c r="K23" i="14" s="1"/>
  <c r="L67" i="4"/>
  <c r="L74" i="4" s="1"/>
  <c r="L15" i="14" s="1"/>
  <c r="K74" i="4"/>
  <c r="K15" i="14" s="1"/>
  <c r="C252" i="4"/>
  <c r="C257" i="4" s="1"/>
  <c r="C36" i="14" s="1"/>
  <c r="C32" i="14" s="1"/>
  <c r="E181" i="1"/>
  <c r="G167" i="1"/>
  <c r="E253" i="4" s="1"/>
  <c r="G139" i="1"/>
  <c r="D10" i="21" s="1"/>
  <c r="G150" i="1"/>
  <c r="F171" i="1"/>
  <c r="C11" i="21" s="1"/>
  <c r="C12" i="21" s="1"/>
  <c r="G122" i="1"/>
  <c r="D16" i="21" s="1"/>
  <c r="D257" i="4"/>
  <c r="D36" i="14" s="1"/>
  <c r="G168" i="1"/>
  <c r="E254" i="4" s="1"/>
  <c r="G197" i="4"/>
  <c r="G38" i="14" s="1"/>
  <c r="F41" i="21" s="1"/>
  <c r="E41" i="21"/>
  <c r="E12" i="14"/>
  <c r="D26" i="21" s="1"/>
  <c r="H143" i="1"/>
  <c r="H150" i="1" s="1"/>
  <c r="H38" i="18"/>
  <c r="H50" i="18" s="1"/>
  <c r="I50" i="18" s="1"/>
  <c r="J50" i="18" s="1"/>
  <c r="K50" i="18" s="1"/>
  <c r="L50" i="18" s="1"/>
  <c r="F61" i="18"/>
  <c r="F64" i="18" s="1"/>
  <c r="F69" i="18" s="1"/>
  <c r="E76" i="4"/>
  <c r="J19" i="14"/>
  <c r="J18" i="14" s="1"/>
  <c r="F53" i="4"/>
  <c r="F12" i="14" s="1"/>
  <c r="E26" i="21" s="1"/>
  <c r="F56" i="4"/>
  <c r="F59" i="4" s="1"/>
  <c r="F13" i="14" s="1"/>
  <c r="E27" i="21" s="1"/>
  <c r="N15" i="1"/>
  <c r="N14" i="1"/>
  <c r="C17" i="22"/>
  <c r="C14" i="22" s="1"/>
  <c r="L142" i="4"/>
  <c r="L143" i="4" s="1"/>
  <c r="K143" i="4"/>
  <c r="K19" i="14" s="1"/>
  <c r="K49" i="1"/>
  <c r="K67" i="1" s="1"/>
  <c r="M13" i="37"/>
  <c r="N16" i="1" s="1"/>
  <c r="N19" i="37"/>
  <c r="O19" i="37"/>
  <c r="K22" i="1"/>
  <c r="J49" i="1"/>
  <c r="J67" i="1" s="1"/>
  <c r="J17" i="1"/>
  <c r="K24" i="1"/>
  <c r="K51" i="1"/>
  <c r="K69" i="1" s="1"/>
  <c r="J27" i="1"/>
  <c r="J72" i="1" s="1"/>
  <c r="L47" i="14"/>
  <c r="R19" i="38" s="1"/>
  <c r="J33" i="21"/>
  <c r="L30" i="13"/>
  <c r="H12" i="4"/>
  <c r="H14" i="4" s="1"/>
  <c r="H15" i="4" s="1"/>
  <c r="H18" i="4"/>
  <c r="H20" i="4" s="1"/>
  <c r="H22" i="4" s="1"/>
  <c r="H23" i="4" s="1"/>
  <c r="H62" i="4"/>
  <c r="H64" i="4" s="1"/>
  <c r="H14" i="14" s="1"/>
  <c r="G28" i="21" s="1"/>
  <c r="H47" i="16"/>
  <c r="H58" i="16" s="1"/>
  <c r="H59" i="16" s="1"/>
  <c r="G66" i="18" s="1"/>
  <c r="G47" i="18"/>
  <c r="H47" i="18" s="1"/>
  <c r="I47" i="18" s="1"/>
  <c r="J47" i="18" s="1"/>
  <c r="K47" i="18" s="1"/>
  <c r="L47" i="18" s="1"/>
  <c r="F11" i="14"/>
  <c r="E25" i="21" s="1"/>
  <c r="G51" i="4"/>
  <c r="G39" i="18"/>
  <c r="H12" i="18"/>
  <c r="G34" i="18"/>
  <c r="L95" i="22"/>
  <c r="E217" i="4"/>
  <c r="E34" i="14" s="1"/>
  <c r="D237" i="4"/>
  <c r="K56" i="22"/>
  <c r="L105" i="22"/>
  <c r="L107" i="22"/>
  <c r="L106" i="22"/>
  <c r="M93" i="22"/>
  <c r="M92" i="22"/>
  <c r="M94" i="22"/>
  <c r="H122" i="1"/>
  <c r="K108" i="22"/>
  <c r="M43" i="22"/>
  <c r="L134" i="22"/>
  <c r="N38" i="36"/>
  <c r="N39" i="36" s="1"/>
  <c r="O25" i="36"/>
  <c r="H77" i="1"/>
  <c r="H85" i="1" s="1"/>
  <c r="G78" i="1"/>
  <c r="G86" i="1" s="1"/>
  <c r="F177" i="1"/>
  <c r="F184" i="1" s="1"/>
  <c r="N41" i="22"/>
  <c r="C155" i="22" s="1"/>
  <c r="N42" i="22"/>
  <c r="C170" i="22" s="1"/>
  <c r="N40" i="22"/>
  <c r="L53" i="22"/>
  <c r="L55" i="22"/>
  <c r="L54" i="22"/>
  <c r="M131" i="22"/>
  <c r="M132" i="22"/>
  <c r="M133" i="22"/>
  <c r="F80" i="1"/>
  <c r="F88" i="1" s="1"/>
  <c r="Q8" i="36"/>
  <c r="P21" i="36"/>
  <c r="F195" i="4"/>
  <c r="F33" i="14" s="1"/>
  <c r="G175" i="1"/>
  <c r="F176" i="1"/>
  <c r="F183" i="1" s="1"/>
  <c r="G79" i="1"/>
  <c r="G87" i="1" s="1"/>
  <c r="H174" i="1"/>
  <c r="I76" i="1"/>
  <c r="I84" i="1" s="1"/>
  <c r="K142" i="1"/>
  <c r="L121" i="22"/>
  <c r="M119" i="22"/>
  <c r="M118" i="22"/>
  <c r="M120" i="22"/>
  <c r="L69" i="22"/>
  <c r="L29" i="22"/>
  <c r="L28" i="22"/>
  <c r="L27" i="22"/>
  <c r="M67" i="22"/>
  <c r="M68" i="22"/>
  <c r="M66" i="22"/>
  <c r="K30" i="22"/>
  <c r="N146" i="22"/>
  <c r="C178" i="22" s="1"/>
  <c r="N144" i="22"/>
  <c r="N145" i="22"/>
  <c r="M147" i="22"/>
  <c r="H4" i="34"/>
  <c r="F4" i="31"/>
  <c r="H168" i="1"/>
  <c r="F254" i="4" s="1"/>
  <c r="J105" i="1"/>
  <c r="I118" i="1"/>
  <c r="I119" i="1"/>
  <c r="G234" i="4"/>
  <c r="I121" i="1"/>
  <c r="I120" i="1"/>
  <c r="J103" i="1"/>
  <c r="H169" i="1"/>
  <c r="F255" i="4" s="1"/>
  <c r="L25" i="1"/>
  <c r="K50" i="1"/>
  <c r="K68" i="1" s="1"/>
  <c r="H167" i="1"/>
  <c r="F253" i="4" s="1"/>
  <c r="H170" i="1"/>
  <c r="F256" i="4" s="1"/>
  <c r="J106" i="1"/>
  <c r="J102" i="1"/>
  <c r="M40" i="1"/>
  <c r="G181" i="1"/>
  <c r="F8" i="21"/>
  <c r="G232" i="4"/>
  <c r="I117" i="1"/>
  <c r="I107" i="1"/>
  <c r="F9" i="21" s="1"/>
  <c r="H166" i="1"/>
  <c r="F252" i="4" s="1"/>
  <c r="H139" i="1"/>
  <c r="H149" i="1"/>
  <c r="I135" i="1" l="1"/>
  <c r="G233" i="4" s="1"/>
  <c r="I190" i="4"/>
  <c r="I194" i="4"/>
  <c r="I192" i="4"/>
  <c r="I193" i="4"/>
  <c r="H192" i="4"/>
  <c r="K82" i="22"/>
  <c r="H213" i="4"/>
  <c r="J135" i="1"/>
  <c r="H212" i="4"/>
  <c r="J134" i="1"/>
  <c r="H215" i="4"/>
  <c r="J137" i="1"/>
  <c r="H235" i="4" s="1"/>
  <c r="L81" i="22"/>
  <c r="L79" i="22"/>
  <c r="L80" i="22"/>
  <c r="H216" i="4"/>
  <c r="J138" i="1"/>
  <c r="H236" i="4" s="1"/>
  <c r="E178" i="1"/>
  <c r="E185" i="1" s="1"/>
  <c r="E186" i="1" s="1"/>
  <c r="E192" i="1" s="1"/>
  <c r="E154" i="1"/>
  <c r="E191" i="1" s="1"/>
  <c r="D45" i="19"/>
  <c r="F145" i="1"/>
  <c r="F152" i="1" s="1"/>
  <c r="E44" i="19"/>
  <c r="G144" i="1"/>
  <c r="G151" i="1" s="1"/>
  <c r="D46" i="19"/>
  <c r="F146" i="1"/>
  <c r="F153" i="1" s="1"/>
  <c r="B38" i="19"/>
  <c r="J11" i="19"/>
  <c r="E9" i="34"/>
  <c r="E10" i="34" s="1"/>
  <c r="E16" i="34" s="1"/>
  <c r="E19" i="34" s="1"/>
  <c r="D31" i="13" s="1"/>
  <c r="J29" i="21"/>
  <c r="K29" i="21"/>
  <c r="D30" i="21"/>
  <c r="E56" i="14"/>
  <c r="L23" i="1"/>
  <c r="K48" i="1"/>
  <c r="K66" i="1" s="1"/>
  <c r="L13" i="1"/>
  <c r="L12" i="1"/>
  <c r="L47" i="1" s="1"/>
  <c r="L65" i="1" s="1"/>
  <c r="M5" i="37"/>
  <c r="L6" i="37"/>
  <c r="N24" i="37" s="1"/>
  <c r="G182" i="1"/>
  <c r="B56" i="21"/>
  <c r="B74" i="21" s="1"/>
  <c r="B53" i="21"/>
  <c r="B64" i="21"/>
  <c r="B50" i="21"/>
  <c r="K18" i="14"/>
  <c r="L14" i="13" s="1"/>
  <c r="F16" i="14"/>
  <c r="B48" i="21"/>
  <c r="B51" i="21"/>
  <c r="B61" i="21"/>
  <c r="B49" i="21"/>
  <c r="K175" i="4"/>
  <c r="K14" i="13"/>
  <c r="F19" i="38"/>
  <c r="D16" i="13"/>
  <c r="B32" i="21"/>
  <c r="B55" i="21" s="1"/>
  <c r="L175" i="4"/>
  <c r="L173" i="4"/>
  <c r="E257" i="4"/>
  <c r="E36" i="14" s="1"/>
  <c r="G190" i="1"/>
  <c r="F78" i="4"/>
  <c r="F12" i="31" s="1"/>
  <c r="G171" i="1"/>
  <c r="D11" i="21" s="1"/>
  <c r="D12" i="21" s="1"/>
  <c r="K27" i="1"/>
  <c r="K72" i="1" s="1"/>
  <c r="I197" i="4" s="1"/>
  <c r="I38" i="14" s="1"/>
  <c r="H41" i="21" s="1"/>
  <c r="H17" i="13"/>
  <c r="H190" i="1"/>
  <c r="E16" i="21"/>
  <c r="H197" i="4"/>
  <c r="H38" i="14" s="1"/>
  <c r="G41" i="21" s="1"/>
  <c r="F257" i="4"/>
  <c r="F36" i="14" s="1"/>
  <c r="F76" i="4"/>
  <c r="K173" i="4"/>
  <c r="E10" i="14"/>
  <c r="I143" i="1"/>
  <c r="I150" i="1" s="1"/>
  <c r="I38" i="18"/>
  <c r="I52" i="18" s="1"/>
  <c r="J52" i="18" s="1"/>
  <c r="K52" i="18" s="1"/>
  <c r="L52" i="18" s="1"/>
  <c r="L19" i="14"/>
  <c r="L18" i="14" s="1"/>
  <c r="D35" i="14"/>
  <c r="D32" i="14" s="1"/>
  <c r="G53" i="4"/>
  <c r="G12" i="14" s="1"/>
  <c r="F26" i="21" s="1"/>
  <c r="G56" i="4"/>
  <c r="G59" i="4" s="1"/>
  <c r="G13" i="14" s="1"/>
  <c r="F27" i="21" s="1"/>
  <c r="G61" i="18"/>
  <c r="G64" i="18" s="1"/>
  <c r="G69" i="18" s="1"/>
  <c r="D16" i="22"/>
  <c r="D15" i="22"/>
  <c r="N13" i="37"/>
  <c r="O13" i="37"/>
  <c r="L26" i="1"/>
  <c r="L22" i="1"/>
  <c r="L49" i="1"/>
  <c r="L67" i="1" s="1"/>
  <c r="J104" i="1"/>
  <c r="J136" i="1" s="1"/>
  <c r="J70" i="1"/>
  <c r="J52" i="1"/>
  <c r="L24" i="1"/>
  <c r="K17" i="1"/>
  <c r="K52" i="1"/>
  <c r="M30" i="13"/>
  <c r="K33" i="21"/>
  <c r="H34" i="18"/>
  <c r="I12" i="18"/>
  <c r="I62" i="4"/>
  <c r="I64" i="4" s="1"/>
  <c r="I14" i="14" s="1"/>
  <c r="H28" i="21" s="1"/>
  <c r="I12" i="4"/>
  <c r="I14" i="4" s="1"/>
  <c r="I15" i="4" s="1"/>
  <c r="I18" i="4"/>
  <c r="I20" i="4" s="1"/>
  <c r="I22" i="4" s="1"/>
  <c r="I23" i="4" s="1"/>
  <c r="H49" i="18"/>
  <c r="I49" i="18" s="1"/>
  <c r="J49" i="18" s="1"/>
  <c r="K49" i="18" s="1"/>
  <c r="L49" i="18" s="1"/>
  <c r="I47" i="16"/>
  <c r="I58" i="16" s="1"/>
  <c r="I59" i="16" s="1"/>
  <c r="H66" i="18" s="1"/>
  <c r="H39" i="18"/>
  <c r="H51" i="4"/>
  <c r="G11" i="14"/>
  <c r="F25" i="21" s="1"/>
  <c r="N94" i="22"/>
  <c r="C174" i="22" s="1"/>
  <c r="N93" i="22"/>
  <c r="C159" i="22" s="1"/>
  <c r="N92" i="22"/>
  <c r="M107" i="22"/>
  <c r="M106" i="22"/>
  <c r="M105" i="22"/>
  <c r="F217" i="4"/>
  <c r="F34" i="14" s="1"/>
  <c r="L108" i="22"/>
  <c r="M95" i="22"/>
  <c r="I122" i="1"/>
  <c r="H79" i="1"/>
  <c r="H87" i="1" s="1"/>
  <c r="G195" i="4"/>
  <c r="G33" i="14" s="1"/>
  <c r="R8" i="36"/>
  <c r="R21" i="36" s="1"/>
  <c r="Q21" i="36"/>
  <c r="F178" i="1"/>
  <c r="F185" i="1" s="1"/>
  <c r="F186" i="1" s="1"/>
  <c r="N133" i="22"/>
  <c r="C177" i="22" s="1"/>
  <c r="N132" i="22"/>
  <c r="C162" i="22" s="1"/>
  <c r="N131" i="22"/>
  <c r="O42" i="22"/>
  <c r="O41" i="22"/>
  <c r="O40" i="22"/>
  <c r="N43" i="22"/>
  <c r="H78" i="1"/>
  <c r="H86" i="1" s="1"/>
  <c r="H175" i="1"/>
  <c r="H182" i="1" s="1"/>
  <c r="E237" i="4"/>
  <c r="G177" i="1"/>
  <c r="G184" i="1" s="1"/>
  <c r="G80" i="1"/>
  <c r="G88" i="1" s="1"/>
  <c r="M134" i="22"/>
  <c r="L56" i="22"/>
  <c r="M54" i="22"/>
  <c r="M53" i="22"/>
  <c r="M55" i="22"/>
  <c r="G176" i="1"/>
  <c r="G183" i="1" s="1"/>
  <c r="I77" i="1"/>
  <c r="I85" i="1" s="1"/>
  <c r="O38" i="36"/>
  <c r="O39" i="36" s="1"/>
  <c r="P25" i="36"/>
  <c r="I174" i="1"/>
  <c r="J76" i="1"/>
  <c r="J84" i="1" s="1"/>
  <c r="L142" i="1"/>
  <c r="N118" i="22"/>
  <c r="N119" i="22"/>
  <c r="C161" i="22" s="1"/>
  <c r="N120" i="22"/>
  <c r="C176" i="22" s="1"/>
  <c r="M121" i="22"/>
  <c r="N67" i="22"/>
  <c r="C157" i="22" s="1"/>
  <c r="N66" i="22"/>
  <c r="N68" i="22"/>
  <c r="C172" i="22" s="1"/>
  <c r="M69" i="22"/>
  <c r="L30" i="22"/>
  <c r="M29" i="22"/>
  <c r="M27" i="22"/>
  <c r="M28" i="22"/>
  <c r="O144" i="22"/>
  <c r="O146" i="22"/>
  <c r="O145" i="22"/>
  <c r="N147" i="22"/>
  <c r="C163" i="22"/>
  <c r="G4" i="31"/>
  <c r="I4" i="34"/>
  <c r="K106" i="1"/>
  <c r="M25" i="1"/>
  <c r="L50" i="1"/>
  <c r="L68" i="1" s="1"/>
  <c r="I169" i="1"/>
  <c r="G255" i="4" s="1"/>
  <c r="I170" i="1"/>
  <c r="G256" i="4" s="1"/>
  <c r="I168" i="1"/>
  <c r="G254" i="4" s="1"/>
  <c r="K104" i="1"/>
  <c r="I167" i="1"/>
  <c r="G253" i="4" s="1"/>
  <c r="J121" i="1"/>
  <c r="K105" i="1"/>
  <c r="H233" i="4"/>
  <c r="J118" i="1"/>
  <c r="J120" i="1"/>
  <c r="E10" i="21"/>
  <c r="C61" i="21"/>
  <c r="C56" i="21"/>
  <c r="C62" i="21"/>
  <c r="C64" i="21"/>
  <c r="C51" i="21"/>
  <c r="C50" i="21"/>
  <c r="C49" i="21"/>
  <c r="C48" i="21"/>
  <c r="I166" i="1"/>
  <c r="G252" i="4" s="1"/>
  <c r="I139" i="1"/>
  <c r="I149" i="1"/>
  <c r="N40" i="1"/>
  <c r="H232" i="4"/>
  <c r="J117" i="1"/>
  <c r="K102" i="1"/>
  <c r="H171" i="1"/>
  <c r="H181" i="1"/>
  <c r="J193" i="4" l="1"/>
  <c r="I191" i="4"/>
  <c r="J192" i="4"/>
  <c r="J190" i="4"/>
  <c r="L82" i="22"/>
  <c r="M23" i="1"/>
  <c r="I216" i="4"/>
  <c r="K138" i="1"/>
  <c r="I236" i="4" s="1"/>
  <c r="M81" i="22"/>
  <c r="M79" i="22"/>
  <c r="M80" i="22"/>
  <c r="I212" i="4"/>
  <c r="K134" i="1"/>
  <c r="I232" i="4" s="1"/>
  <c r="I215" i="4"/>
  <c r="K137" i="1"/>
  <c r="I214" i="4"/>
  <c r="K136" i="1"/>
  <c r="I234" i="4" s="1"/>
  <c r="B17" i="21"/>
  <c r="F154" i="1"/>
  <c r="C17" i="21" s="1"/>
  <c r="E46" i="19"/>
  <c r="G146" i="1"/>
  <c r="G153" i="1" s="1"/>
  <c r="E45" i="19"/>
  <c r="G145" i="1"/>
  <c r="G152" i="1" s="1"/>
  <c r="F44" i="19"/>
  <c r="H144" i="1"/>
  <c r="H151" i="1" s="1"/>
  <c r="C38" i="19"/>
  <c r="E81" i="1"/>
  <c r="E89" i="1" s="1"/>
  <c r="C49" i="14"/>
  <c r="B37" i="21" s="1"/>
  <c r="B60" i="21" s="1"/>
  <c r="K103" i="1"/>
  <c r="K118" i="1" s="1"/>
  <c r="K70" i="1"/>
  <c r="H8" i="21" s="1"/>
  <c r="F56" i="14"/>
  <c r="E30" i="21"/>
  <c r="L48" i="1"/>
  <c r="L66" i="1" s="1"/>
  <c r="F10" i="14"/>
  <c r="G13" i="13" s="1"/>
  <c r="F8" i="38"/>
  <c r="R8" i="38" s="1"/>
  <c r="N5" i="37"/>
  <c r="M6" i="37"/>
  <c r="O24" i="37" s="1"/>
  <c r="M13" i="1"/>
  <c r="M48" i="1" s="1"/>
  <c r="M66" i="1" s="1"/>
  <c r="M12" i="1"/>
  <c r="M47" i="1" s="1"/>
  <c r="M65" i="1" s="1"/>
  <c r="B18" i="21"/>
  <c r="B52" i="21"/>
  <c r="B69" i="21" s="1"/>
  <c r="M14" i="13"/>
  <c r="E16" i="13"/>
  <c r="C13" i="31"/>
  <c r="F13" i="13"/>
  <c r="G257" i="4"/>
  <c r="G36" i="14" s="1"/>
  <c r="C32" i="21"/>
  <c r="C55" i="21" s="1"/>
  <c r="I17" i="13"/>
  <c r="H234" i="4"/>
  <c r="H214" i="4"/>
  <c r="J17" i="13"/>
  <c r="I190" i="1"/>
  <c r="F16" i="21"/>
  <c r="H61" i="18"/>
  <c r="H64" i="18" s="1"/>
  <c r="H69" i="18" s="1"/>
  <c r="G78" i="4"/>
  <c r="G12" i="31" s="1"/>
  <c r="J143" i="1"/>
  <c r="J150" i="1" s="1"/>
  <c r="G16" i="14"/>
  <c r="J38" i="18"/>
  <c r="J54" i="18" s="1"/>
  <c r="K54" i="18" s="1"/>
  <c r="L54" i="18" s="1"/>
  <c r="E35" i="14"/>
  <c r="E32" i="14" s="1"/>
  <c r="D32" i="21" s="1"/>
  <c r="D55" i="21" s="1"/>
  <c r="G76" i="4"/>
  <c r="H53" i="4"/>
  <c r="H12" i="14" s="1"/>
  <c r="G26" i="21" s="1"/>
  <c r="H56" i="4"/>
  <c r="H59" i="4" s="1"/>
  <c r="H13" i="14" s="1"/>
  <c r="G27" i="21" s="1"/>
  <c r="D17" i="22"/>
  <c r="D14" i="22" s="1"/>
  <c r="E15" i="22" s="1"/>
  <c r="M22" i="1"/>
  <c r="M24" i="1"/>
  <c r="M51" i="1"/>
  <c r="M69" i="1" s="1"/>
  <c r="G8" i="21"/>
  <c r="J107" i="1"/>
  <c r="G9" i="21" s="1"/>
  <c r="J119" i="1"/>
  <c r="J122" i="1" s="1"/>
  <c r="M49" i="1"/>
  <c r="M67" i="1" s="1"/>
  <c r="L27" i="1"/>
  <c r="L72" i="1" s="1"/>
  <c r="L51" i="1"/>
  <c r="L69" i="1" s="1"/>
  <c r="M26" i="1"/>
  <c r="L17" i="1"/>
  <c r="I51" i="18"/>
  <c r="J51" i="18" s="1"/>
  <c r="K51" i="18" s="1"/>
  <c r="L51" i="18" s="1"/>
  <c r="J47" i="16"/>
  <c r="J58" i="16" s="1"/>
  <c r="J59" i="16" s="1"/>
  <c r="I66" i="18" s="1"/>
  <c r="J12" i="18"/>
  <c r="I34" i="18"/>
  <c r="H11" i="14"/>
  <c r="G25" i="21" s="1"/>
  <c r="I51" i="4"/>
  <c r="J18" i="4"/>
  <c r="J20" i="4" s="1"/>
  <c r="J22" i="4" s="1"/>
  <c r="J23" i="4" s="1"/>
  <c r="J62" i="4"/>
  <c r="J64" i="4" s="1"/>
  <c r="J14" i="14" s="1"/>
  <c r="I28" i="21" s="1"/>
  <c r="J12" i="4"/>
  <c r="J14" i="4" s="1"/>
  <c r="J15" i="4" s="1"/>
  <c r="I39" i="18"/>
  <c r="N95" i="22"/>
  <c r="G217" i="4"/>
  <c r="G34" i="14" s="1"/>
  <c r="O93" i="22"/>
  <c r="O94" i="22"/>
  <c r="O92" i="22"/>
  <c r="F237" i="4"/>
  <c r="M108" i="22"/>
  <c r="N106" i="22"/>
  <c r="C160" i="22" s="1"/>
  <c r="N107" i="22"/>
  <c r="C175" i="22" s="1"/>
  <c r="N105" i="22"/>
  <c r="M30" i="22"/>
  <c r="O43" i="22"/>
  <c r="C18" i="21"/>
  <c r="F192" i="1"/>
  <c r="I175" i="1"/>
  <c r="I182" i="1" s="1"/>
  <c r="N54" i="22"/>
  <c r="C156" i="22" s="1"/>
  <c r="N55" i="22"/>
  <c r="C171" i="22" s="1"/>
  <c r="N53" i="22"/>
  <c r="G178" i="1"/>
  <c r="G185" i="1" s="1"/>
  <c r="G186" i="1" s="1"/>
  <c r="H176" i="1"/>
  <c r="H183" i="1" s="1"/>
  <c r="P41" i="22"/>
  <c r="P40" i="22"/>
  <c r="P42" i="22"/>
  <c r="H177" i="1"/>
  <c r="H184" i="1" s="1"/>
  <c r="N134" i="22"/>
  <c r="Q25" i="36"/>
  <c r="P38" i="36"/>
  <c r="P39" i="36" s="1"/>
  <c r="J77" i="1"/>
  <c r="J85" i="1" s="1"/>
  <c r="H80" i="1"/>
  <c r="H88" i="1" s="1"/>
  <c r="I78" i="1"/>
  <c r="I86" i="1" s="1"/>
  <c r="O133" i="22"/>
  <c r="O131" i="22"/>
  <c r="O132" i="22"/>
  <c r="H195" i="4"/>
  <c r="H33" i="14" s="1"/>
  <c r="I79" i="1"/>
  <c r="I87" i="1" s="1"/>
  <c r="M56" i="22"/>
  <c r="J174" i="1"/>
  <c r="K76" i="1"/>
  <c r="K84" i="1" s="1"/>
  <c r="M142" i="1"/>
  <c r="O118" i="22"/>
  <c r="O120" i="22"/>
  <c r="O119" i="22"/>
  <c r="N121" i="22"/>
  <c r="N29" i="22"/>
  <c r="C169" i="22" s="1"/>
  <c r="N28" i="22"/>
  <c r="C154" i="22" s="1"/>
  <c r="O68" i="22"/>
  <c r="O67" i="22"/>
  <c r="O66" i="22"/>
  <c r="N69" i="22"/>
  <c r="O147" i="22"/>
  <c r="P144" i="22"/>
  <c r="P146" i="22"/>
  <c r="P145" i="22"/>
  <c r="K4" i="34"/>
  <c r="I4" i="31"/>
  <c r="H4" i="31"/>
  <c r="J4" i="34"/>
  <c r="J169" i="1"/>
  <c r="H255" i="4" s="1"/>
  <c r="J170" i="1"/>
  <c r="H256" i="4" s="1"/>
  <c r="K119" i="1"/>
  <c r="L105" i="1"/>
  <c r="J167" i="1"/>
  <c r="H253" i="4" s="1"/>
  <c r="I235" i="4"/>
  <c r="K120" i="1"/>
  <c r="L104" i="1"/>
  <c r="M50" i="1"/>
  <c r="M68" i="1" s="1"/>
  <c r="N50" i="1"/>
  <c r="N68" i="1" s="1"/>
  <c r="N25" i="1"/>
  <c r="K121" i="1"/>
  <c r="E11" i="21"/>
  <c r="E12" i="21" s="1"/>
  <c r="J166" i="1"/>
  <c r="H252" i="4" s="1"/>
  <c r="J149" i="1"/>
  <c r="I171" i="1"/>
  <c r="I181" i="1"/>
  <c r="D61" i="21"/>
  <c r="D62" i="21"/>
  <c r="D56" i="21"/>
  <c r="D64" i="21"/>
  <c r="D51" i="21"/>
  <c r="D50" i="21"/>
  <c r="D49" i="21"/>
  <c r="D48" i="21"/>
  <c r="L102" i="1"/>
  <c r="K117" i="1"/>
  <c r="K107" i="1"/>
  <c r="H9" i="21" s="1"/>
  <c r="F10" i="21"/>
  <c r="L193" i="4" l="1"/>
  <c r="K190" i="4"/>
  <c r="K193" i="4"/>
  <c r="K192" i="4"/>
  <c r="K194" i="4"/>
  <c r="K191" i="4"/>
  <c r="J191" i="4"/>
  <c r="N81" i="22"/>
  <c r="C173" i="22" s="1"/>
  <c r="N79" i="22"/>
  <c r="N80" i="22"/>
  <c r="J215" i="4"/>
  <c r="L137" i="1"/>
  <c r="J235" i="4" s="1"/>
  <c r="I213" i="4"/>
  <c r="K135" i="1"/>
  <c r="I233" i="4" s="1"/>
  <c r="J212" i="4"/>
  <c r="L134" i="1"/>
  <c r="J232" i="4" s="1"/>
  <c r="J214" i="4"/>
  <c r="L136" i="1"/>
  <c r="J234" i="4" s="1"/>
  <c r="M82" i="22"/>
  <c r="E90" i="1"/>
  <c r="F191" i="1"/>
  <c r="G44" i="19"/>
  <c r="I144" i="1"/>
  <c r="I151" i="1" s="1"/>
  <c r="F46" i="19"/>
  <c r="H146" i="1"/>
  <c r="H153" i="1" s="1"/>
  <c r="F45" i="19"/>
  <c r="H145" i="1"/>
  <c r="H152" i="1" s="1"/>
  <c r="G154" i="1"/>
  <c r="D38" i="19"/>
  <c r="F81" i="1"/>
  <c r="L103" i="1"/>
  <c r="L118" i="1" s="1"/>
  <c r="F30" i="21"/>
  <c r="G56" i="14"/>
  <c r="N23" i="1"/>
  <c r="N13" i="1"/>
  <c r="N48" i="1" s="1"/>
  <c r="N66" i="1" s="1"/>
  <c r="N12" i="1"/>
  <c r="N47" i="1" s="1"/>
  <c r="N65" i="1" s="1"/>
  <c r="O5" i="37"/>
  <c r="N6" i="37"/>
  <c r="P24" i="37" s="1"/>
  <c r="F16" i="13"/>
  <c r="G10" i="14"/>
  <c r="J168" i="1"/>
  <c r="H254" i="4" s="1"/>
  <c r="H257" i="4" s="1"/>
  <c r="H36" i="14" s="1"/>
  <c r="C52" i="21"/>
  <c r="H78" i="4"/>
  <c r="H12" i="31" s="1"/>
  <c r="L70" i="1"/>
  <c r="I8" i="21" s="1"/>
  <c r="J194" i="4"/>
  <c r="J190" i="1"/>
  <c r="G16" i="21"/>
  <c r="I61" i="18"/>
  <c r="I64" i="18" s="1"/>
  <c r="I69" i="18" s="1"/>
  <c r="J197" i="4"/>
  <c r="J38" i="14" s="1"/>
  <c r="I41" i="21" s="1"/>
  <c r="J139" i="1"/>
  <c r="G10" i="21" s="1"/>
  <c r="H76" i="4"/>
  <c r="K143" i="1"/>
  <c r="K150" i="1" s="1"/>
  <c r="H16" i="14"/>
  <c r="L38" i="18"/>
  <c r="L58" i="18" s="1"/>
  <c r="K38" i="18"/>
  <c r="K56" i="18" s="1"/>
  <c r="L56" i="18" s="1"/>
  <c r="F35" i="14"/>
  <c r="F32" i="14" s="1"/>
  <c r="I53" i="4"/>
  <c r="I12" i="14" s="1"/>
  <c r="H26" i="21" s="1"/>
  <c r="I56" i="4"/>
  <c r="I59" i="4" s="1"/>
  <c r="I13" i="14" s="1"/>
  <c r="H27" i="21" s="1"/>
  <c r="E16" i="22"/>
  <c r="N22" i="1"/>
  <c r="M17" i="1"/>
  <c r="N49" i="1"/>
  <c r="N67" i="1" s="1"/>
  <c r="N51" i="1"/>
  <c r="N69" i="1" s="1"/>
  <c r="N26" i="1"/>
  <c r="L106" i="1"/>
  <c r="L138" i="1" s="1"/>
  <c r="N24" i="1"/>
  <c r="L52" i="1"/>
  <c r="M27" i="1"/>
  <c r="M72" i="1" s="1"/>
  <c r="J39" i="18"/>
  <c r="I11" i="14"/>
  <c r="H25" i="21" s="1"/>
  <c r="K62" i="4"/>
  <c r="K64" i="4" s="1"/>
  <c r="K14" i="14" s="1"/>
  <c r="J28" i="21" s="1"/>
  <c r="K18" i="4"/>
  <c r="K20" i="4" s="1"/>
  <c r="K22" i="4" s="1"/>
  <c r="K23" i="4" s="1"/>
  <c r="K12" i="4"/>
  <c r="K14" i="4" s="1"/>
  <c r="K15" i="4" s="1"/>
  <c r="J53" i="18"/>
  <c r="K53" i="18" s="1"/>
  <c r="L53" i="18" s="1"/>
  <c r="K47" i="16"/>
  <c r="K58" i="16" s="1"/>
  <c r="K59" i="16" s="1"/>
  <c r="J66" i="18" s="1"/>
  <c r="J34" i="18"/>
  <c r="K12" i="18"/>
  <c r="J51" i="4"/>
  <c r="O95" i="22"/>
  <c r="C180" i="22"/>
  <c r="D12" i="15" s="1"/>
  <c r="O106" i="22"/>
  <c r="O107" i="22"/>
  <c r="O105" i="22"/>
  <c r="P92" i="22"/>
  <c r="P94" i="22"/>
  <c r="P93" i="22"/>
  <c r="O134" i="22"/>
  <c r="H217" i="4"/>
  <c r="H34" i="14" s="1"/>
  <c r="N108" i="22"/>
  <c r="K122" i="1"/>
  <c r="M52" i="1"/>
  <c r="G192" i="1"/>
  <c r="D18" i="21"/>
  <c r="I177" i="1"/>
  <c r="I184" i="1" s="1"/>
  <c r="J78" i="1"/>
  <c r="J86" i="1" s="1"/>
  <c r="H178" i="1"/>
  <c r="H185" i="1" s="1"/>
  <c r="H186" i="1" s="1"/>
  <c r="J175" i="1"/>
  <c r="J182" i="1" s="1"/>
  <c r="Q38" i="36"/>
  <c r="Q39" i="36" s="1"/>
  <c r="R25" i="36"/>
  <c r="R38" i="36" s="1"/>
  <c r="R39" i="36" s="1"/>
  <c r="P43" i="22"/>
  <c r="J79" i="1"/>
  <c r="J87" i="1" s="1"/>
  <c r="I195" i="4"/>
  <c r="I33" i="14" s="1"/>
  <c r="P133" i="22"/>
  <c r="P132" i="22"/>
  <c r="P131" i="22"/>
  <c r="I176" i="1"/>
  <c r="I183" i="1" s="1"/>
  <c r="I80" i="1"/>
  <c r="I88" i="1" s="1"/>
  <c r="K77" i="1"/>
  <c r="K85" i="1" s="1"/>
  <c r="Q42" i="22"/>
  <c r="Q40" i="22"/>
  <c r="Q41" i="22"/>
  <c r="O55" i="22"/>
  <c r="O53" i="22"/>
  <c r="O54" i="22"/>
  <c r="N56" i="22"/>
  <c r="K174" i="1"/>
  <c r="L76" i="1"/>
  <c r="L84" i="1" s="1"/>
  <c r="N142" i="1"/>
  <c r="O121" i="22"/>
  <c r="P118" i="22"/>
  <c r="P119" i="22"/>
  <c r="P120" i="22"/>
  <c r="P66" i="22"/>
  <c r="P67" i="22"/>
  <c r="P68" i="22"/>
  <c r="N30" i="22"/>
  <c r="N27" i="22" s="1"/>
  <c r="O69" i="22"/>
  <c r="P147" i="22"/>
  <c r="Q145" i="22"/>
  <c r="Q144" i="22"/>
  <c r="Q146" i="22"/>
  <c r="G237" i="4"/>
  <c r="K170" i="1"/>
  <c r="I256" i="4" s="1"/>
  <c r="N105" i="1"/>
  <c r="L120" i="1"/>
  <c r="K168" i="1"/>
  <c r="I254" i="4" s="1"/>
  <c r="K167" i="1"/>
  <c r="I253" i="4" s="1"/>
  <c r="M105" i="1"/>
  <c r="L119" i="1"/>
  <c r="M104" i="1"/>
  <c r="M103" i="1"/>
  <c r="K169" i="1"/>
  <c r="I255" i="4" s="1"/>
  <c r="M106" i="1"/>
  <c r="M102" i="1"/>
  <c r="M70" i="1"/>
  <c r="J181" i="1"/>
  <c r="K166" i="1"/>
  <c r="I252" i="4" s="1"/>
  <c r="K139" i="1"/>
  <c r="K149" i="1"/>
  <c r="L117" i="1"/>
  <c r="E56" i="21"/>
  <c r="E61" i="21"/>
  <c r="E62" i="21"/>
  <c r="E64" i="21"/>
  <c r="E51" i="21"/>
  <c r="E50" i="21"/>
  <c r="E49" i="21"/>
  <c r="E48" i="21"/>
  <c r="F11" i="21"/>
  <c r="F12" i="21" s="1"/>
  <c r="F89" i="1" l="1"/>
  <c r="F90" i="1" s="1"/>
  <c r="L190" i="4"/>
  <c r="L191" i="4"/>
  <c r="L192" i="4"/>
  <c r="K212" i="4"/>
  <c r="M134" i="1"/>
  <c r="K232" i="4" s="1"/>
  <c r="K213" i="4"/>
  <c r="M135" i="1"/>
  <c r="K233" i="4" s="1"/>
  <c r="K215" i="4"/>
  <c r="M137" i="1"/>
  <c r="K235" i="4" s="1"/>
  <c r="J213" i="4"/>
  <c r="L135" i="1"/>
  <c r="J233" i="4" s="1"/>
  <c r="K214" i="4"/>
  <c r="M136" i="1"/>
  <c r="K234" i="4" s="1"/>
  <c r="L215" i="4"/>
  <c r="N137" i="1"/>
  <c r="L235" i="4" s="1"/>
  <c r="C158" i="22"/>
  <c r="N82" i="22"/>
  <c r="K216" i="4"/>
  <c r="M138" i="1"/>
  <c r="K236" i="4" s="1"/>
  <c r="O81" i="22"/>
  <c r="O80" i="22"/>
  <c r="O79" i="22"/>
  <c r="E189" i="1"/>
  <c r="E193" i="1" s="1"/>
  <c r="D8" i="13" s="1"/>
  <c r="D10" i="13" s="1"/>
  <c r="B15" i="21"/>
  <c r="B19" i="21" s="1"/>
  <c r="B20" i="21" s="1"/>
  <c r="H154" i="1"/>
  <c r="E17" i="21" s="1"/>
  <c r="G191" i="1"/>
  <c r="D17" i="21"/>
  <c r="G46" i="19"/>
  <c r="I146" i="1"/>
  <c r="I153" i="1" s="1"/>
  <c r="G45" i="19"/>
  <c r="I145" i="1"/>
  <c r="I152" i="1" s="1"/>
  <c r="H44" i="19"/>
  <c r="J144" i="1"/>
  <c r="J151" i="1" s="1"/>
  <c r="E38" i="19"/>
  <c r="G81" i="1"/>
  <c r="G30" i="21"/>
  <c r="H56" i="14"/>
  <c r="N103" i="1"/>
  <c r="O6" i="37"/>
  <c r="Q24" i="37" s="1"/>
  <c r="H13" i="13"/>
  <c r="H10" i="14"/>
  <c r="I13" i="13" s="1"/>
  <c r="G16" i="13"/>
  <c r="D52" i="21"/>
  <c r="J171" i="1"/>
  <c r="G11" i="21" s="1"/>
  <c r="G12" i="21" s="1"/>
  <c r="I78" i="4"/>
  <c r="I12" i="31" s="1"/>
  <c r="I76" i="4"/>
  <c r="E32" i="21"/>
  <c r="E55" i="21" s="1"/>
  <c r="L121" i="1"/>
  <c r="L122" i="1" s="1"/>
  <c r="J216" i="4"/>
  <c r="K190" i="1"/>
  <c r="H16" i="21"/>
  <c r="N106" i="1"/>
  <c r="L194" i="4"/>
  <c r="I257" i="4"/>
  <c r="I36" i="14" s="1"/>
  <c r="K197" i="4"/>
  <c r="K38" i="14" s="1"/>
  <c r="J41" i="21" s="1"/>
  <c r="K17" i="13"/>
  <c r="E17" i="22"/>
  <c r="E14" i="22" s="1"/>
  <c r="F15" i="22" s="1"/>
  <c r="L143" i="1"/>
  <c r="I16" i="14"/>
  <c r="G35" i="14"/>
  <c r="G32" i="14" s="1"/>
  <c r="H16" i="13" s="1"/>
  <c r="J53" i="4"/>
  <c r="J12" i="14" s="1"/>
  <c r="I26" i="21" s="1"/>
  <c r="J56" i="4"/>
  <c r="J59" i="4" s="1"/>
  <c r="J13" i="14" s="1"/>
  <c r="I27" i="21" s="1"/>
  <c r="J61" i="18"/>
  <c r="J64" i="18" s="1"/>
  <c r="J69" i="18" s="1"/>
  <c r="N104" i="1"/>
  <c r="N136" i="1" s="1"/>
  <c r="N17" i="1"/>
  <c r="N52" i="1"/>
  <c r="N70" i="1"/>
  <c r="N27" i="1"/>
  <c r="N72" i="1" s="1"/>
  <c r="L107" i="1"/>
  <c r="I9" i="21" s="1"/>
  <c r="N102" i="1"/>
  <c r="L18" i="4"/>
  <c r="L20" i="4" s="1"/>
  <c r="L22" i="4" s="1"/>
  <c r="L23" i="4" s="1"/>
  <c r="L12" i="4"/>
  <c r="L14" i="4" s="1"/>
  <c r="L15" i="4" s="1"/>
  <c r="L62" i="4"/>
  <c r="L64" i="4" s="1"/>
  <c r="L14" i="14" s="1"/>
  <c r="K28" i="21" s="1"/>
  <c r="K51" i="4"/>
  <c r="J11" i="14"/>
  <c r="I25" i="21" s="1"/>
  <c r="K39" i="18"/>
  <c r="K61" i="18" s="1"/>
  <c r="L12" i="18"/>
  <c r="L34" i="18" s="1"/>
  <c r="K34" i="18"/>
  <c r="L55" i="18"/>
  <c r="L47" i="16"/>
  <c r="L58" i="16" s="1"/>
  <c r="L59" i="16" s="1"/>
  <c r="K66" i="18" s="1"/>
  <c r="C48" i="14"/>
  <c r="Q43" i="22"/>
  <c r="H237" i="4"/>
  <c r="P95" i="22"/>
  <c r="O108" i="22"/>
  <c r="Q93" i="22"/>
  <c r="Q92" i="22"/>
  <c r="Q94" i="22"/>
  <c r="P105" i="22"/>
  <c r="P107" i="22"/>
  <c r="P106" i="22"/>
  <c r="I217" i="4"/>
  <c r="I34" i="14" s="1"/>
  <c r="C165" i="22"/>
  <c r="D29" i="13" s="1"/>
  <c r="D34" i="13" s="1"/>
  <c r="D36" i="13" s="1"/>
  <c r="P55" i="22"/>
  <c r="P53" i="22"/>
  <c r="P54" i="22"/>
  <c r="K175" i="1"/>
  <c r="K182" i="1" s="1"/>
  <c r="I178" i="1"/>
  <c r="I185" i="1" s="1"/>
  <c r="I186" i="1" s="1"/>
  <c r="J177" i="1"/>
  <c r="J184" i="1" s="1"/>
  <c r="J176" i="1"/>
  <c r="J183" i="1" s="1"/>
  <c r="P134" i="22"/>
  <c r="O56" i="22"/>
  <c r="R42" i="22"/>
  <c r="R40" i="22"/>
  <c r="R41" i="22"/>
  <c r="L77" i="1"/>
  <c r="L85" i="1" s="1"/>
  <c r="J80" i="1"/>
  <c r="J88" i="1" s="1"/>
  <c r="Q133" i="22"/>
  <c r="Q131" i="22"/>
  <c r="Q132" i="22"/>
  <c r="J195" i="4"/>
  <c r="J33" i="14" s="1"/>
  <c r="K79" i="1"/>
  <c r="K87" i="1" s="1"/>
  <c r="H192" i="1"/>
  <c r="E18" i="21"/>
  <c r="K78" i="1"/>
  <c r="K86" i="1" s="1"/>
  <c r="M76" i="1"/>
  <c r="M84" i="1" s="1"/>
  <c r="L174" i="1"/>
  <c r="Q118" i="22"/>
  <c r="Q119" i="22"/>
  <c r="Q120" i="22"/>
  <c r="P121" i="22"/>
  <c r="P69" i="22"/>
  <c r="O29" i="22"/>
  <c r="O28" i="22"/>
  <c r="Q66" i="22"/>
  <c r="Q67" i="22"/>
  <c r="Q68" i="22"/>
  <c r="Q147" i="22"/>
  <c r="R146" i="22"/>
  <c r="R145" i="22"/>
  <c r="R144" i="22"/>
  <c r="M121" i="1"/>
  <c r="M119" i="1"/>
  <c r="L168" i="1"/>
  <c r="J254" i="4" s="1"/>
  <c r="N120" i="1"/>
  <c r="M118" i="1"/>
  <c r="M120" i="1"/>
  <c r="L169" i="1"/>
  <c r="J255" i="4" s="1"/>
  <c r="F56" i="21"/>
  <c r="F62" i="21"/>
  <c r="F61" i="21"/>
  <c r="F64" i="21"/>
  <c r="F51" i="21"/>
  <c r="F50" i="21"/>
  <c r="F49" i="21"/>
  <c r="F48" i="21"/>
  <c r="J8" i="21"/>
  <c r="L166" i="1"/>
  <c r="J252" i="4" s="1"/>
  <c r="L149" i="1"/>
  <c r="H10" i="21"/>
  <c r="K171" i="1"/>
  <c r="K181" i="1"/>
  <c r="M117" i="1"/>
  <c r="M107" i="1"/>
  <c r="J9" i="21" s="1"/>
  <c r="C15" i="21" l="1"/>
  <c r="C19" i="21" s="1"/>
  <c r="C20" i="21" s="1"/>
  <c r="F189" i="1"/>
  <c r="F193" i="1" s="1"/>
  <c r="F194" i="1" s="1"/>
  <c r="C13" i="38" s="1"/>
  <c r="G89" i="1"/>
  <c r="G90" i="1" s="1"/>
  <c r="L216" i="4"/>
  <c r="N138" i="1"/>
  <c r="P81" i="22"/>
  <c r="P80" i="22"/>
  <c r="P79" i="22"/>
  <c r="O82" i="22"/>
  <c r="L212" i="4"/>
  <c r="N134" i="1"/>
  <c r="N118" i="1"/>
  <c r="N135" i="1"/>
  <c r="C7" i="14"/>
  <c r="C8" i="31" s="1"/>
  <c r="C22" i="31" s="1"/>
  <c r="E194" i="1"/>
  <c r="C12" i="38" s="1"/>
  <c r="H191" i="1"/>
  <c r="H45" i="19"/>
  <c r="J145" i="1"/>
  <c r="J152" i="1" s="1"/>
  <c r="I154" i="1"/>
  <c r="I44" i="19"/>
  <c r="K144" i="1"/>
  <c r="K151" i="1" s="1"/>
  <c r="H46" i="19"/>
  <c r="J146" i="1"/>
  <c r="J153" i="1" s="1"/>
  <c r="F38" i="19"/>
  <c r="H81" i="1"/>
  <c r="L167" i="1"/>
  <c r="J253" i="4" s="1"/>
  <c r="L150" i="1"/>
  <c r="H30" i="21"/>
  <c r="I56" i="14"/>
  <c r="N167" i="1"/>
  <c r="L253" i="4" s="1"/>
  <c r="L213" i="4"/>
  <c r="E52" i="21"/>
  <c r="D7" i="14"/>
  <c r="D8" i="31" s="1"/>
  <c r="B34" i="21"/>
  <c r="B57" i="21" s="1"/>
  <c r="B70" i="21" s="1"/>
  <c r="J78" i="4"/>
  <c r="J12" i="31" s="1"/>
  <c r="N121" i="1"/>
  <c r="L236" i="4"/>
  <c r="L17" i="13"/>
  <c r="L190" i="1"/>
  <c r="I16" i="21"/>
  <c r="L170" i="1"/>
  <c r="J256" i="4" s="1"/>
  <c r="J236" i="4"/>
  <c r="N119" i="1"/>
  <c r="L214" i="4"/>
  <c r="L197" i="4"/>
  <c r="L38" i="14" s="1"/>
  <c r="K64" i="18"/>
  <c r="K69" i="18" s="1"/>
  <c r="I10" i="14"/>
  <c r="F16" i="22"/>
  <c r="F17" i="22" s="1"/>
  <c r="F14" i="22" s="1"/>
  <c r="M143" i="1"/>
  <c r="M150" i="1" s="1"/>
  <c r="F32" i="21"/>
  <c r="F55" i="21" s="1"/>
  <c r="J76" i="4"/>
  <c r="H35" i="14"/>
  <c r="H32" i="14" s="1"/>
  <c r="G32" i="21" s="1"/>
  <c r="G55" i="21" s="1"/>
  <c r="K53" i="4"/>
  <c r="K78" i="4" s="1"/>
  <c r="K12" i="31" s="1"/>
  <c r="K56" i="4"/>
  <c r="K59" i="4" s="1"/>
  <c r="K13" i="14" s="1"/>
  <c r="J27" i="21" s="1"/>
  <c r="N107" i="1"/>
  <c r="K9" i="21" s="1"/>
  <c r="K8" i="21"/>
  <c r="L139" i="1"/>
  <c r="I10" i="21" s="1"/>
  <c r="J217" i="4"/>
  <c r="J34" i="14" s="1"/>
  <c r="N117" i="1"/>
  <c r="K11" i="14"/>
  <c r="J25" i="21" s="1"/>
  <c r="M47" i="16"/>
  <c r="M58" i="16" s="1"/>
  <c r="M59" i="16" s="1"/>
  <c r="L66" i="18" s="1"/>
  <c r="M34" i="18"/>
  <c r="L39" i="18"/>
  <c r="L61" i="18" s="1"/>
  <c r="L64" i="18" s="1"/>
  <c r="L51" i="4"/>
  <c r="Q134" i="22"/>
  <c r="P56" i="22"/>
  <c r="R43" i="22"/>
  <c r="Q106" i="22"/>
  <c r="Q105" i="22"/>
  <c r="Q107" i="22"/>
  <c r="I237" i="4"/>
  <c r="Q95" i="22"/>
  <c r="R94" i="22"/>
  <c r="R92" i="22"/>
  <c r="R93" i="22"/>
  <c r="M122" i="1"/>
  <c r="P108" i="22"/>
  <c r="O30" i="22"/>
  <c r="O27" i="22" s="1"/>
  <c r="P28" i="22" s="1"/>
  <c r="L78" i="1"/>
  <c r="L86" i="1" s="1"/>
  <c r="L79" i="1"/>
  <c r="L87" i="1" s="1"/>
  <c r="J178" i="1"/>
  <c r="J185" i="1" s="1"/>
  <c r="J186" i="1" s="1"/>
  <c r="M77" i="1"/>
  <c r="M85" i="1" s="1"/>
  <c r="S41" i="22"/>
  <c r="S42" i="22"/>
  <c r="S40" i="22"/>
  <c r="F18" i="21"/>
  <c r="I192" i="1"/>
  <c r="K176" i="1"/>
  <c r="K183" i="1" s="1"/>
  <c r="K177" i="1"/>
  <c r="K184" i="1" s="1"/>
  <c r="L195" i="4"/>
  <c r="L33" i="14" s="1"/>
  <c r="K195" i="4"/>
  <c r="K33" i="14" s="1"/>
  <c r="R133" i="22"/>
  <c r="R131" i="22"/>
  <c r="R132" i="22"/>
  <c r="K80" i="1"/>
  <c r="K88" i="1" s="1"/>
  <c r="L175" i="1"/>
  <c r="Q55" i="22"/>
  <c r="Q54" i="22"/>
  <c r="Q53" i="22"/>
  <c r="M174" i="1"/>
  <c r="N76" i="1"/>
  <c r="N84" i="1" s="1"/>
  <c r="R120" i="22"/>
  <c r="R119" i="22"/>
  <c r="R118" i="22"/>
  <c r="Q121" i="22"/>
  <c r="R66" i="22"/>
  <c r="R68" i="22"/>
  <c r="R67" i="22"/>
  <c r="Q69" i="22"/>
  <c r="R147" i="22"/>
  <c r="S145" i="22"/>
  <c r="S144" i="22"/>
  <c r="S146" i="22"/>
  <c r="M169" i="1"/>
  <c r="K255" i="4" s="1"/>
  <c r="M167" i="1"/>
  <c r="K253" i="4" s="1"/>
  <c r="M170" i="1"/>
  <c r="K256" i="4" s="1"/>
  <c r="N169" i="1"/>
  <c r="L255" i="4" s="1"/>
  <c r="M168" i="1"/>
  <c r="K254" i="4" s="1"/>
  <c r="M166" i="1"/>
  <c r="K252" i="4" s="1"/>
  <c r="M139" i="1"/>
  <c r="M149" i="1"/>
  <c r="G62" i="21"/>
  <c r="G61" i="21"/>
  <c r="G56" i="21"/>
  <c r="G64" i="21"/>
  <c r="G51" i="21"/>
  <c r="G50" i="21"/>
  <c r="G49" i="21"/>
  <c r="G48" i="21"/>
  <c r="H11" i="21"/>
  <c r="H12" i="21" s="1"/>
  <c r="L181" i="1"/>
  <c r="E8" i="13" l="1"/>
  <c r="E10" i="13" s="1"/>
  <c r="G189" i="1"/>
  <c r="G193" i="1" s="1"/>
  <c r="G194" i="1" s="1"/>
  <c r="C14" i="38" s="1"/>
  <c r="D15" i="21"/>
  <c r="D19" i="21" s="1"/>
  <c r="D20" i="21" s="1"/>
  <c r="H89" i="1"/>
  <c r="H90" i="1" s="1"/>
  <c r="P82" i="22"/>
  <c r="Q80" i="22"/>
  <c r="Q81" i="22"/>
  <c r="Q79" i="22"/>
  <c r="L182" i="1"/>
  <c r="J257" i="4"/>
  <c r="J36" i="14" s="1"/>
  <c r="I46" i="19"/>
  <c r="K146" i="1"/>
  <c r="K153" i="1" s="1"/>
  <c r="J154" i="1"/>
  <c r="I45" i="19"/>
  <c r="K145" i="1"/>
  <c r="K152" i="1" s="1"/>
  <c r="I191" i="1"/>
  <c r="F17" i="21"/>
  <c r="J44" i="19"/>
  <c r="L144" i="1"/>
  <c r="L151" i="1" s="1"/>
  <c r="G38" i="19"/>
  <c r="I81" i="1"/>
  <c r="C15" i="31"/>
  <c r="C17" i="31" s="1"/>
  <c r="C18" i="31" s="1"/>
  <c r="L233" i="4"/>
  <c r="D15" i="31"/>
  <c r="D17" i="31" s="1"/>
  <c r="D22" i="31"/>
  <c r="L69" i="18"/>
  <c r="K16" i="14"/>
  <c r="F52" i="21"/>
  <c r="I5" i="38"/>
  <c r="J13" i="13"/>
  <c r="M17" i="13"/>
  <c r="F11" i="38"/>
  <c r="R11" i="38" s="1"/>
  <c r="L171" i="1"/>
  <c r="I11" i="21" s="1"/>
  <c r="I12" i="21" s="1"/>
  <c r="K41" i="21"/>
  <c r="N122" i="1"/>
  <c r="N190" i="1" s="1"/>
  <c r="K12" i="14"/>
  <c r="J26" i="21" s="1"/>
  <c r="N170" i="1"/>
  <c r="L256" i="4" s="1"/>
  <c r="N149" i="1"/>
  <c r="L232" i="4"/>
  <c r="K257" i="4"/>
  <c r="K36" i="14" s="1"/>
  <c r="M190" i="1"/>
  <c r="J16" i="21"/>
  <c r="N168" i="1"/>
  <c r="L254" i="4" s="1"/>
  <c r="L234" i="4"/>
  <c r="N143" i="1"/>
  <c r="N150" i="1" s="1"/>
  <c r="K76" i="4"/>
  <c r="I16" i="13"/>
  <c r="I35" i="14"/>
  <c r="I32" i="14" s="1"/>
  <c r="J16" i="13" s="1"/>
  <c r="L53" i="4"/>
  <c r="L78" i="4" s="1"/>
  <c r="L12" i="31" s="1"/>
  <c r="L56" i="4"/>
  <c r="L59" i="4" s="1"/>
  <c r="L13" i="14" s="1"/>
  <c r="K27" i="21" s="1"/>
  <c r="G15" i="22"/>
  <c r="G16" i="22"/>
  <c r="N139" i="1"/>
  <c r="K10" i="21" s="1"/>
  <c r="N166" i="1"/>
  <c r="L252" i="4" s="1"/>
  <c r="L16" i="14"/>
  <c r="L11" i="14"/>
  <c r="K25" i="21" s="1"/>
  <c r="J16" i="14"/>
  <c r="S94" i="22"/>
  <c r="S93" i="22"/>
  <c r="S92" i="22"/>
  <c r="R134" i="22"/>
  <c r="R95" i="22"/>
  <c r="Q108" i="22"/>
  <c r="R106" i="22"/>
  <c r="R107" i="22"/>
  <c r="R105" i="22"/>
  <c r="P29" i="22"/>
  <c r="P30" i="22" s="1"/>
  <c r="P27" i="22" s="1"/>
  <c r="Q29" i="22" s="1"/>
  <c r="S43" i="22"/>
  <c r="K217" i="4"/>
  <c r="K34" i="14" s="1"/>
  <c r="Q56" i="22"/>
  <c r="K178" i="1"/>
  <c r="K185" i="1" s="1"/>
  <c r="K186" i="1" s="1"/>
  <c r="M175" i="1"/>
  <c r="M182" i="1" s="1"/>
  <c r="M79" i="1"/>
  <c r="M87" i="1" s="1"/>
  <c r="M78" i="1"/>
  <c r="M86" i="1" s="1"/>
  <c r="J237" i="4"/>
  <c r="R55" i="22"/>
  <c r="R54" i="22"/>
  <c r="R53" i="22"/>
  <c r="L80" i="1"/>
  <c r="L88" i="1" s="1"/>
  <c r="S133" i="22"/>
  <c r="S132" i="22"/>
  <c r="S131" i="22"/>
  <c r="T40" i="22"/>
  <c r="T41" i="22"/>
  <c r="T42" i="22"/>
  <c r="N77" i="1"/>
  <c r="N85" i="1" s="1"/>
  <c r="J192" i="1"/>
  <c r="G18" i="21"/>
  <c r="L177" i="1"/>
  <c r="L184" i="1" s="1"/>
  <c r="L176" i="1"/>
  <c r="L183" i="1" s="1"/>
  <c r="N174" i="1"/>
  <c r="R69" i="22"/>
  <c r="S119" i="22"/>
  <c r="S120" i="22"/>
  <c r="S118" i="22"/>
  <c r="R121" i="22"/>
  <c r="S68" i="22"/>
  <c r="S66" i="22"/>
  <c r="S67" i="22"/>
  <c r="S147" i="22"/>
  <c r="T146" i="22"/>
  <c r="T145" i="22"/>
  <c r="T144" i="22"/>
  <c r="H61" i="21"/>
  <c r="H62" i="21"/>
  <c r="H64" i="21"/>
  <c r="H56" i="21"/>
  <c r="H51" i="21"/>
  <c r="H50" i="21"/>
  <c r="H49" i="21"/>
  <c r="H48" i="21"/>
  <c r="J10" i="21"/>
  <c r="M171" i="1"/>
  <c r="M181" i="1"/>
  <c r="E7" i="14" l="1"/>
  <c r="E8" i="31" s="1"/>
  <c r="E22" i="31" s="1"/>
  <c r="F8" i="13"/>
  <c r="F10" i="13" s="1"/>
  <c r="E15" i="21"/>
  <c r="E19" i="21" s="1"/>
  <c r="E20" i="21" s="1"/>
  <c r="H189" i="1"/>
  <c r="H193" i="1" s="1"/>
  <c r="H194" i="1" s="1"/>
  <c r="C15" i="38" s="1"/>
  <c r="I89" i="1"/>
  <c r="I90" i="1" s="1"/>
  <c r="R79" i="22"/>
  <c r="R81" i="22"/>
  <c r="R80" i="22"/>
  <c r="Q82" i="22"/>
  <c r="J45" i="19"/>
  <c r="L145" i="1"/>
  <c r="L152" i="1" s="1"/>
  <c r="J191" i="1"/>
  <c r="G17" i="21"/>
  <c r="K44" i="19"/>
  <c r="M144" i="1"/>
  <c r="M151" i="1" s="1"/>
  <c r="K154" i="1"/>
  <c r="J46" i="19"/>
  <c r="L146" i="1"/>
  <c r="L153" i="1" s="1"/>
  <c r="H38" i="19"/>
  <c r="J81" i="1"/>
  <c r="C23" i="31"/>
  <c r="K30" i="21"/>
  <c r="L56" i="14"/>
  <c r="I30" i="21"/>
  <c r="J56" i="14"/>
  <c r="J30" i="21"/>
  <c r="K56" i="14"/>
  <c r="D18" i="31"/>
  <c r="D20" i="31" s="1"/>
  <c r="E24" i="13" s="1"/>
  <c r="E25" i="13" s="1"/>
  <c r="G52" i="21"/>
  <c r="K10" i="14"/>
  <c r="C6" i="38"/>
  <c r="K16" i="21"/>
  <c r="L257" i="4"/>
  <c r="L36" i="14" s="1"/>
  <c r="H32" i="21"/>
  <c r="H55" i="21" s="1"/>
  <c r="L12" i="14"/>
  <c r="K26" i="21" s="1"/>
  <c r="J35" i="14"/>
  <c r="J32" i="14" s="1"/>
  <c r="K16" i="13" s="1"/>
  <c r="L76" i="4"/>
  <c r="G17" i="22"/>
  <c r="G14" i="22" s="1"/>
  <c r="N181" i="1"/>
  <c r="N171" i="1"/>
  <c r="K11" i="21" s="1"/>
  <c r="K12" i="21" s="1"/>
  <c r="L237" i="4"/>
  <c r="L35" i="14" s="1"/>
  <c r="L217" i="4"/>
  <c r="L34" i="14" s="1"/>
  <c r="M61" i="18"/>
  <c r="J10" i="14"/>
  <c r="S69" i="22"/>
  <c r="S95" i="22"/>
  <c r="K237" i="4"/>
  <c r="S105" i="22"/>
  <c r="S107" i="22"/>
  <c r="S106" i="22"/>
  <c r="T94" i="22"/>
  <c r="T93" i="22"/>
  <c r="T92" i="22"/>
  <c r="R108" i="22"/>
  <c r="Q28" i="22"/>
  <c r="Q30" i="22" s="1"/>
  <c r="Q27" i="22" s="1"/>
  <c r="R28" i="22" s="1"/>
  <c r="S121" i="22"/>
  <c r="S134" i="22"/>
  <c r="K192" i="1"/>
  <c r="H18" i="21"/>
  <c r="N175" i="1"/>
  <c r="N182" i="1" s="1"/>
  <c r="T132" i="22"/>
  <c r="T133" i="22"/>
  <c r="T131" i="22"/>
  <c r="M80" i="1"/>
  <c r="M88" i="1" s="1"/>
  <c r="N78" i="1"/>
  <c r="N86" i="1" s="1"/>
  <c r="N79" i="1"/>
  <c r="N87" i="1" s="1"/>
  <c r="T43" i="22"/>
  <c r="R56" i="22"/>
  <c r="U41" i="22"/>
  <c r="U40" i="22"/>
  <c r="U42" i="22"/>
  <c r="L178" i="1"/>
  <c r="L185" i="1" s="1"/>
  <c r="L186" i="1" s="1"/>
  <c r="S53" i="22"/>
  <c r="S55" i="22"/>
  <c r="S54" i="22"/>
  <c r="M176" i="1"/>
  <c r="M183" i="1" s="1"/>
  <c r="M177" i="1"/>
  <c r="M184" i="1" s="1"/>
  <c r="T118" i="22"/>
  <c r="T119" i="22"/>
  <c r="T120" i="22"/>
  <c r="T68" i="22"/>
  <c r="T67" i="22"/>
  <c r="T66" i="22"/>
  <c r="U145" i="22"/>
  <c r="U144" i="22"/>
  <c r="U146" i="22"/>
  <c r="T147" i="22"/>
  <c r="J11" i="21"/>
  <c r="J12" i="21" s="1"/>
  <c r="I62" i="21"/>
  <c r="I61" i="21"/>
  <c r="I64" i="21"/>
  <c r="I56" i="21"/>
  <c r="I51" i="21"/>
  <c r="I50" i="21"/>
  <c r="I49" i="21"/>
  <c r="I48" i="21"/>
  <c r="F7" i="14" l="1"/>
  <c r="F8" i="31" s="1"/>
  <c r="F22" i="31" s="1"/>
  <c r="G8" i="13"/>
  <c r="G10" i="13" s="1"/>
  <c r="I189" i="1"/>
  <c r="I193" i="1" s="1"/>
  <c r="I194" i="1" s="1"/>
  <c r="C16" i="38" s="1"/>
  <c r="F15" i="21"/>
  <c r="F19" i="21" s="1"/>
  <c r="F20" i="21" s="1"/>
  <c r="J89" i="1"/>
  <c r="J90" i="1" s="1"/>
  <c r="R82" i="22"/>
  <c r="S79" i="22"/>
  <c r="S81" i="22"/>
  <c r="S80" i="22"/>
  <c r="K191" i="1"/>
  <c r="H17" i="21"/>
  <c r="L154" i="1"/>
  <c r="K46" i="19"/>
  <c r="M146" i="1"/>
  <c r="M153" i="1" s="1"/>
  <c r="L44" i="19"/>
  <c r="M44" i="19" s="1"/>
  <c r="N44" i="19" s="1"/>
  <c r="O44" i="19" s="1"/>
  <c r="P44" i="19" s="1"/>
  <c r="N144" i="1"/>
  <c r="N151" i="1" s="1"/>
  <c r="K45" i="19"/>
  <c r="M145" i="1"/>
  <c r="M152" i="1" s="1"/>
  <c r="I38" i="19"/>
  <c r="K81" i="1"/>
  <c r="R29" i="38"/>
  <c r="D23" i="31"/>
  <c r="L13" i="13"/>
  <c r="J5" i="38"/>
  <c r="L10" i="14"/>
  <c r="I32" i="21"/>
  <c r="I55" i="21" s="1"/>
  <c r="L32" i="14"/>
  <c r="K35" i="14"/>
  <c r="K32" i="14" s="1"/>
  <c r="J32" i="21" s="1"/>
  <c r="J55" i="21" s="1"/>
  <c r="H15" i="22"/>
  <c r="H16" i="22"/>
  <c r="K13" i="13"/>
  <c r="T95" i="22"/>
  <c r="T106" i="22"/>
  <c r="T107" i="22"/>
  <c r="T105" i="22"/>
  <c r="U92" i="22"/>
  <c r="U94" i="22"/>
  <c r="U93" i="22"/>
  <c r="S108" i="22"/>
  <c r="T134" i="22"/>
  <c r="S56" i="22"/>
  <c r="L192" i="1"/>
  <c r="I18" i="21"/>
  <c r="T53" i="22"/>
  <c r="T55" i="22"/>
  <c r="T54" i="22"/>
  <c r="V41" i="22"/>
  <c r="V42" i="22"/>
  <c r="V40" i="22"/>
  <c r="N177" i="1"/>
  <c r="N184" i="1" s="1"/>
  <c r="N80" i="1"/>
  <c r="N88" i="1" s="1"/>
  <c r="U133" i="22"/>
  <c r="U132" i="22"/>
  <c r="U131" i="22"/>
  <c r="U43" i="22"/>
  <c r="N176" i="1"/>
  <c r="N183" i="1" s="1"/>
  <c r="M178" i="1"/>
  <c r="M185" i="1" s="1"/>
  <c r="M186" i="1" s="1"/>
  <c r="R29" i="22"/>
  <c r="R30" i="22" s="1"/>
  <c r="R27" i="22" s="1"/>
  <c r="U120" i="22"/>
  <c r="U119" i="22"/>
  <c r="U118" i="22"/>
  <c r="T121" i="22"/>
  <c r="U67" i="22"/>
  <c r="U66" i="22"/>
  <c r="U68" i="22"/>
  <c r="T69" i="22"/>
  <c r="U147" i="22"/>
  <c r="V146" i="22"/>
  <c r="V145" i="22"/>
  <c r="V144" i="22"/>
  <c r="J61" i="21"/>
  <c r="J62" i="21"/>
  <c r="J56" i="21"/>
  <c r="J64" i="21"/>
  <c r="J51" i="21"/>
  <c r="J50" i="21"/>
  <c r="J49" i="21"/>
  <c r="J48" i="21"/>
  <c r="K61" i="21"/>
  <c r="K56" i="21"/>
  <c r="K62" i="21"/>
  <c r="K64" i="21"/>
  <c r="K51" i="21"/>
  <c r="K50" i="21"/>
  <c r="K49" i="21"/>
  <c r="K48" i="21"/>
  <c r="G7" i="14" l="1"/>
  <c r="G8" i="31" s="1"/>
  <c r="G22" i="31" s="1"/>
  <c r="H8" i="13"/>
  <c r="H10" i="13" s="1"/>
  <c r="J189" i="1"/>
  <c r="J193" i="1" s="1"/>
  <c r="J194" i="1" s="1"/>
  <c r="C17" i="38" s="1"/>
  <c r="G15" i="21"/>
  <c r="G19" i="21" s="1"/>
  <c r="G20" i="21" s="1"/>
  <c r="K89" i="1"/>
  <c r="K90" i="1" s="1"/>
  <c r="S82" i="22"/>
  <c r="T79" i="22"/>
  <c r="T80" i="22"/>
  <c r="T81" i="22"/>
  <c r="L45" i="19"/>
  <c r="M45" i="19" s="1"/>
  <c r="N45" i="19" s="1"/>
  <c r="O45" i="19" s="1"/>
  <c r="P45" i="19" s="1"/>
  <c r="N145" i="1"/>
  <c r="N152" i="1" s="1"/>
  <c r="L46" i="19"/>
  <c r="M46" i="19" s="1"/>
  <c r="N46" i="19" s="1"/>
  <c r="O46" i="19" s="1"/>
  <c r="P46" i="19" s="1"/>
  <c r="N146" i="1"/>
  <c r="N153" i="1" s="1"/>
  <c r="I17" i="21"/>
  <c r="L191" i="1"/>
  <c r="M154" i="1"/>
  <c r="J38" i="19"/>
  <c r="L81" i="1"/>
  <c r="H52" i="21"/>
  <c r="I52" i="21"/>
  <c r="F7" i="38"/>
  <c r="R7" i="38" s="1"/>
  <c r="K32" i="21"/>
  <c r="K55" i="21" s="1"/>
  <c r="F10" i="38"/>
  <c r="R10" i="38" s="1"/>
  <c r="M13" i="13"/>
  <c r="L16" i="13"/>
  <c r="H17" i="22"/>
  <c r="H14" i="22" s="1"/>
  <c r="I15" i="22" s="1"/>
  <c r="M16" i="13"/>
  <c r="U95" i="22"/>
  <c r="U105" i="22"/>
  <c r="U106" i="22"/>
  <c r="U107" i="22"/>
  <c r="V94" i="22"/>
  <c r="V92" i="22"/>
  <c r="V93" i="22"/>
  <c r="T108" i="22"/>
  <c r="U134" i="22"/>
  <c r="T56" i="22"/>
  <c r="M192" i="1"/>
  <c r="J18" i="21"/>
  <c r="W42" i="22"/>
  <c r="W41" i="22"/>
  <c r="W40" i="22"/>
  <c r="V43" i="22"/>
  <c r="V132" i="22"/>
  <c r="V131" i="22"/>
  <c r="V133" i="22"/>
  <c r="N178" i="1"/>
  <c r="N185" i="1" s="1"/>
  <c r="N186" i="1" s="1"/>
  <c r="U55" i="22"/>
  <c r="U53" i="22"/>
  <c r="U54" i="22"/>
  <c r="U121" i="22"/>
  <c r="S28" i="22"/>
  <c r="S29" i="22"/>
  <c r="V118" i="22"/>
  <c r="V120" i="22"/>
  <c r="V119" i="22"/>
  <c r="V67" i="22"/>
  <c r="V68" i="22"/>
  <c r="V66" i="22"/>
  <c r="U69" i="22"/>
  <c r="V147" i="22"/>
  <c r="W144" i="22"/>
  <c r="W146" i="22"/>
  <c r="W145" i="22"/>
  <c r="I8" i="13" l="1"/>
  <c r="I10" i="13" s="1"/>
  <c r="H7" i="14"/>
  <c r="H8" i="31" s="1"/>
  <c r="H22" i="31" s="1"/>
  <c r="K189" i="1"/>
  <c r="K193" i="1" s="1"/>
  <c r="K194" i="1" s="1"/>
  <c r="C18" i="38" s="1"/>
  <c r="H15" i="21"/>
  <c r="H19" i="21" s="1"/>
  <c r="H20" i="21" s="1"/>
  <c r="L89" i="1"/>
  <c r="L90" i="1" s="1"/>
  <c r="T82" i="22"/>
  <c r="U80" i="22"/>
  <c r="U81" i="22"/>
  <c r="U79" i="22"/>
  <c r="N154" i="1"/>
  <c r="N191" i="1" s="1"/>
  <c r="M191" i="1"/>
  <c r="J17" i="21"/>
  <c r="K38" i="19"/>
  <c r="M81" i="1"/>
  <c r="J52" i="21"/>
  <c r="I16" i="22"/>
  <c r="I17" i="22" s="1"/>
  <c r="I14" i="22" s="1"/>
  <c r="U108" i="22"/>
  <c r="W93" i="22"/>
  <c r="W94" i="22"/>
  <c r="W92" i="22"/>
  <c r="V95" i="22"/>
  <c r="V106" i="22"/>
  <c r="V107" i="22"/>
  <c r="V105" i="22"/>
  <c r="N192" i="1"/>
  <c r="K18" i="21"/>
  <c r="U56" i="22"/>
  <c r="W131" i="22"/>
  <c r="W133" i="22"/>
  <c r="W132" i="22"/>
  <c r="X40" i="22"/>
  <c r="X42" i="22"/>
  <c r="X41" i="22"/>
  <c r="V53" i="22"/>
  <c r="V54" i="22"/>
  <c r="V55" i="22"/>
  <c r="W43" i="22"/>
  <c r="V134" i="22"/>
  <c r="S30" i="22"/>
  <c r="S27" i="22" s="1"/>
  <c r="T28" i="22" s="1"/>
  <c r="V121" i="22"/>
  <c r="W119" i="22"/>
  <c r="W120" i="22"/>
  <c r="W118" i="22"/>
  <c r="V69" i="22"/>
  <c r="W67" i="22"/>
  <c r="W68" i="22"/>
  <c r="W66" i="22"/>
  <c r="W147" i="22"/>
  <c r="X145" i="22"/>
  <c r="X144" i="22"/>
  <c r="X146" i="22"/>
  <c r="I7" i="14" l="1"/>
  <c r="I8" i="31" s="1"/>
  <c r="I22" i="31" s="1"/>
  <c r="J8" i="13"/>
  <c r="J10" i="13" s="1"/>
  <c r="I15" i="21"/>
  <c r="I19" i="21" s="1"/>
  <c r="I20" i="21" s="1"/>
  <c r="L189" i="1"/>
  <c r="L193" i="1" s="1"/>
  <c r="L194" i="1" s="1"/>
  <c r="C19" i="38" s="1"/>
  <c r="M89" i="1"/>
  <c r="M90" i="1" s="1"/>
  <c r="V81" i="22"/>
  <c r="V79" i="22"/>
  <c r="V80" i="22"/>
  <c r="U82" i="22"/>
  <c r="K17" i="21"/>
  <c r="C7" i="38"/>
  <c r="L38" i="19"/>
  <c r="M38" i="19" s="1"/>
  <c r="N38" i="19" s="1"/>
  <c r="O38" i="19" s="1"/>
  <c r="P38" i="19" s="1"/>
  <c r="N81" i="1"/>
  <c r="K52" i="21"/>
  <c r="C8" i="38"/>
  <c r="J15" i="22"/>
  <c r="J16" i="22"/>
  <c r="T29" i="22"/>
  <c r="T30" i="22" s="1"/>
  <c r="T27" i="22" s="1"/>
  <c r="U28" i="22" s="1"/>
  <c r="V108" i="22"/>
  <c r="W95" i="22"/>
  <c r="W105" i="22"/>
  <c r="W107" i="22"/>
  <c r="W106" i="22"/>
  <c r="X93" i="22"/>
  <c r="X92" i="22"/>
  <c r="X94" i="22"/>
  <c r="X43" i="22"/>
  <c r="X132" i="22"/>
  <c r="X131" i="22"/>
  <c r="X133" i="22"/>
  <c r="V56" i="22"/>
  <c r="W134" i="22"/>
  <c r="W53" i="22"/>
  <c r="W54" i="22"/>
  <c r="W55" i="22"/>
  <c r="Y41" i="22"/>
  <c r="Y40" i="22"/>
  <c r="Y42" i="22"/>
  <c r="X118" i="22"/>
  <c r="X120" i="22"/>
  <c r="X119" i="22"/>
  <c r="W121" i="22"/>
  <c r="X68" i="22"/>
  <c r="X66" i="22"/>
  <c r="X67" i="22"/>
  <c r="W69" i="22"/>
  <c r="X147" i="22"/>
  <c r="Y145" i="22"/>
  <c r="Y146" i="22"/>
  <c r="Y144" i="22"/>
  <c r="J7" i="14" l="1"/>
  <c r="J8" i="31" s="1"/>
  <c r="J22" i="31" s="1"/>
  <c r="K8" i="13"/>
  <c r="K10" i="13" s="1"/>
  <c r="M189" i="1"/>
  <c r="M193" i="1" s="1"/>
  <c r="M194" i="1" s="1"/>
  <c r="C20" i="38" s="1"/>
  <c r="J15" i="21"/>
  <c r="J19" i="21" s="1"/>
  <c r="J20" i="21" s="1"/>
  <c r="N89" i="1"/>
  <c r="N90" i="1" s="1"/>
  <c r="V82" i="22"/>
  <c r="W79" i="22"/>
  <c r="W81" i="22"/>
  <c r="W80" i="22"/>
  <c r="J17" i="22"/>
  <c r="J14" i="22" s="1"/>
  <c r="K16" i="22" s="1"/>
  <c r="X69" i="22"/>
  <c r="U29" i="22"/>
  <c r="U30" i="22" s="1"/>
  <c r="U27" i="22" s="1"/>
  <c r="W108" i="22"/>
  <c r="X95" i="22"/>
  <c r="Y93" i="22"/>
  <c r="Y92" i="22"/>
  <c r="Y94" i="22"/>
  <c r="X106" i="22"/>
  <c r="X105" i="22"/>
  <c r="X107" i="22"/>
  <c r="Y43" i="22"/>
  <c r="W56" i="22"/>
  <c r="X134" i="22"/>
  <c r="Z42" i="22"/>
  <c r="D170" i="22" s="1"/>
  <c r="Z41" i="22"/>
  <c r="X54" i="22"/>
  <c r="X53" i="22"/>
  <c r="X55" i="22"/>
  <c r="Y133" i="22"/>
  <c r="Y132" i="22"/>
  <c r="Y131" i="22"/>
  <c r="X121" i="22"/>
  <c r="Y119" i="22"/>
  <c r="Y120" i="22"/>
  <c r="Y118" i="22"/>
  <c r="Y66" i="22"/>
  <c r="Y68" i="22"/>
  <c r="Y67" i="22"/>
  <c r="Y147" i="22"/>
  <c r="Z146" i="22"/>
  <c r="D178" i="22" s="1"/>
  <c r="Z144" i="22"/>
  <c r="Z145" i="22"/>
  <c r="K7" i="14" l="1"/>
  <c r="K8" i="31" s="1"/>
  <c r="K22" i="31" s="1"/>
  <c r="L8" i="13"/>
  <c r="L10" i="13" s="1"/>
  <c r="K15" i="21"/>
  <c r="K19" i="21" s="1"/>
  <c r="K20" i="21" s="1"/>
  <c r="N189" i="1"/>
  <c r="C5" i="38" s="1"/>
  <c r="C4" i="38" s="1"/>
  <c r="W82" i="22"/>
  <c r="X79" i="22"/>
  <c r="X80" i="22"/>
  <c r="X81" i="22"/>
  <c r="K15" i="22"/>
  <c r="K17" i="22" s="1"/>
  <c r="K14" i="22" s="1"/>
  <c r="L15" i="22" s="1"/>
  <c r="Y95" i="22"/>
  <c r="Y106" i="22"/>
  <c r="Y107" i="22"/>
  <c r="Y105" i="22"/>
  <c r="Z92" i="22"/>
  <c r="Z94" i="22"/>
  <c r="D174" i="22" s="1"/>
  <c r="Z93" i="22"/>
  <c r="X108" i="22"/>
  <c r="Z43" i="22"/>
  <c r="Y134" i="22"/>
  <c r="X56" i="22"/>
  <c r="Z131" i="22"/>
  <c r="Z133" i="22"/>
  <c r="D177" i="22" s="1"/>
  <c r="Z132" i="22"/>
  <c r="Y54" i="22"/>
  <c r="Y53" i="22"/>
  <c r="Y55" i="22"/>
  <c r="D155" i="22"/>
  <c r="Y121" i="22"/>
  <c r="Z119" i="22"/>
  <c r="Z120" i="22"/>
  <c r="D176" i="22" s="1"/>
  <c r="Z118" i="22"/>
  <c r="Z68" i="22"/>
  <c r="D172" i="22" s="1"/>
  <c r="Z66" i="22"/>
  <c r="Z67" i="22"/>
  <c r="Y69" i="22"/>
  <c r="AA145" i="22"/>
  <c r="AA144" i="22"/>
  <c r="AA146" i="22"/>
  <c r="Z147" i="22"/>
  <c r="D163" i="22"/>
  <c r="V29" i="22"/>
  <c r="V28" i="22"/>
  <c r="N193" i="1" l="1"/>
  <c r="N194" i="1" s="1"/>
  <c r="C21" i="38" s="1"/>
  <c r="C23" i="38" s="1"/>
  <c r="X82" i="22"/>
  <c r="Y80" i="22"/>
  <c r="Y81" i="22"/>
  <c r="Y79" i="22"/>
  <c r="L16" i="22"/>
  <c r="L17" i="22" s="1"/>
  <c r="L14" i="22" s="1"/>
  <c r="M16" i="22" s="1"/>
  <c r="Y108" i="22"/>
  <c r="Z105" i="22"/>
  <c r="Z107" i="22"/>
  <c r="D175" i="22" s="1"/>
  <c r="Z106" i="22"/>
  <c r="D160" i="22" s="1"/>
  <c r="Z95" i="22"/>
  <c r="D159" i="22"/>
  <c r="AA94" i="22"/>
  <c r="AA93" i="22"/>
  <c r="AA92" i="22"/>
  <c r="Y56" i="22"/>
  <c r="Z55" i="22"/>
  <c r="D171" i="22" s="1"/>
  <c r="Z53" i="22"/>
  <c r="Z54" i="22"/>
  <c r="D162" i="22"/>
  <c r="Z134" i="22"/>
  <c r="AA133" i="22"/>
  <c r="AA132" i="22"/>
  <c r="AA131" i="22"/>
  <c r="V30" i="22"/>
  <c r="V27" i="22" s="1"/>
  <c r="W28" i="22" s="1"/>
  <c r="AA119" i="22"/>
  <c r="AA120" i="22"/>
  <c r="AA118" i="22"/>
  <c r="Z121" i="22"/>
  <c r="D161" i="22"/>
  <c r="Z69" i="22"/>
  <c r="D157" i="22"/>
  <c r="AA68" i="22"/>
  <c r="AA67" i="22"/>
  <c r="AA66" i="22"/>
  <c r="AA147" i="22"/>
  <c r="AB146" i="22"/>
  <c r="AB144" i="22"/>
  <c r="AB145" i="22"/>
  <c r="M8" i="13" l="1"/>
  <c r="M10" i="13" s="1"/>
  <c r="L7" i="14"/>
  <c r="R4" i="38" s="1"/>
  <c r="Z79" i="22"/>
  <c r="Z81" i="22"/>
  <c r="D173" i="22" s="1"/>
  <c r="Z80" i="22"/>
  <c r="Y82" i="22"/>
  <c r="M15" i="22"/>
  <c r="M17" i="22" s="1"/>
  <c r="M14" i="22" s="1"/>
  <c r="AB147" i="22"/>
  <c r="AB92" i="22"/>
  <c r="AB93" i="22"/>
  <c r="AB94" i="22"/>
  <c r="W29" i="22"/>
  <c r="W30" i="22" s="1"/>
  <c r="W27" i="22" s="1"/>
  <c r="X29" i="22" s="1"/>
  <c r="AA95" i="22"/>
  <c r="Z108" i="22"/>
  <c r="AA105" i="22"/>
  <c r="AA106" i="22"/>
  <c r="AA107" i="22"/>
  <c r="AA134" i="22"/>
  <c r="AB132" i="22"/>
  <c r="AB131" i="22"/>
  <c r="AB133" i="22"/>
  <c r="AA55" i="22"/>
  <c r="AA53" i="22"/>
  <c r="AA54" i="22"/>
  <c r="Z56" i="22"/>
  <c r="D156" i="22"/>
  <c r="AA69" i="22"/>
  <c r="AB120" i="22"/>
  <c r="AB119" i="22"/>
  <c r="AB118" i="22"/>
  <c r="AA121" i="22"/>
  <c r="AB67" i="22"/>
  <c r="AB68" i="22"/>
  <c r="AB66" i="22"/>
  <c r="AC146" i="22"/>
  <c r="AC145" i="22"/>
  <c r="AC144" i="22"/>
  <c r="F4" i="38" l="1"/>
  <c r="L8" i="31"/>
  <c r="L22" i="31" s="1"/>
  <c r="D158" i="22"/>
  <c r="Z82" i="22"/>
  <c r="AA79" i="22"/>
  <c r="AA80" i="22"/>
  <c r="AA81" i="22"/>
  <c r="N15" i="22"/>
  <c r="C153" i="22" s="1"/>
  <c r="N16" i="22"/>
  <c r="C168" i="22" s="1"/>
  <c r="C179" i="22" s="1"/>
  <c r="X28" i="22"/>
  <c r="X30" i="22" s="1"/>
  <c r="X27" i="22" s="1"/>
  <c r="Y28" i="22" s="1"/>
  <c r="AB95" i="22"/>
  <c r="AC92" i="22"/>
  <c r="AC94" i="22"/>
  <c r="AC93" i="22"/>
  <c r="AB107" i="22"/>
  <c r="AB106" i="22"/>
  <c r="AB105" i="22"/>
  <c r="AA108" i="22"/>
  <c r="AB55" i="22"/>
  <c r="AB54" i="22"/>
  <c r="AB53" i="22"/>
  <c r="AB134" i="22"/>
  <c r="AA56" i="22"/>
  <c r="AC132" i="22"/>
  <c r="AC133" i="22"/>
  <c r="AC131" i="22"/>
  <c r="AC118" i="22"/>
  <c r="AC119" i="22"/>
  <c r="AC120" i="22"/>
  <c r="AB121" i="22"/>
  <c r="AC66" i="22"/>
  <c r="AC67" i="22"/>
  <c r="AC68" i="22"/>
  <c r="AB69" i="22"/>
  <c r="AC147" i="22"/>
  <c r="AD144" i="22"/>
  <c r="AD145" i="22"/>
  <c r="AD146" i="22"/>
  <c r="AA82" i="22" l="1"/>
  <c r="AB79" i="22"/>
  <c r="AB80" i="22"/>
  <c r="AB81" i="22"/>
  <c r="N17" i="22"/>
  <c r="N14" i="22" s="1"/>
  <c r="C164" i="22"/>
  <c r="AB108" i="22"/>
  <c r="AC95" i="22"/>
  <c r="AD92" i="22"/>
  <c r="AD94" i="22"/>
  <c r="AD93" i="22"/>
  <c r="AC106" i="22"/>
  <c r="AC107" i="22"/>
  <c r="AC105" i="22"/>
  <c r="AB56" i="22"/>
  <c r="AD133" i="22"/>
  <c r="AD132" i="22"/>
  <c r="AD131" i="22"/>
  <c r="AC55" i="22"/>
  <c r="AC53" i="22"/>
  <c r="AC54" i="22"/>
  <c r="AC134" i="22"/>
  <c r="AD120" i="22"/>
  <c r="AD119" i="22"/>
  <c r="AD118" i="22"/>
  <c r="AC121" i="22"/>
  <c r="AC69" i="22"/>
  <c r="AD67" i="22"/>
  <c r="AD66" i="22"/>
  <c r="AD68" i="22"/>
  <c r="Y29" i="22"/>
  <c r="Y30" i="22" s="1"/>
  <c r="Y27" i="22" s="1"/>
  <c r="AE145" i="22"/>
  <c r="AE146" i="22"/>
  <c r="AE144" i="22"/>
  <c r="AD147" i="22"/>
  <c r="AB82" i="22" l="1"/>
  <c r="AC81" i="22"/>
  <c r="AC79" i="22"/>
  <c r="AC80" i="22"/>
  <c r="O16" i="22"/>
  <c r="O15" i="22"/>
  <c r="AC108" i="22"/>
  <c r="AD106" i="22"/>
  <c r="AD107" i="22"/>
  <c r="AD105" i="22"/>
  <c r="AD95" i="22"/>
  <c r="AE94" i="22"/>
  <c r="AE93" i="22"/>
  <c r="AE92" i="22"/>
  <c r="AD134" i="22"/>
  <c r="AD55" i="22"/>
  <c r="AD54" i="22"/>
  <c r="AD53" i="22"/>
  <c r="AE133" i="22"/>
  <c r="AE132" i="22"/>
  <c r="AE131" i="22"/>
  <c r="AC56" i="22"/>
  <c r="AE118" i="22"/>
  <c r="AE119" i="22"/>
  <c r="AE120" i="22"/>
  <c r="AD121" i="22"/>
  <c r="AD69" i="22"/>
  <c r="AE67" i="22"/>
  <c r="AE66" i="22"/>
  <c r="AE68" i="22"/>
  <c r="AF144" i="22"/>
  <c r="AF146" i="22"/>
  <c r="AF145" i="22"/>
  <c r="AE147" i="22"/>
  <c r="Z29" i="22"/>
  <c r="D169" i="22" s="1"/>
  <c r="Z28" i="22"/>
  <c r="AC82" i="22" l="1"/>
  <c r="AD81" i="22"/>
  <c r="AD79" i="22"/>
  <c r="AD80" i="22"/>
  <c r="O17" i="22"/>
  <c r="O14" i="22" s="1"/>
  <c r="P16" i="22" s="1"/>
  <c r="AD108" i="22"/>
  <c r="AE95" i="22"/>
  <c r="AF94" i="22"/>
  <c r="AF92" i="22"/>
  <c r="AF93" i="22"/>
  <c r="AE107" i="22"/>
  <c r="AE106" i="22"/>
  <c r="AE105" i="22"/>
  <c r="AD56" i="22"/>
  <c r="AE53" i="22"/>
  <c r="AE55" i="22"/>
  <c r="AE54" i="22"/>
  <c r="AE134" i="22"/>
  <c r="AF132" i="22"/>
  <c r="AF133" i="22"/>
  <c r="AF131" i="22"/>
  <c r="AF120" i="22"/>
  <c r="AF118" i="22"/>
  <c r="AF119" i="22"/>
  <c r="AE121" i="22"/>
  <c r="AE69" i="22"/>
  <c r="AF68" i="22"/>
  <c r="AF66" i="22"/>
  <c r="AF67" i="22"/>
  <c r="AF147" i="22"/>
  <c r="AG146" i="22"/>
  <c r="AG144" i="22"/>
  <c r="AG145" i="22"/>
  <c r="D180" i="22"/>
  <c r="Z30" i="22"/>
  <c r="Z27" i="22" s="1"/>
  <c r="D154" i="22"/>
  <c r="AD82" i="22" l="1"/>
  <c r="AE81" i="22"/>
  <c r="AE80" i="22"/>
  <c r="AE79" i="22"/>
  <c r="P15" i="22"/>
  <c r="P17" i="22" s="1"/>
  <c r="P14" i="22" s="1"/>
  <c r="AE108" i="22"/>
  <c r="AF95" i="22"/>
  <c r="AF121" i="22"/>
  <c r="AG94" i="22"/>
  <c r="AG92" i="22"/>
  <c r="AG93" i="22"/>
  <c r="AF105" i="22"/>
  <c r="AF107" i="22"/>
  <c r="AF106" i="22"/>
  <c r="AF69" i="22"/>
  <c r="AG131" i="22"/>
  <c r="AG132" i="22"/>
  <c r="AG133" i="22"/>
  <c r="AE56" i="22"/>
  <c r="AF55" i="22"/>
  <c r="AF54" i="22"/>
  <c r="AF53" i="22"/>
  <c r="AF134" i="22"/>
  <c r="AG118" i="22"/>
  <c r="AG120" i="22"/>
  <c r="AG119" i="22"/>
  <c r="AG67" i="22"/>
  <c r="AG68" i="22"/>
  <c r="AG66" i="22"/>
  <c r="AH144" i="22"/>
  <c r="AH146" i="22"/>
  <c r="AH145" i="22"/>
  <c r="AG147" i="22"/>
  <c r="AA28" i="22"/>
  <c r="AA29" i="22"/>
  <c r="D48" i="14"/>
  <c r="E12" i="15"/>
  <c r="D165" i="22"/>
  <c r="E29" i="13" s="1"/>
  <c r="AF79" i="22" l="1"/>
  <c r="AF81" i="22"/>
  <c r="AF80" i="22"/>
  <c r="AE82" i="22"/>
  <c r="Q16" i="22"/>
  <c r="Q15" i="22"/>
  <c r="AH93" i="22"/>
  <c r="AH94" i="22"/>
  <c r="AH92" i="22"/>
  <c r="AF108" i="22"/>
  <c r="AG95" i="22"/>
  <c r="AG106" i="22"/>
  <c r="AG107" i="22"/>
  <c r="AG105" i="22"/>
  <c r="AG134" i="22"/>
  <c r="AH133" i="22"/>
  <c r="AH131" i="22"/>
  <c r="AH132" i="22"/>
  <c r="AF56" i="22"/>
  <c r="AG54" i="22"/>
  <c r="AG55" i="22"/>
  <c r="AG53" i="22"/>
  <c r="AG69" i="22"/>
  <c r="AG121" i="22"/>
  <c r="AH120" i="22"/>
  <c r="AH119" i="22"/>
  <c r="AH118" i="22"/>
  <c r="AH66" i="22"/>
  <c r="AH67" i="22"/>
  <c r="AH68" i="22"/>
  <c r="AH147" i="22"/>
  <c r="AI144" i="22"/>
  <c r="AI146" i="22"/>
  <c r="AI145" i="22"/>
  <c r="C34" i="21"/>
  <c r="AA30" i="22"/>
  <c r="AA27" i="22" s="1"/>
  <c r="AF82" i="22" l="1"/>
  <c r="AG80" i="22"/>
  <c r="AG81" i="22"/>
  <c r="AG79" i="22"/>
  <c r="Q17" i="22"/>
  <c r="Q14" i="22" s="1"/>
  <c r="R16" i="22" s="1"/>
  <c r="AG108" i="22"/>
  <c r="AH134" i="22"/>
  <c r="AI92" i="22"/>
  <c r="AI94" i="22"/>
  <c r="AI93" i="22"/>
  <c r="AH105" i="22"/>
  <c r="AH107" i="22"/>
  <c r="AH106" i="22"/>
  <c r="AH95" i="22"/>
  <c r="AG56" i="22"/>
  <c r="AH121" i="22"/>
  <c r="AH54" i="22"/>
  <c r="AH55" i="22"/>
  <c r="AH53" i="22"/>
  <c r="AI131" i="22"/>
  <c r="AI132" i="22"/>
  <c r="AI133" i="22"/>
  <c r="AI119" i="22"/>
  <c r="AI118" i="22"/>
  <c r="AI120" i="22"/>
  <c r="AH69" i="22"/>
  <c r="AI68" i="22"/>
  <c r="AI67" i="22"/>
  <c r="AI66" i="22"/>
  <c r="AI147" i="22"/>
  <c r="AJ146" i="22"/>
  <c r="AJ144" i="22"/>
  <c r="AJ145" i="22"/>
  <c r="AB29" i="22"/>
  <c r="AB28" i="22"/>
  <c r="C57" i="21"/>
  <c r="AG82" i="22" l="1"/>
  <c r="AH81" i="22"/>
  <c r="AH80" i="22"/>
  <c r="AH79" i="22"/>
  <c r="R15" i="22"/>
  <c r="R17" i="22" s="1"/>
  <c r="R14" i="22" s="1"/>
  <c r="AH108" i="22"/>
  <c r="AJ93" i="22"/>
  <c r="AJ92" i="22"/>
  <c r="AJ94" i="22"/>
  <c r="AI106" i="22"/>
  <c r="AI107" i="22"/>
  <c r="AI105" i="22"/>
  <c r="AI95" i="22"/>
  <c r="AJ147" i="22"/>
  <c r="AI55" i="22"/>
  <c r="AI54" i="22"/>
  <c r="AI53" i="22"/>
  <c r="AI134" i="22"/>
  <c r="AH56" i="22"/>
  <c r="AJ131" i="22"/>
  <c r="AJ132" i="22"/>
  <c r="AJ133" i="22"/>
  <c r="AI121" i="22"/>
  <c r="AJ118" i="22"/>
  <c r="AJ119" i="22"/>
  <c r="AJ120" i="22"/>
  <c r="AJ68" i="22"/>
  <c r="AJ66" i="22"/>
  <c r="AJ67" i="22"/>
  <c r="AI69" i="22"/>
  <c r="AK144" i="22"/>
  <c r="AK145" i="22"/>
  <c r="AK146" i="22"/>
  <c r="AB30" i="22"/>
  <c r="AB27" i="22" s="1"/>
  <c r="AI80" i="22" l="1"/>
  <c r="AI79" i="22"/>
  <c r="AI81" i="22"/>
  <c r="AH82" i="22"/>
  <c r="S16" i="22"/>
  <c r="S15" i="22"/>
  <c r="AI108" i="22"/>
  <c r="AJ69" i="22"/>
  <c r="AJ106" i="22"/>
  <c r="AJ105" i="22"/>
  <c r="AJ107" i="22"/>
  <c r="AK92" i="22"/>
  <c r="AK93" i="22"/>
  <c r="AK94" i="22"/>
  <c r="AJ95" i="22"/>
  <c r="AI56" i="22"/>
  <c r="AJ53" i="22"/>
  <c r="AJ55" i="22"/>
  <c r="AJ54" i="22"/>
  <c r="AJ134" i="22"/>
  <c r="AK132" i="22"/>
  <c r="AK131" i="22"/>
  <c r="AK133" i="22"/>
  <c r="AK118" i="22"/>
  <c r="AK120" i="22"/>
  <c r="AK119" i="22"/>
  <c r="AJ121" i="22"/>
  <c r="AK67" i="22"/>
  <c r="AK68" i="22"/>
  <c r="AK66" i="22"/>
  <c r="AK147" i="22"/>
  <c r="AL145" i="22"/>
  <c r="AL146" i="22"/>
  <c r="E178" i="22" s="1"/>
  <c r="AL144" i="22"/>
  <c r="AC28" i="22"/>
  <c r="AC29" i="22"/>
  <c r="AJ79" i="22" l="1"/>
  <c r="AJ80" i="22"/>
  <c r="AJ81" i="22"/>
  <c r="AI82" i="22"/>
  <c r="S17" i="22"/>
  <c r="S14" i="22" s="1"/>
  <c r="T16" i="22" s="1"/>
  <c r="AJ108" i="22"/>
  <c r="AK95" i="22"/>
  <c r="AK106" i="22"/>
  <c r="AK105" i="22"/>
  <c r="AK107" i="22"/>
  <c r="AL94" i="22"/>
  <c r="E174" i="22" s="1"/>
  <c r="AL92" i="22"/>
  <c r="AL93" i="22"/>
  <c r="E159" i="22" s="1"/>
  <c r="AK121" i="22"/>
  <c r="AJ56" i="22"/>
  <c r="AK53" i="22"/>
  <c r="AK55" i="22"/>
  <c r="AK54" i="22"/>
  <c r="AK134" i="22"/>
  <c r="AL131" i="22"/>
  <c r="AL132" i="22"/>
  <c r="AL133" i="22"/>
  <c r="E177" i="22" s="1"/>
  <c r="AL120" i="22"/>
  <c r="E176" i="22" s="1"/>
  <c r="AL119" i="22"/>
  <c r="AL118" i="22"/>
  <c r="AL66" i="22"/>
  <c r="AL68" i="22"/>
  <c r="E172" i="22" s="1"/>
  <c r="AL67" i="22"/>
  <c r="AK69" i="22"/>
  <c r="AM145" i="22"/>
  <c r="AM144" i="22"/>
  <c r="AM146" i="22"/>
  <c r="AL147" i="22"/>
  <c r="E163" i="22"/>
  <c r="AC30" i="22"/>
  <c r="AC27" i="22" s="1"/>
  <c r="AK81" i="22" l="1"/>
  <c r="AK80" i="22"/>
  <c r="AK79" i="22"/>
  <c r="AJ82" i="22"/>
  <c r="T15" i="22"/>
  <c r="T17" i="22" s="1"/>
  <c r="T14" i="22" s="1"/>
  <c r="U15" i="22" s="1"/>
  <c r="AM93" i="22"/>
  <c r="AM94" i="22"/>
  <c r="AM92" i="22"/>
  <c r="AL95" i="22"/>
  <c r="AK108" i="22"/>
  <c r="AL107" i="22"/>
  <c r="E175" i="22" s="1"/>
  <c r="AL106" i="22"/>
  <c r="AL105" i="22"/>
  <c r="AK56" i="22"/>
  <c r="AM132" i="22"/>
  <c r="AM133" i="22"/>
  <c r="AM131" i="22"/>
  <c r="AL54" i="22"/>
  <c r="AL55" i="22"/>
  <c r="E171" i="22" s="1"/>
  <c r="E162" i="22"/>
  <c r="AL134" i="22"/>
  <c r="AM120" i="22"/>
  <c r="AM119" i="22"/>
  <c r="AM118" i="22"/>
  <c r="AL121" i="22"/>
  <c r="E161" i="22"/>
  <c r="E157" i="22"/>
  <c r="AL69" i="22"/>
  <c r="AM68" i="22"/>
  <c r="AM66" i="22"/>
  <c r="AM67" i="22"/>
  <c r="AM147" i="22"/>
  <c r="AN146" i="22"/>
  <c r="AN144" i="22"/>
  <c r="AN145" i="22"/>
  <c r="AD28" i="22"/>
  <c r="AD29" i="22"/>
  <c r="AL81" i="22" l="1"/>
  <c r="E173" i="22" s="1"/>
  <c r="AL80" i="22"/>
  <c r="AL79" i="22"/>
  <c r="AK82" i="22"/>
  <c r="U16" i="22"/>
  <c r="U17" i="22" s="1"/>
  <c r="U14" i="22" s="1"/>
  <c r="V15" i="22" s="1"/>
  <c r="AM69" i="22"/>
  <c r="AM105" i="22"/>
  <c r="AM107" i="22"/>
  <c r="AM106" i="22"/>
  <c r="AM95" i="22"/>
  <c r="AN92" i="22"/>
  <c r="AN94" i="22"/>
  <c r="AN93" i="22"/>
  <c r="E160" i="22"/>
  <c r="AL108" i="22"/>
  <c r="AN147" i="22"/>
  <c r="AN133" i="22"/>
  <c r="AN132" i="22"/>
  <c r="AN131" i="22"/>
  <c r="AM134" i="22"/>
  <c r="AL56" i="22"/>
  <c r="E156" i="22"/>
  <c r="AN118" i="22"/>
  <c r="AN120" i="22"/>
  <c r="AN119" i="22"/>
  <c r="AM121" i="22"/>
  <c r="AN67" i="22"/>
  <c r="AN66" i="22"/>
  <c r="AN68" i="22"/>
  <c r="AO146" i="22"/>
  <c r="AO145" i="22"/>
  <c r="AO144" i="22"/>
  <c r="AD30" i="22"/>
  <c r="AD27" i="22" s="1"/>
  <c r="AM80" i="22" l="1"/>
  <c r="AM81" i="22"/>
  <c r="AM79" i="22"/>
  <c r="AL82" i="22"/>
  <c r="E158" i="22"/>
  <c r="V16" i="22"/>
  <c r="V17" i="22" s="1"/>
  <c r="V14" i="22" s="1"/>
  <c r="AN107" i="22"/>
  <c r="AN105" i="22"/>
  <c r="AN106" i="22"/>
  <c r="AO92" i="22"/>
  <c r="AO93" i="22"/>
  <c r="AO94" i="22"/>
  <c r="AM108" i="22"/>
  <c r="AN95" i="22"/>
  <c r="AO131" i="22"/>
  <c r="AO132" i="22"/>
  <c r="AO133" i="22"/>
  <c r="AN121" i="22"/>
  <c r="AN134" i="22"/>
  <c r="AO118" i="22"/>
  <c r="AO120" i="22"/>
  <c r="AO119" i="22"/>
  <c r="AO66" i="22"/>
  <c r="AO67" i="22"/>
  <c r="AO68" i="22"/>
  <c r="AN69" i="22"/>
  <c r="AP144" i="22"/>
  <c r="AP146" i="22"/>
  <c r="AP145" i="22"/>
  <c r="AO147" i="22"/>
  <c r="AE28" i="22"/>
  <c r="AE29" i="22"/>
  <c r="AN80" i="22" l="1"/>
  <c r="AN79" i="22"/>
  <c r="AN81" i="22"/>
  <c r="AM82" i="22"/>
  <c r="W15" i="22"/>
  <c r="W16" i="22"/>
  <c r="AN108" i="22"/>
  <c r="AO106" i="22"/>
  <c r="AO105" i="22"/>
  <c r="AO107" i="22"/>
  <c r="AP93" i="22"/>
  <c r="AP94" i="22"/>
  <c r="AP92" i="22"/>
  <c r="AO95" i="22"/>
  <c r="AO121" i="22"/>
  <c r="AO134" i="22"/>
  <c r="AP131" i="22"/>
  <c r="AP133" i="22"/>
  <c r="AP132" i="22"/>
  <c r="AP118" i="22"/>
  <c r="AP120" i="22"/>
  <c r="AP119" i="22"/>
  <c r="AP67" i="22"/>
  <c r="AP66" i="22"/>
  <c r="AP68" i="22"/>
  <c r="AO69" i="22"/>
  <c r="AP147" i="22"/>
  <c r="AQ144" i="22"/>
  <c r="AQ146" i="22"/>
  <c r="AQ145" i="22"/>
  <c r="AE30" i="22"/>
  <c r="AE27" i="22" s="1"/>
  <c r="AO81" i="22" l="1"/>
  <c r="AO79" i="22"/>
  <c r="AO80" i="22"/>
  <c r="AN82" i="22"/>
  <c r="W17" i="22"/>
  <c r="W14" i="22" s="1"/>
  <c r="X15" i="22" s="1"/>
  <c r="AP95" i="22"/>
  <c r="AO108" i="22"/>
  <c r="AQ92" i="22"/>
  <c r="AQ94" i="22"/>
  <c r="AQ93" i="22"/>
  <c r="AP107" i="22"/>
  <c r="AP105" i="22"/>
  <c r="AP106" i="22"/>
  <c r="AP134" i="22"/>
  <c r="AQ131" i="22"/>
  <c r="AQ132" i="22"/>
  <c r="AQ133" i="22"/>
  <c r="AP121" i="22"/>
  <c r="AQ119" i="22"/>
  <c r="AQ120" i="22"/>
  <c r="AQ118" i="22"/>
  <c r="AQ66" i="22"/>
  <c r="AQ67" i="22"/>
  <c r="AQ68" i="22"/>
  <c r="AP69" i="22"/>
  <c r="AQ147" i="22"/>
  <c r="AR146" i="22"/>
  <c r="AR144" i="22"/>
  <c r="AR145" i="22"/>
  <c r="AF28" i="22"/>
  <c r="AF29" i="22"/>
  <c r="AO82" i="22" l="1"/>
  <c r="AP79" i="22"/>
  <c r="AP80" i="22"/>
  <c r="AP81" i="22"/>
  <c r="X16" i="22"/>
  <c r="X17" i="22" s="1"/>
  <c r="X14" i="22" s="1"/>
  <c r="Y16" i="22" s="1"/>
  <c r="AR147" i="22"/>
  <c r="AP108" i="22"/>
  <c r="AR93" i="22"/>
  <c r="AR92" i="22"/>
  <c r="AR94" i="22"/>
  <c r="AQ95" i="22"/>
  <c r="AQ106" i="22"/>
  <c r="AQ105" i="22"/>
  <c r="AQ107" i="22"/>
  <c r="AQ134" i="22"/>
  <c r="AR131" i="22"/>
  <c r="AR133" i="22"/>
  <c r="AR132" i="22"/>
  <c r="AQ121" i="22"/>
  <c r="AR120" i="22"/>
  <c r="AR118" i="22"/>
  <c r="AR119" i="22"/>
  <c r="AR67" i="22"/>
  <c r="AR68" i="22"/>
  <c r="AR66" i="22"/>
  <c r="AQ69" i="22"/>
  <c r="AS144" i="22"/>
  <c r="AS145" i="22"/>
  <c r="AS146" i="22"/>
  <c r="AF30" i="22"/>
  <c r="AF27" i="22" s="1"/>
  <c r="AP82" i="22" l="1"/>
  <c r="AQ81" i="22"/>
  <c r="AQ80" i="22"/>
  <c r="AQ79" i="22"/>
  <c r="Y15" i="22"/>
  <c r="Y17" i="22" s="1"/>
  <c r="Y14" i="22" s="1"/>
  <c r="AQ108" i="22"/>
  <c r="AR95" i="22"/>
  <c r="AR121" i="22"/>
  <c r="AR107" i="22"/>
  <c r="AR106" i="22"/>
  <c r="AR105" i="22"/>
  <c r="AS92" i="22"/>
  <c r="AS94" i="22"/>
  <c r="AS93" i="22"/>
  <c r="AR134" i="22"/>
  <c r="AS131" i="22"/>
  <c r="AS133" i="22"/>
  <c r="AS132" i="22"/>
  <c r="AR69" i="22"/>
  <c r="AS120" i="22"/>
  <c r="AS119" i="22"/>
  <c r="AS118" i="22"/>
  <c r="AS66" i="22"/>
  <c r="AS68" i="22"/>
  <c r="AS67" i="22"/>
  <c r="AT145" i="22"/>
  <c r="AT144" i="22"/>
  <c r="AT146" i="22"/>
  <c r="AS147" i="22"/>
  <c r="AG28" i="22"/>
  <c r="AG29" i="22"/>
  <c r="AQ82" i="22" l="1"/>
  <c r="AR80" i="22"/>
  <c r="AR81" i="22"/>
  <c r="AR79" i="22"/>
  <c r="Z15" i="22"/>
  <c r="Z16" i="22"/>
  <c r="D168" i="22" s="1"/>
  <c r="D179" i="22" s="1"/>
  <c r="AS95" i="22"/>
  <c r="AR108" i="22"/>
  <c r="AS107" i="22"/>
  <c r="AS106" i="22"/>
  <c r="AS105" i="22"/>
  <c r="AT94" i="22"/>
  <c r="AT93" i="22"/>
  <c r="AT92" i="22"/>
  <c r="AS69" i="22"/>
  <c r="AS134" i="22"/>
  <c r="AT132" i="22"/>
  <c r="AT133" i="22"/>
  <c r="AT131" i="22"/>
  <c r="AT120" i="22"/>
  <c r="AT118" i="22"/>
  <c r="AT119" i="22"/>
  <c r="AS121" i="22"/>
  <c r="AT66" i="22"/>
  <c r="AT68" i="22"/>
  <c r="AT67" i="22"/>
  <c r="AT147" i="22"/>
  <c r="AU144" i="22"/>
  <c r="AU146" i="22"/>
  <c r="AU145" i="22"/>
  <c r="AG30" i="22"/>
  <c r="AG27" i="22" s="1"/>
  <c r="AS80" i="22" l="1"/>
  <c r="AS81" i="22"/>
  <c r="AS79" i="22"/>
  <c r="AR82" i="22"/>
  <c r="Z17" i="22"/>
  <c r="Z14" i="22" s="1"/>
  <c r="D153" i="22"/>
  <c r="D164" i="22" s="1"/>
  <c r="AT121" i="22"/>
  <c r="AS108" i="22"/>
  <c r="AT95" i="22"/>
  <c r="AU94" i="22"/>
  <c r="AU93" i="22"/>
  <c r="AU92" i="22"/>
  <c r="AT106" i="22"/>
  <c r="AT105" i="22"/>
  <c r="AT107" i="22"/>
  <c r="AU131" i="22"/>
  <c r="AU132" i="22"/>
  <c r="AU133" i="22"/>
  <c r="AT134" i="22"/>
  <c r="AT69" i="22"/>
  <c r="AU119" i="22"/>
  <c r="AU120" i="22"/>
  <c r="AU118" i="22"/>
  <c r="AU68" i="22"/>
  <c r="AU66" i="22"/>
  <c r="AU67" i="22"/>
  <c r="AU147" i="22"/>
  <c r="AV146" i="22"/>
  <c r="AV145" i="22"/>
  <c r="AV144" i="22"/>
  <c r="AH28" i="22"/>
  <c r="AH29" i="22"/>
  <c r="AS82" i="22" l="1"/>
  <c r="AT81" i="22"/>
  <c r="AT79" i="22"/>
  <c r="AT80" i="22"/>
  <c r="AA15" i="22"/>
  <c r="AA16" i="22"/>
  <c r="AU69" i="22"/>
  <c r="AU106" i="22"/>
  <c r="AU107" i="22"/>
  <c r="AU105" i="22"/>
  <c r="AU95" i="22"/>
  <c r="AV92" i="22"/>
  <c r="AV94" i="22"/>
  <c r="AV93" i="22"/>
  <c r="AT108" i="22"/>
  <c r="AV131" i="22"/>
  <c r="AV133" i="22"/>
  <c r="AV132" i="22"/>
  <c r="AU134" i="22"/>
  <c r="AU121" i="22"/>
  <c r="AV119" i="22"/>
  <c r="AV118" i="22"/>
  <c r="AV120" i="22"/>
  <c r="AV66" i="22"/>
  <c r="AV68" i="22"/>
  <c r="AV67" i="22"/>
  <c r="AW144" i="22"/>
  <c r="AW145" i="22"/>
  <c r="AW146" i="22"/>
  <c r="AV147" i="22"/>
  <c r="AH30" i="22"/>
  <c r="AH27" i="22" s="1"/>
  <c r="AT82" i="22" l="1"/>
  <c r="AU81" i="22"/>
  <c r="AU80" i="22"/>
  <c r="AU79" i="22"/>
  <c r="AA17" i="22"/>
  <c r="AA14" i="22" s="1"/>
  <c r="AW93" i="22"/>
  <c r="AW92" i="22"/>
  <c r="AW94" i="22"/>
  <c r="AU108" i="22"/>
  <c r="AV105" i="22"/>
  <c r="AV106" i="22"/>
  <c r="AV107" i="22"/>
  <c r="AV95" i="22"/>
  <c r="AV134" i="22"/>
  <c r="AW132" i="22"/>
  <c r="AW133" i="22"/>
  <c r="AW131" i="22"/>
  <c r="AV69" i="22"/>
  <c r="AV121" i="22"/>
  <c r="AW119" i="22"/>
  <c r="AW118" i="22"/>
  <c r="AW120" i="22"/>
  <c r="AW68" i="22"/>
  <c r="AW67" i="22"/>
  <c r="AW66" i="22"/>
  <c r="AX146" i="22"/>
  <c r="F178" i="22" s="1"/>
  <c r="AX144" i="22"/>
  <c r="AX145" i="22"/>
  <c r="AW147" i="22"/>
  <c r="AI28" i="22"/>
  <c r="AI29" i="22"/>
  <c r="AU82" i="22" l="1"/>
  <c r="AV80" i="22"/>
  <c r="AV81" i="22"/>
  <c r="AV79" i="22"/>
  <c r="AB15" i="22"/>
  <c r="AB16" i="22"/>
  <c r="AW95" i="22"/>
  <c r="AV108" i="22"/>
  <c r="AX94" i="22"/>
  <c r="F174" i="22" s="1"/>
  <c r="AX93" i="22"/>
  <c r="F159" i="22" s="1"/>
  <c r="AX92" i="22"/>
  <c r="AW106" i="22"/>
  <c r="AW105" i="22"/>
  <c r="AW107" i="22"/>
  <c r="AX133" i="22"/>
  <c r="F177" i="22" s="1"/>
  <c r="AX131" i="22"/>
  <c r="AX132" i="22"/>
  <c r="AW134" i="22"/>
  <c r="AW121" i="22"/>
  <c r="AX120" i="22"/>
  <c r="F176" i="22" s="1"/>
  <c r="AX118" i="22"/>
  <c r="AX119" i="22"/>
  <c r="AW69" i="22"/>
  <c r="AX67" i="22"/>
  <c r="AX68" i="22"/>
  <c r="F172" i="22" s="1"/>
  <c r="AI30" i="22"/>
  <c r="AI27" i="22" s="1"/>
  <c r="AJ29" i="22" s="1"/>
  <c r="AX147" i="22"/>
  <c r="F163" i="22"/>
  <c r="AY144" i="22"/>
  <c r="AY146" i="22"/>
  <c r="AY145" i="22"/>
  <c r="AW80" i="22" l="1"/>
  <c r="AW79" i="22"/>
  <c r="AW81" i="22"/>
  <c r="AV82" i="22"/>
  <c r="AB17" i="22"/>
  <c r="AB14" i="22" s="1"/>
  <c r="AC16" i="22" s="1"/>
  <c r="AW108" i="22"/>
  <c r="AY93" i="22"/>
  <c r="AY94" i="22"/>
  <c r="AY92" i="22"/>
  <c r="AX105" i="22"/>
  <c r="AX107" i="22"/>
  <c r="F175" i="22" s="1"/>
  <c r="AX106" i="22"/>
  <c r="AX95" i="22"/>
  <c r="AJ28" i="22"/>
  <c r="AJ30" i="22" s="1"/>
  <c r="AJ27" i="22" s="1"/>
  <c r="AK29" i="22" s="1"/>
  <c r="F162" i="22"/>
  <c r="AX134" i="22"/>
  <c r="AY133" i="22"/>
  <c r="AY132" i="22"/>
  <c r="AY131" i="22"/>
  <c r="AY120" i="22"/>
  <c r="AY118" i="22"/>
  <c r="AY119" i="22"/>
  <c r="AX121" i="22"/>
  <c r="F161" i="22"/>
  <c r="F157" i="22"/>
  <c r="AX69" i="22"/>
  <c r="AY147" i="22"/>
  <c r="AZ144" i="22"/>
  <c r="AZ145" i="22"/>
  <c r="AZ146" i="22"/>
  <c r="AX79" i="22" l="1"/>
  <c r="AX80" i="22"/>
  <c r="AX81" i="22"/>
  <c r="F173" i="22" s="1"/>
  <c r="AW82" i="22"/>
  <c r="AC15" i="22"/>
  <c r="AC17" i="22" s="1"/>
  <c r="AC14" i="22" s="1"/>
  <c r="AY95" i="22"/>
  <c r="AY106" i="22"/>
  <c r="AY107" i="22"/>
  <c r="AY105" i="22"/>
  <c r="AZ94" i="22"/>
  <c r="AZ93" i="22"/>
  <c r="AZ92" i="22"/>
  <c r="F160" i="22"/>
  <c r="AX108" i="22"/>
  <c r="AY121" i="22"/>
  <c r="AK28" i="22"/>
  <c r="AK30" i="22" s="1"/>
  <c r="AK27" i="22" s="1"/>
  <c r="AL29" i="22" s="1"/>
  <c r="E169" i="22" s="1"/>
  <c r="AZ133" i="22"/>
  <c r="AZ132" i="22"/>
  <c r="AZ131" i="22"/>
  <c r="AY134" i="22"/>
  <c r="AZ120" i="22"/>
  <c r="AZ119" i="22"/>
  <c r="AZ118" i="22"/>
  <c r="BA144" i="22"/>
  <c r="BA145" i="22"/>
  <c r="BA146" i="22"/>
  <c r="AZ147" i="22"/>
  <c r="F158" i="22" l="1"/>
  <c r="AX82" i="22"/>
  <c r="AY80" i="22"/>
  <c r="AY81" i="22"/>
  <c r="AY79" i="22"/>
  <c r="AD15" i="22"/>
  <c r="AD16" i="22"/>
  <c r="AY108" i="22"/>
  <c r="AZ95" i="22"/>
  <c r="BA93" i="22"/>
  <c r="BA92" i="22"/>
  <c r="BA94" i="22"/>
  <c r="AZ106" i="22"/>
  <c r="AZ107" i="22"/>
  <c r="AZ105" i="22"/>
  <c r="AZ134" i="22"/>
  <c r="AL28" i="22"/>
  <c r="AL30" i="22" s="1"/>
  <c r="AL27" i="22" s="1"/>
  <c r="BA132" i="22"/>
  <c r="BA133" i="22"/>
  <c r="BA131" i="22"/>
  <c r="BA118" i="22"/>
  <c r="BA119" i="22"/>
  <c r="BA120" i="22"/>
  <c r="AZ121" i="22"/>
  <c r="BB145" i="22"/>
  <c r="BB146" i="22"/>
  <c r="BB144" i="22"/>
  <c r="BA147" i="22"/>
  <c r="AY82" i="22" l="1"/>
  <c r="AZ81" i="22"/>
  <c r="AZ80" i="22"/>
  <c r="AZ79" i="22"/>
  <c r="AD17" i="22"/>
  <c r="AD14" i="22" s="1"/>
  <c r="BA95" i="22"/>
  <c r="BA107" i="22"/>
  <c r="BA106" i="22"/>
  <c r="BA105" i="22"/>
  <c r="BB93" i="22"/>
  <c r="BB92" i="22"/>
  <c r="BB94" i="22"/>
  <c r="E154" i="22"/>
  <c r="AZ108" i="22"/>
  <c r="BB133" i="22"/>
  <c r="BB131" i="22"/>
  <c r="BB132" i="22"/>
  <c r="BA134" i="22"/>
  <c r="BB118" i="22"/>
  <c r="BB120" i="22"/>
  <c r="BB119" i="22"/>
  <c r="BA121" i="22"/>
  <c r="BC145" i="22"/>
  <c r="BC144" i="22"/>
  <c r="BC146" i="22"/>
  <c r="BB147" i="22"/>
  <c r="AM28" i="22"/>
  <c r="AM29" i="22"/>
  <c r="AZ82" i="22" l="1"/>
  <c r="BA80" i="22"/>
  <c r="BA81" i="22"/>
  <c r="BA79" i="22"/>
  <c r="AE16" i="22"/>
  <c r="AE15" i="22"/>
  <c r="BB95" i="22"/>
  <c r="BA108" i="22"/>
  <c r="BC93" i="22"/>
  <c r="BC92" i="22"/>
  <c r="BC94" i="22"/>
  <c r="BB105" i="22"/>
  <c r="BB106" i="22"/>
  <c r="BB107" i="22"/>
  <c r="BB134" i="22"/>
  <c r="BC133" i="22"/>
  <c r="BC131" i="22"/>
  <c r="BC132" i="22"/>
  <c r="BB121" i="22"/>
  <c r="BC118" i="22"/>
  <c r="BC120" i="22"/>
  <c r="BC119" i="22"/>
  <c r="BC147" i="22"/>
  <c r="BD144" i="22"/>
  <c r="BD145" i="22"/>
  <c r="BD146" i="22"/>
  <c r="AM30" i="22"/>
  <c r="AM27" i="22" s="1"/>
  <c r="BB80" i="22" l="1"/>
  <c r="BB81" i="22"/>
  <c r="BB79" i="22"/>
  <c r="BA82" i="22"/>
  <c r="AE17" i="22"/>
  <c r="AE14" i="22" s="1"/>
  <c r="BC134" i="22"/>
  <c r="BD94" i="22"/>
  <c r="BD93" i="22"/>
  <c r="BD92" i="22"/>
  <c r="BC107" i="22"/>
  <c r="BC105" i="22"/>
  <c r="BC106" i="22"/>
  <c r="BB108" i="22"/>
  <c r="BC95" i="22"/>
  <c r="BD132" i="22"/>
  <c r="BD131" i="22"/>
  <c r="BD133" i="22"/>
  <c r="BC121" i="22"/>
  <c r="BD120" i="22"/>
  <c r="BD119" i="22"/>
  <c r="BD118" i="22"/>
  <c r="BD147" i="22"/>
  <c r="BE146" i="22"/>
  <c r="BE144" i="22"/>
  <c r="BE145" i="22"/>
  <c r="AN28" i="22"/>
  <c r="AN29" i="22"/>
  <c r="BC79" i="22" l="1"/>
  <c r="BC81" i="22"/>
  <c r="BC80" i="22"/>
  <c r="BB82" i="22"/>
  <c r="AF15" i="22"/>
  <c r="AF16" i="22"/>
  <c r="BC108" i="22"/>
  <c r="BD95" i="22"/>
  <c r="BE94" i="22"/>
  <c r="BE93" i="22"/>
  <c r="BE92" i="22"/>
  <c r="BD107" i="22"/>
  <c r="BD105" i="22"/>
  <c r="BD106" i="22"/>
  <c r="BE147" i="22"/>
  <c r="BE132" i="22"/>
  <c r="BE131" i="22"/>
  <c r="BE133" i="22"/>
  <c r="BD134" i="22"/>
  <c r="BE120" i="22"/>
  <c r="BE119" i="22"/>
  <c r="BE118" i="22"/>
  <c r="BD121" i="22"/>
  <c r="BF144" i="22"/>
  <c r="BF146" i="22"/>
  <c r="BF145" i="22"/>
  <c r="AN30" i="22"/>
  <c r="AN27" i="22" s="1"/>
  <c r="BC82" i="22" l="1"/>
  <c r="BD80" i="22"/>
  <c r="BD81" i="22"/>
  <c r="BD79" i="22"/>
  <c r="AF17" i="22"/>
  <c r="AF14" i="22" s="1"/>
  <c r="AG15" i="22" s="1"/>
  <c r="BD108" i="22"/>
  <c r="BE105" i="22"/>
  <c r="BE107" i="22"/>
  <c r="BE106" i="22"/>
  <c r="BE95" i="22"/>
  <c r="BF94" i="22"/>
  <c r="BF93" i="22"/>
  <c r="BF92" i="22"/>
  <c r="BE134" i="22"/>
  <c r="BF131" i="22"/>
  <c r="BF132" i="22"/>
  <c r="BF133" i="22"/>
  <c r="BF119" i="22"/>
  <c r="BF120" i="22"/>
  <c r="BF118" i="22"/>
  <c r="BE121" i="22"/>
  <c r="BG146" i="22"/>
  <c r="BG145" i="22"/>
  <c r="BG144" i="22"/>
  <c r="BF147" i="22"/>
  <c r="AO28" i="22"/>
  <c r="AO29" i="22"/>
  <c r="BD82" i="22" l="1"/>
  <c r="BE81" i="22"/>
  <c r="BE80" i="22"/>
  <c r="BE79" i="22"/>
  <c r="AG16" i="22"/>
  <c r="AG17" i="22" s="1"/>
  <c r="AG14" i="22" s="1"/>
  <c r="BF95" i="22"/>
  <c r="BF106" i="22"/>
  <c r="BF107" i="22"/>
  <c r="BF105" i="22"/>
  <c r="BG93" i="22"/>
  <c r="BG94" i="22"/>
  <c r="BG92" i="22"/>
  <c r="BE108" i="22"/>
  <c r="BF134" i="22"/>
  <c r="BG133" i="22"/>
  <c r="BG132" i="22"/>
  <c r="BG131" i="22"/>
  <c r="BF121" i="22"/>
  <c r="BG119" i="22"/>
  <c r="BG120" i="22"/>
  <c r="BG118" i="22"/>
  <c r="BH144" i="22"/>
  <c r="BH145" i="22"/>
  <c r="BH146" i="22"/>
  <c r="BG147" i="22"/>
  <c r="AO30" i="22"/>
  <c r="AO27" i="22" s="1"/>
  <c r="BF81" i="22" l="1"/>
  <c r="BF79" i="22"/>
  <c r="BF80" i="22"/>
  <c r="BE82" i="22"/>
  <c r="AH16" i="22"/>
  <c r="AH15" i="22"/>
  <c r="BF108" i="22"/>
  <c r="BH92" i="22"/>
  <c r="BH94" i="22"/>
  <c r="BH93" i="22"/>
  <c r="BG107" i="22"/>
  <c r="BG106" i="22"/>
  <c r="BG105" i="22"/>
  <c r="BG95" i="22"/>
  <c r="BG134" i="22"/>
  <c r="BH132" i="22"/>
  <c r="BH133" i="22"/>
  <c r="BH131" i="22"/>
  <c r="BG121" i="22"/>
  <c r="BH120" i="22"/>
  <c r="BH118" i="22"/>
  <c r="BH119" i="22"/>
  <c r="BI146" i="22"/>
  <c r="BI145" i="22"/>
  <c r="BI144" i="22"/>
  <c r="BH147" i="22"/>
  <c r="AP28" i="22"/>
  <c r="AP29" i="22"/>
  <c r="BF82" i="22" l="1"/>
  <c r="BG79" i="22"/>
  <c r="BG81" i="22"/>
  <c r="BG80" i="22"/>
  <c r="AH17" i="22"/>
  <c r="AH14" i="22" s="1"/>
  <c r="AI15" i="22" s="1"/>
  <c r="BH121" i="22"/>
  <c r="BG108" i="22"/>
  <c r="BI94" i="22"/>
  <c r="BI93" i="22"/>
  <c r="BI92" i="22"/>
  <c r="BH105" i="22"/>
  <c r="BH106" i="22"/>
  <c r="BH107" i="22"/>
  <c r="BH95" i="22"/>
  <c r="BH134" i="22"/>
  <c r="BI131" i="22"/>
  <c r="BI133" i="22"/>
  <c r="BI132" i="22"/>
  <c r="BI119" i="22"/>
  <c r="BI120" i="22"/>
  <c r="BI118" i="22"/>
  <c r="BJ144" i="22"/>
  <c r="BJ146" i="22"/>
  <c r="G178" i="22" s="1"/>
  <c r="BJ145" i="22"/>
  <c r="BI147" i="22"/>
  <c r="AP30" i="22"/>
  <c r="AP27" i="22" s="1"/>
  <c r="BG82" i="22" l="1"/>
  <c r="BH80" i="22"/>
  <c r="BH79" i="22"/>
  <c r="BH81" i="22"/>
  <c r="AI16" i="22"/>
  <c r="AI17" i="22" s="1"/>
  <c r="AI14" i="22" s="1"/>
  <c r="BI95" i="22"/>
  <c r="BH108" i="22"/>
  <c r="BJ94" i="22"/>
  <c r="G174" i="22" s="1"/>
  <c r="BJ93" i="22"/>
  <c r="BJ92" i="22"/>
  <c r="BI105" i="22"/>
  <c r="BI106" i="22"/>
  <c r="BI107" i="22"/>
  <c r="BJ133" i="22"/>
  <c r="G177" i="22" s="1"/>
  <c r="BJ132" i="22"/>
  <c r="BJ131" i="22"/>
  <c r="BI134" i="22"/>
  <c r="BJ118" i="22"/>
  <c r="BJ119" i="22"/>
  <c r="BJ120" i="22"/>
  <c r="G176" i="22" s="1"/>
  <c r="BI121" i="22"/>
  <c r="BJ147" i="22"/>
  <c r="G163" i="22"/>
  <c r="BK145" i="22"/>
  <c r="BK146" i="22"/>
  <c r="BK144" i="22"/>
  <c r="AQ28" i="22"/>
  <c r="AQ29" i="22"/>
  <c r="BH82" i="22" l="1"/>
  <c r="BI79" i="22"/>
  <c r="BI80" i="22"/>
  <c r="BI81" i="22"/>
  <c r="AJ15" i="22"/>
  <c r="AJ16" i="22"/>
  <c r="BI108" i="22"/>
  <c r="G159" i="22"/>
  <c r="BJ95" i="22"/>
  <c r="BK94" i="22"/>
  <c r="BK93" i="22"/>
  <c r="BK92" i="22"/>
  <c r="BJ106" i="22"/>
  <c r="BJ107" i="22"/>
  <c r="G175" i="22" s="1"/>
  <c r="BJ105" i="22"/>
  <c r="BK132" i="22"/>
  <c r="BK131" i="22"/>
  <c r="BK133" i="22"/>
  <c r="BJ134" i="22"/>
  <c r="G162" i="22"/>
  <c r="BK118" i="22"/>
  <c r="BK120" i="22"/>
  <c r="BK119" i="22"/>
  <c r="G161" i="22"/>
  <c r="BJ121" i="22"/>
  <c r="BL144" i="22"/>
  <c r="BL146" i="22"/>
  <c r="BL145" i="22"/>
  <c r="BK147" i="22"/>
  <c r="AQ30" i="22"/>
  <c r="AQ27" i="22" s="1"/>
  <c r="BJ80" i="22" l="1"/>
  <c r="BJ81" i="22"/>
  <c r="G173" i="22" s="1"/>
  <c r="BI82" i="22"/>
  <c r="AJ17" i="22"/>
  <c r="AJ14" i="22" s="1"/>
  <c r="AK16" i="22" s="1"/>
  <c r="BL92" i="22"/>
  <c r="BL93" i="22"/>
  <c r="BL94" i="22"/>
  <c r="BK105" i="22"/>
  <c r="BK107" i="22"/>
  <c r="BK106" i="22"/>
  <c r="G160" i="22"/>
  <c r="BJ108" i="22"/>
  <c r="BK95" i="22"/>
  <c r="BK134" i="22"/>
  <c r="BL132" i="22"/>
  <c r="BL131" i="22"/>
  <c r="BL133" i="22"/>
  <c r="BK121" i="22"/>
  <c r="BL120" i="22"/>
  <c r="BL118" i="22"/>
  <c r="BL119" i="22"/>
  <c r="BL147" i="22"/>
  <c r="BM144" i="22"/>
  <c r="BM145" i="22"/>
  <c r="BM146" i="22"/>
  <c r="AR29" i="22"/>
  <c r="AR28" i="22"/>
  <c r="BJ82" i="22" l="1"/>
  <c r="G158" i="22"/>
  <c r="AK15" i="22"/>
  <c r="AK17" i="22" s="1"/>
  <c r="AK14" i="22" s="1"/>
  <c r="AL15" i="22" s="1"/>
  <c r="BL121" i="22"/>
  <c r="BL95" i="22"/>
  <c r="BM93" i="22"/>
  <c r="BM92" i="22"/>
  <c r="BM94" i="22"/>
  <c r="BK108" i="22"/>
  <c r="BL106" i="22"/>
  <c r="BL105" i="22"/>
  <c r="BL107" i="22"/>
  <c r="BM132" i="22"/>
  <c r="BM133" i="22"/>
  <c r="BM131" i="22"/>
  <c r="BL134" i="22"/>
  <c r="BM118" i="22"/>
  <c r="BM119" i="22"/>
  <c r="BM120" i="22"/>
  <c r="BN144" i="22"/>
  <c r="BN145" i="22"/>
  <c r="BN146" i="22"/>
  <c r="BM147" i="22"/>
  <c r="AR30" i="22"/>
  <c r="AR27" i="22" s="1"/>
  <c r="AS28" i="22" s="1"/>
  <c r="AL16" i="22" l="1"/>
  <c r="E168" i="22" s="1"/>
  <c r="E153" i="22"/>
  <c r="BM95" i="22"/>
  <c r="BN94" i="22"/>
  <c r="BN92" i="22"/>
  <c r="BN93" i="22"/>
  <c r="BL108" i="22"/>
  <c r="BM106" i="22"/>
  <c r="BM105" i="22"/>
  <c r="BM107" i="22"/>
  <c r="BM134" i="22"/>
  <c r="BN132" i="22"/>
  <c r="BN133" i="22"/>
  <c r="BN131" i="22"/>
  <c r="BM121" i="22"/>
  <c r="BN120" i="22"/>
  <c r="BN118" i="22"/>
  <c r="BN119" i="22"/>
  <c r="AS29" i="22"/>
  <c r="AS30" i="22" s="1"/>
  <c r="AS27" i="22" s="1"/>
  <c r="BO145" i="22"/>
  <c r="BO144" i="22"/>
  <c r="BO146" i="22"/>
  <c r="BN147" i="22"/>
  <c r="AL17" i="22" l="1"/>
  <c r="AL14" i="22" s="1"/>
  <c r="AM16" i="22" s="1"/>
  <c r="BM108" i="22"/>
  <c r="BO92" i="22"/>
  <c r="BO94" i="22"/>
  <c r="BO93" i="22"/>
  <c r="BN107" i="22"/>
  <c r="BN105" i="22"/>
  <c r="BN106" i="22"/>
  <c r="BN95" i="22"/>
  <c r="BO132" i="22"/>
  <c r="BO133" i="22"/>
  <c r="BO131" i="22"/>
  <c r="BN134" i="22"/>
  <c r="BN121" i="22"/>
  <c r="BO120" i="22"/>
  <c r="BO118" i="22"/>
  <c r="BO119" i="22"/>
  <c r="AT28" i="22"/>
  <c r="AT29" i="22"/>
  <c r="BO147" i="22"/>
  <c r="BP146" i="22"/>
  <c r="BP145" i="22"/>
  <c r="BP144" i="22"/>
  <c r="AM15" i="22" l="1"/>
  <c r="AM17" i="22" s="1"/>
  <c r="AM14" i="22" s="1"/>
  <c r="AN16" i="22" s="1"/>
  <c r="BO121" i="22"/>
  <c r="BN108" i="22"/>
  <c r="BO95" i="22"/>
  <c r="BO106" i="22"/>
  <c r="BO107" i="22"/>
  <c r="BO105" i="22"/>
  <c r="BP94" i="22"/>
  <c r="BP93" i="22"/>
  <c r="BP92" i="22"/>
  <c r="BP132" i="22"/>
  <c r="BP133" i="22"/>
  <c r="BP131" i="22"/>
  <c r="AT30" i="22"/>
  <c r="AT27" i="22" s="1"/>
  <c r="AU28" i="22" s="1"/>
  <c r="BO134" i="22"/>
  <c r="BP119" i="22"/>
  <c r="BP120" i="22"/>
  <c r="BP118" i="22"/>
  <c r="BP147" i="22"/>
  <c r="BQ146" i="22"/>
  <c r="BQ144" i="22"/>
  <c r="BQ145" i="22"/>
  <c r="AN15" i="22" l="1"/>
  <c r="AN17" i="22" s="1"/>
  <c r="AN14" i="22" s="1"/>
  <c r="BO108" i="22"/>
  <c r="BP95" i="22"/>
  <c r="BQ94" i="22"/>
  <c r="BQ92" i="22"/>
  <c r="BQ93" i="22"/>
  <c r="BP106" i="22"/>
  <c r="BP107" i="22"/>
  <c r="BP105" i="22"/>
  <c r="BQ147" i="22"/>
  <c r="AU29" i="22"/>
  <c r="AU30" i="22" s="1"/>
  <c r="AU27" i="22" s="1"/>
  <c r="BQ132" i="22"/>
  <c r="BQ133" i="22"/>
  <c r="BQ131" i="22"/>
  <c r="BP134" i="22"/>
  <c r="BP121" i="22"/>
  <c r="BQ119" i="22"/>
  <c r="BQ120" i="22"/>
  <c r="BQ118" i="22"/>
  <c r="BR145" i="22"/>
  <c r="BR146" i="22"/>
  <c r="BR144" i="22"/>
  <c r="AO15" i="22" l="1"/>
  <c r="AO16" i="22"/>
  <c r="BP108" i="22"/>
  <c r="BR92" i="22"/>
  <c r="BR93" i="22"/>
  <c r="BR94" i="22"/>
  <c r="BQ95" i="22"/>
  <c r="BQ107" i="22"/>
  <c r="BQ106" i="22"/>
  <c r="BQ105" i="22"/>
  <c r="AV29" i="22"/>
  <c r="AV28" i="22"/>
  <c r="BR133" i="22"/>
  <c r="BR132" i="22"/>
  <c r="BR131" i="22"/>
  <c r="BQ134" i="22"/>
  <c r="BR118" i="22"/>
  <c r="BR120" i="22"/>
  <c r="BR119" i="22"/>
  <c r="BQ121" i="22"/>
  <c r="BS145" i="22"/>
  <c r="BS146" i="22"/>
  <c r="BS144" i="22"/>
  <c r="BR147" i="22"/>
  <c r="AO17" i="22" l="1"/>
  <c r="AO14" i="22" s="1"/>
  <c r="BR107" i="22"/>
  <c r="BR106" i="22"/>
  <c r="BR105" i="22"/>
  <c r="BS92" i="22"/>
  <c r="BS93" i="22"/>
  <c r="BS94" i="22"/>
  <c r="BQ108" i="22"/>
  <c r="BR95" i="22"/>
  <c r="AV30" i="22"/>
  <c r="AV27" i="22" s="1"/>
  <c r="AW29" i="22" s="1"/>
  <c r="BR121" i="22"/>
  <c r="BR134" i="22"/>
  <c r="BS132" i="22"/>
  <c r="BS133" i="22"/>
  <c r="BS131" i="22"/>
  <c r="BS118" i="22"/>
  <c r="BS119" i="22"/>
  <c r="BS120" i="22"/>
  <c r="BT145" i="22"/>
  <c r="BT144" i="22"/>
  <c r="BT146" i="22"/>
  <c r="BS147" i="22"/>
  <c r="AP16" i="22" l="1"/>
  <c r="AP15" i="22"/>
  <c r="AW28" i="22"/>
  <c r="AW30" i="22" s="1"/>
  <c r="AW27" i="22" s="1"/>
  <c r="BS95" i="22"/>
  <c r="BR108" i="22"/>
  <c r="BT92" i="22"/>
  <c r="BT94" i="22"/>
  <c r="BT93" i="22"/>
  <c r="BS106" i="22"/>
  <c r="BS105" i="22"/>
  <c r="BS107" i="22"/>
  <c r="BT131" i="22"/>
  <c r="BT133" i="22"/>
  <c r="BT132" i="22"/>
  <c r="BS134" i="22"/>
  <c r="BT120" i="22"/>
  <c r="BT119" i="22"/>
  <c r="BT118" i="22"/>
  <c r="BS121" i="22"/>
  <c r="BT147" i="22"/>
  <c r="BU145" i="22"/>
  <c r="BU144" i="22"/>
  <c r="BU146" i="22"/>
  <c r="AP17" i="22" l="1"/>
  <c r="AP14" i="22" s="1"/>
  <c r="AQ15" i="22" s="1"/>
  <c r="BT105" i="22"/>
  <c r="BT107" i="22"/>
  <c r="BT106" i="22"/>
  <c r="BU93" i="22"/>
  <c r="BU94" i="22"/>
  <c r="BU92" i="22"/>
  <c r="BT95" i="22"/>
  <c r="BS108" i="22"/>
  <c r="AX29" i="22"/>
  <c r="F169" i="22" s="1"/>
  <c r="AX28" i="22"/>
  <c r="BU131" i="22"/>
  <c r="BU132" i="22"/>
  <c r="BU133" i="22"/>
  <c r="BT134" i="22"/>
  <c r="BU118" i="22"/>
  <c r="BU120" i="22"/>
  <c r="BU119" i="22"/>
  <c r="BT121" i="22"/>
  <c r="BV145" i="22"/>
  <c r="BV144" i="22"/>
  <c r="BV146" i="22"/>
  <c r="H178" i="22" s="1"/>
  <c r="BU147" i="22"/>
  <c r="AQ16" i="22" l="1"/>
  <c r="AQ17" i="22" s="1"/>
  <c r="AQ14" i="22" s="1"/>
  <c r="BU95" i="22"/>
  <c r="BU106" i="22"/>
  <c r="BU107" i="22"/>
  <c r="BU105" i="22"/>
  <c r="BV93" i="22"/>
  <c r="BV94" i="22"/>
  <c r="H174" i="22" s="1"/>
  <c r="BT108" i="22"/>
  <c r="BU134" i="22"/>
  <c r="F154" i="22"/>
  <c r="AX30" i="22"/>
  <c r="AX27" i="22" s="1"/>
  <c r="BV132" i="22"/>
  <c r="BV131" i="22"/>
  <c r="BV133" i="22"/>
  <c r="H177" i="22" s="1"/>
  <c r="BU121" i="22"/>
  <c r="BV119" i="22"/>
  <c r="BV120" i="22"/>
  <c r="H176" i="22" s="1"/>
  <c r="BV118" i="22"/>
  <c r="BV147" i="22"/>
  <c r="H163" i="22"/>
  <c r="BW146" i="22"/>
  <c r="BW144" i="22"/>
  <c r="BW145" i="22"/>
  <c r="AR16" i="22" l="1"/>
  <c r="AR15" i="22"/>
  <c r="BU108" i="22"/>
  <c r="BV106" i="22"/>
  <c r="BV105" i="22"/>
  <c r="BV107" i="22"/>
  <c r="H175" i="22" s="1"/>
  <c r="H159" i="22"/>
  <c r="BV95" i="22"/>
  <c r="AY29" i="22"/>
  <c r="AY28" i="22"/>
  <c r="H162" i="22"/>
  <c r="BV134" i="22"/>
  <c r="BW132" i="22"/>
  <c r="BW133" i="22"/>
  <c r="BW131" i="22"/>
  <c r="BW119" i="22"/>
  <c r="BW118" i="22"/>
  <c r="BW120" i="22"/>
  <c r="BV121" i="22"/>
  <c r="H161" i="22"/>
  <c r="BX146" i="22"/>
  <c r="BX145" i="22"/>
  <c r="BX144" i="22"/>
  <c r="BW147" i="22"/>
  <c r="AR17" i="22" l="1"/>
  <c r="AR14" i="22" s="1"/>
  <c r="AS15" i="22" s="1"/>
  <c r="H160" i="22"/>
  <c r="BV108" i="22"/>
  <c r="BW106" i="22"/>
  <c r="BW105" i="22"/>
  <c r="BW107" i="22"/>
  <c r="AY30" i="22"/>
  <c r="AY27" i="22" s="1"/>
  <c r="BX131" i="22"/>
  <c r="BX133" i="22"/>
  <c r="BX132" i="22"/>
  <c r="BW134" i="22"/>
  <c r="BW121" i="22"/>
  <c r="BX119" i="22"/>
  <c r="BX120" i="22"/>
  <c r="BX118" i="22"/>
  <c r="BY145" i="22"/>
  <c r="BY146" i="22"/>
  <c r="BY144" i="22"/>
  <c r="BX147" i="22"/>
  <c r="AS16" i="22" l="1"/>
  <c r="AS17" i="22" s="1"/>
  <c r="AS14" i="22" s="1"/>
  <c r="BW108" i="22"/>
  <c r="BX105" i="22"/>
  <c r="BX106" i="22"/>
  <c r="BX107" i="22"/>
  <c r="AZ28" i="22"/>
  <c r="AZ29" i="22"/>
  <c r="BY131" i="22"/>
  <c r="BY132" i="22"/>
  <c r="BY133" i="22"/>
  <c r="BX121" i="22"/>
  <c r="BX134" i="22"/>
  <c r="BY119" i="22"/>
  <c r="BY120" i="22"/>
  <c r="BY118" i="22"/>
  <c r="BZ146" i="22"/>
  <c r="BZ145" i="22"/>
  <c r="BZ144" i="22"/>
  <c r="BY147" i="22"/>
  <c r="AT16" i="22" l="1"/>
  <c r="AT15" i="22"/>
  <c r="AZ30" i="22"/>
  <c r="AZ27" i="22" s="1"/>
  <c r="BA29" i="22" s="1"/>
  <c r="BX108" i="22"/>
  <c r="BY105" i="22"/>
  <c r="BY107" i="22"/>
  <c r="BY106" i="22"/>
  <c r="BY134" i="22"/>
  <c r="BZ131" i="22"/>
  <c r="BZ133" i="22"/>
  <c r="BZ132" i="22"/>
  <c r="BY121" i="22"/>
  <c r="BZ147" i="22"/>
  <c r="BZ118" i="22"/>
  <c r="BZ119" i="22"/>
  <c r="BZ120" i="22"/>
  <c r="CA144" i="22"/>
  <c r="CA145" i="22"/>
  <c r="CA146" i="22"/>
  <c r="AT17" i="22" l="1"/>
  <c r="AT14" i="22" s="1"/>
  <c r="AU15" i="22" s="1"/>
  <c r="BA28" i="22"/>
  <c r="BA30" i="22" s="1"/>
  <c r="BA27" i="22" s="1"/>
  <c r="BB29" i="22" s="1"/>
  <c r="BY108" i="22"/>
  <c r="BZ107" i="22"/>
  <c r="BZ105" i="22"/>
  <c r="BZ106" i="22"/>
  <c r="BZ134" i="22"/>
  <c r="CA131" i="22"/>
  <c r="CA133" i="22"/>
  <c r="CA132" i="22"/>
  <c r="CA118" i="22"/>
  <c r="CA119" i="22"/>
  <c r="CA120" i="22"/>
  <c r="BZ121" i="22"/>
  <c r="CB146" i="22"/>
  <c r="CB145" i="22"/>
  <c r="CB144" i="22"/>
  <c r="CA147" i="22"/>
  <c r="AU16" i="22" l="1"/>
  <c r="AU17" i="22" s="1"/>
  <c r="AU14" i="22" s="1"/>
  <c r="BB28" i="22"/>
  <c r="BB30" i="22" s="1"/>
  <c r="BB27" i="22" s="1"/>
  <c r="CA106" i="22"/>
  <c r="CA107" i="22"/>
  <c r="CA105" i="22"/>
  <c r="BZ108" i="22"/>
  <c r="CB131" i="22"/>
  <c r="CB133" i="22"/>
  <c r="CB132" i="22"/>
  <c r="CA134" i="22"/>
  <c r="CB119" i="22"/>
  <c r="CB118" i="22"/>
  <c r="CB120" i="22"/>
  <c r="CA121" i="22"/>
  <c r="CC144" i="22"/>
  <c r="CC145" i="22"/>
  <c r="CC146" i="22"/>
  <c r="CB147" i="22"/>
  <c r="AV16" i="22" l="1"/>
  <c r="AV15" i="22"/>
  <c r="CA108" i="22"/>
  <c r="CB107" i="22"/>
  <c r="CB106" i="22"/>
  <c r="CB105" i="22"/>
  <c r="CC132" i="22"/>
  <c r="CC133" i="22"/>
  <c r="CC131" i="22"/>
  <c r="CB134" i="22"/>
  <c r="CB121" i="22"/>
  <c r="CC118" i="22"/>
  <c r="CC119" i="22"/>
  <c r="CC120" i="22"/>
  <c r="CD145" i="22"/>
  <c r="CD144" i="22"/>
  <c r="CD146" i="22"/>
  <c r="CC147" i="22"/>
  <c r="BC28" i="22"/>
  <c r="BC29" i="22"/>
  <c r="AV17" i="22" l="1"/>
  <c r="AV14" i="22" s="1"/>
  <c r="AW15" i="22" s="1"/>
  <c r="CB108" i="22"/>
  <c r="CC106" i="22"/>
  <c r="CC105" i="22"/>
  <c r="CC107" i="22"/>
  <c r="CD132" i="22"/>
  <c r="CD131" i="22"/>
  <c r="CD133" i="22"/>
  <c r="CC134" i="22"/>
  <c r="CD118" i="22"/>
  <c r="CD119" i="22"/>
  <c r="CD120" i="22"/>
  <c r="CC121" i="22"/>
  <c r="CD147" i="22"/>
  <c r="CE145" i="22"/>
  <c r="CE146" i="22"/>
  <c r="CE144" i="22"/>
  <c r="BC30" i="22"/>
  <c r="BC27" i="22" s="1"/>
  <c r="AW16" i="22" l="1"/>
  <c r="AW17" i="22" s="1"/>
  <c r="AW14" i="22" s="1"/>
  <c r="AX15" i="22" s="1"/>
  <c r="F153" i="22" s="1"/>
  <c r="CC108" i="22"/>
  <c r="CD107" i="22"/>
  <c r="CD106" i="22"/>
  <c r="CD105" i="22"/>
  <c r="CD134" i="22"/>
  <c r="CE133" i="22"/>
  <c r="CE132" i="22"/>
  <c r="CE131" i="22"/>
  <c r="CE119" i="22"/>
  <c r="CE120" i="22"/>
  <c r="CE118" i="22"/>
  <c r="CD121" i="22"/>
  <c r="CF146" i="22"/>
  <c r="CF144" i="22"/>
  <c r="CF145" i="22"/>
  <c r="CE147" i="22"/>
  <c r="BD29" i="22"/>
  <c r="BD28" i="22"/>
  <c r="AX16" i="22" l="1"/>
  <c r="F168" i="22" s="1"/>
  <c r="CF147" i="22"/>
  <c r="CE134" i="22"/>
  <c r="CD108" i="22"/>
  <c r="CE105" i="22"/>
  <c r="CE106" i="22"/>
  <c r="CE107" i="22"/>
  <c r="CF132" i="22"/>
  <c r="CF131" i="22"/>
  <c r="CF133" i="22"/>
  <c r="CE121" i="22"/>
  <c r="CF120" i="22"/>
  <c r="CF118" i="22"/>
  <c r="CF119" i="22"/>
  <c r="BD30" i="22"/>
  <c r="BD27" i="22" s="1"/>
  <c r="BE28" i="22" s="1"/>
  <c r="CG146" i="22"/>
  <c r="CG145" i="22"/>
  <c r="CG144" i="22"/>
  <c r="AX17" i="22" l="1"/>
  <c r="AX14" i="22" s="1"/>
  <c r="AY16" i="22" s="1"/>
  <c r="CE108" i="22"/>
  <c r="CF106" i="22"/>
  <c r="CF105" i="22"/>
  <c r="CF107" i="22"/>
  <c r="CF121" i="22"/>
  <c r="BE29" i="22"/>
  <c r="BE30" i="22" s="1"/>
  <c r="BE27" i="22" s="1"/>
  <c r="BF29" i="22" s="1"/>
  <c r="CF134" i="22"/>
  <c r="CG132" i="22"/>
  <c r="CG133" i="22"/>
  <c r="CG131" i="22"/>
  <c r="CG120" i="22"/>
  <c r="CG118" i="22"/>
  <c r="CG119" i="22"/>
  <c r="CH145" i="22"/>
  <c r="CH146" i="22"/>
  <c r="I178" i="22" s="1"/>
  <c r="CH144" i="22"/>
  <c r="CG147" i="22"/>
  <c r="AY15" i="22" l="1"/>
  <c r="AY17" i="22" s="1"/>
  <c r="AY14" i="22" s="1"/>
  <c r="AZ16" i="22" s="1"/>
  <c r="CG121" i="22"/>
  <c r="CF108" i="22"/>
  <c r="CG106" i="22"/>
  <c r="CG107" i="22"/>
  <c r="CG105" i="22"/>
  <c r="CH131" i="22"/>
  <c r="CH133" i="22"/>
  <c r="I177" i="22" s="1"/>
  <c r="CH132" i="22"/>
  <c r="CG134" i="22"/>
  <c r="CH118" i="22"/>
  <c r="CH119" i="22"/>
  <c r="CH120" i="22"/>
  <c r="I176" i="22" s="1"/>
  <c r="BF28" i="22"/>
  <c r="BF30" i="22" s="1"/>
  <c r="BF27" i="22" s="1"/>
  <c r="CI145" i="22"/>
  <c r="CI144" i="22"/>
  <c r="CI146" i="22"/>
  <c r="CH147" i="22"/>
  <c r="I163" i="22"/>
  <c r="AZ15" i="22" l="1"/>
  <c r="AZ17" i="22" s="1"/>
  <c r="AZ14" i="22" s="1"/>
  <c r="BA15" i="22" s="1"/>
  <c r="CG108" i="22"/>
  <c r="CH106" i="22"/>
  <c r="CH107" i="22"/>
  <c r="I175" i="22" s="1"/>
  <c r="CH134" i="22"/>
  <c r="I162" i="22"/>
  <c r="CI133" i="22"/>
  <c r="CI132" i="22"/>
  <c r="CI131" i="22"/>
  <c r="CI120" i="22"/>
  <c r="CI118" i="22"/>
  <c r="CI119" i="22"/>
  <c r="CH121" i="22"/>
  <c r="I161" i="22"/>
  <c r="CI147" i="22"/>
  <c r="CJ146" i="22"/>
  <c r="CJ145" i="22"/>
  <c r="CJ144" i="22"/>
  <c r="BG29" i="22"/>
  <c r="BG28" i="22"/>
  <c r="BA16" i="22" l="1"/>
  <c r="BA17" i="22" s="1"/>
  <c r="BA14" i="22" s="1"/>
  <c r="BB16" i="22" s="1"/>
  <c r="I160" i="22"/>
  <c r="CH108" i="22"/>
  <c r="CI134" i="22"/>
  <c r="CJ133" i="22"/>
  <c r="CJ132" i="22"/>
  <c r="CJ131" i="22"/>
  <c r="CI121" i="22"/>
  <c r="CJ118" i="22"/>
  <c r="CJ119" i="22"/>
  <c r="CJ120" i="22"/>
  <c r="BG30" i="22"/>
  <c r="BG27" i="22" s="1"/>
  <c r="BH29" i="22" s="1"/>
  <c r="CK146" i="22"/>
  <c r="CK144" i="22"/>
  <c r="CK145" i="22"/>
  <c r="CJ147" i="22"/>
  <c r="BB15" i="22" l="1"/>
  <c r="BB17" i="22" s="1"/>
  <c r="BB14" i="22" s="1"/>
  <c r="CK147" i="22"/>
  <c r="CJ134" i="22"/>
  <c r="CK132" i="22"/>
  <c r="CK133" i="22"/>
  <c r="CK131" i="22"/>
  <c r="BH28" i="22"/>
  <c r="BH30" i="22" s="1"/>
  <c r="BH27" i="22" s="1"/>
  <c r="BI28" i="22" s="1"/>
  <c r="CK118" i="22"/>
  <c r="CK120" i="22"/>
  <c r="CK119" i="22"/>
  <c r="CJ121" i="22"/>
  <c r="CL146" i="22"/>
  <c r="CL145" i="22"/>
  <c r="CL144" i="22"/>
  <c r="BC15" i="22" l="1"/>
  <c r="BC16" i="22"/>
  <c r="CL131" i="22"/>
  <c r="CL133" i="22"/>
  <c r="CL132" i="22"/>
  <c r="CK134" i="22"/>
  <c r="BI29" i="22"/>
  <c r="BI30" i="22" s="1"/>
  <c r="BI27" i="22" s="1"/>
  <c r="CK121" i="22"/>
  <c r="CL119" i="22"/>
  <c r="CL120" i="22"/>
  <c r="CL118" i="22"/>
  <c r="CL147" i="22"/>
  <c r="CM145" i="22"/>
  <c r="CM144" i="22"/>
  <c r="CM146" i="22"/>
  <c r="BC17" i="22" l="1"/>
  <c r="BC14" i="22" s="1"/>
  <c r="CL134" i="22"/>
  <c r="CM133" i="22"/>
  <c r="CM131" i="22"/>
  <c r="CM132" i="22"/>
  <c r="CM119" i="22"/>
  <c r="CM118" i="22"/>
  <c r="CM120" i="22"/>
  <c r="CL121" i="22"/>
  <c r="CM147" i="22"/>
  <c r="CN146" i="22"/>
  <c r="CN144" i="22"/>
  <c r="CN145" i="22"/>
  <c r="BJ29" i="22"/>
  <c r="G169" i="22" s="1"/>
  <c r="BJ28" i="22"/>
  <c r="BD16" i="22" l="1"/>
  <c r="BD15" i="22"/>
  <c r="CM134" i="22"/>
  <c r="CN147" i="22"/>
  <c r="CN131" i="22"/>
  <c r="CN133" i="22"/>
  <c r="CN132" i="22"/>
  <c r="CM121" i="22"/>
  <c r="CN119" i="22"/>
  <c r="CN118" i="22"/>
  <c r="CN120" i="22"/>
  <c r="CO145" i="22"/>
  <c r="CO144" i="22"/>
  <c r="CO146" i="22"/>
  <c r="BJ30" i="22"/>
  <c r="BJ27" i="22" s="1"/>
  <c r="G154" i="22"/>
  <c r="BD17" i="22" l="1"/>
  <c r="BD14" i="22" s="1"/>
  <c r="CO132" i="22"/>
  <c r="CO131" i="22"/>
  <c r="CO133" i="22"/>
  <c r="CN134" i="22"/>
  <c r="CO119" i="22"/>
  <c r="CO118" i="22"/>
  <c r="CO120" i="22"/>
  <c r="CN121" i="22"/>
  <c r="CO147" i="22"/>
  <c r="CP144" i="22"/>
  <c r="CP146" i="22"/>
  <c r="CP145" i="22"/>
  <c r="BK28" i="22"/>
  <c r="BK29" i="22"/>
  <c r="BE15" i="22" l="1"/>
  <c r="BE16" i="22"/>
  <c r="CO134" i="22"/>
  <c r="CP131" i="22"/>
  <c r="CP133" i="22"/>
  <c r="CP132" i="22"/>
  <c r="CO121" i="22"/>
  <c r="CP119" i="22"/>
  <c r="CP118" i="22"/>
  <c r="CP120" i="22"/>
  <c r="CP147" i="22"/>
  <c r="CQ146" i="22"/>
  <c r="CQ145" i="22"/>
  <c r="CQ144" i="22"/>
  <c r="BK30" i="22"/>
  <c r="BK27" i="22" s="1"/>
  <c r="BE17" i="22" l="1"/>
  <c r="BE14" i="22" s="1"/>
  <c r="CQ133" i="22"/>
  <c r="CQ131" i="22"/>
  <c r="CQ132" i="22"/>
  <c r="CP134" i="22"/>
  <c r="CQ119" i="22"/>
  <c r="CQ120" i="22"/>
  <c r="CQ118" i="22"/>
  <c r="CP121" i="22"/>
  <c r="CR145" i="22"/>
  <c r="CR146" i="22"/>
  <c r="CR144" i="22"/>
  <c r="CQ147" i="22"/>
  <c r="BL29" i="22"/>
  <c r="BL28" i="22"/>
  <c r="BF16" i="22" l="1"/>
  <c r="BF15" i="22"/>
  <c r="CQ134" i="22"/>
  <c r="CR131" i="22"/>
  <c r="CR133" i="22"/>
  <c r="CR132" i="22"/>
  <c r="CQ121" i="22"/>
  <c r="CR118" i="22"/>
  <c r="CR119" i="22"/>
  <c r="CR120" i="22"/>
  <c r="CR147" i="22"/>
  <c r="CS146" i="22"/>
  <c r="CS145" i="22"/>
  <c r="CS144" i="22"/>
  <c r="BL30" i="22"/>
  <c r="BL27" i="22" s="1"/>
  <c r="BF17" i="22" l="1"/>
  <c r="BF14" i="22" s="1"/>
  <c r="BG16" i="22" s="1"/>
  <c r="CR134" i="22"/>
  <c r="CS131" i="22"/>
  <c r="CS133" i="22"/>
  <c r="CS132" i="22"/>
  <c r="CS119" i="22"/>
  <c r="CS120" i="22"/>
  <c r="CS118" i="22"/>
  <c r="CR121" i="22"/>
  <c r="CT146" i="22"/>
  <c r="J178" i="22" s="1"/>
  <c r="CT144" i="22"/>
  <c r="CT145" i="22"/>
  <c r="CS147" i="22"/>
  <c r="BM28" i="22"/>
  <c r="BM29" i="22"/>
  <c r="BG15" i="22" l="1"/>
  <c r="BG17" i="22" s="1"/>
  <c r="BG14" i="22" s="1"/>
  <c r="BH15" i="22" s="1"/>
  <c r="CT132" i="22"/>
  <c r="CT133" i="22"/>
  <c r="J177" i="22" s="1"/>
  <c r="CT131" i="22"/>
  <c r="CS134" i="22"/>
  <c r="CS121" i="22"/>
  <c r="CT119" i="22"/>
  <c r="CT120" i="22"/>
  <c r="CT147" i="22"/>
  <c r="J163" i="22"/>
  <c r="CU145" i="22"/>
  <c r="CU146" i="22"/>
  <c r="CU144" i="22"/>
  <c r="BM30" i="22"/>
  <c r="BM27" i="22" s="1"/>
  <c r="BH16" i="22" l="1"/>
  <c r="BH17" i="22" s="1"/>
  <c r="BH14" i="22" s="1"/>
  <c r="CU131" i="22"/>
  <c r="CU132" i="22"/>
  <c r="CU133" i="22"/>
  <c r="J162" i="22"/>
  <c r="CT134" i="22"/>
  <c r="CT121" i="22"/>
  <c r="J161" i="22"/>
  <c r="J176" i="22"/>
  <c r="CV145" i="22"/>
  <c r="CV144" i="22"/>
  <c r="CV146" i="22"/>
  <c r="CU147" i="22"/>
  <c r="BN28" i="22"/>
  <c r="BN29" i="22"/>
  <c r="BI15" i="22" l="1"/>
  <c r="BI16" i="22"/>
  <c r="CV133" i="22"/>
  <c r="CV131" i="22"/>
  <c r="CV132" i="22"/>
  <c r="CU134" i="22"/>
  <c r="CV147" i="22"/>
  <c r="CW146" i="22"/>
  <c r="CW144" i="22"/>
  <c r="CW145" i="22"/>
  <c r="BN30" i="22"/>
  <c r="BN27" i="22" s="1"/>
  <c r="BI17" i="22" l="1"/>
  <c r="BI14" i="22" s="1"/>
  <c r="CV134" i="22"/>
  <c r="CW133" i="22"/>
  <c r="CW132" i="22"/>
  <c r="CW131" i="22"/>
  <c r="CX145" i="22"/>
  <c r="CX144" i="22"/>
  <c r="CX146" i="22"/>
  <c r="CW147" i="22"/>
  <c r="BO29" i="22"/>
  <c r="BO28" i="22"/>
  <c r="BJ16" i="22" l="1"/>
  <c r="G168" i="22" s="1"/>
  <c r="BJ15" i="22"/>
  <c r="CW134" i="22"/>
  <c r="CX131" i="22"/>
  <c r="CX132" i="22"/>
  <c r="CX133" i="22"/>
  <c r="CX147" i="22"/>
  <c r="CY144" i="22"/>
  <c r="CY145" i="22"/>
  <c r="CY146" i="22"/>
  <c r="BO30" i="22"/>
  <c r="BO27" i="22" s="1"/>
  <c r="BJ17" i="22" l="1"/>
  <c r="BJ14" i="22" s="1"/>
  <c r="G153" i="22"/>
  <c r="CX134" i="22"/>
  <c r="CY131" i="22"/>
  <c r="CY132" i="22"/>
  <c r="CY133" i="22"/>
  <c r="CZ145" i="22"/>
  <c r="CZ146" i="22"/>
  <c r="CZ144" i="22"/>
  <c r="CY147" i="22"/>
  <c r="BP29" i="22"/>
  <c r="BP28" i="22"/>
  <c r="BK15" i="22" l="1"/>
  <c r="BK16" i="22"/>
  <c r="CZ132" i="22"/>
  <c r="CZ131" i="22"/>
  <c r="CZ133" i="22"/>
  <c r="CY134" i="22"/>
  <c r="BP30" i="22"/>
  <c r="BP27" i="22" s="1"/>
  <c r="BQ28" i="22" s="1"/>
  <c r="CZ147" i="22"/>
  <c r="DA144" i="22"/>
  <c r="DA145" i="22"/>
  <c r="DA146" i="22"/>
  <c r="BK17" i="22" l="1"/>
  <c r="BK14" i="22" s="1"/>
  <c r="BL15" i="22" s="1"/>
  <c r="BQ29" i="22"/>
  <c r="BQ30" i="22" s="1"/>
  <c r="BQ27" i="22" s="1"/>
  <c r="BR28" i="22" s="1"/>
  <c r="CZ134" i="22"/>
  <c r="DA132" i="22"/>
  <c r="DA133" i="22"/>
  <c r="DA131" i="22"/>
  <c r="DA147" i="22"/>
  <c r="DB146" i="22"/>
  <c r="DB145" i="22"/>
  <c r="DB144" i="22"/>
  <c r="BL16" i="22" l="1"/>
  <c r="BL17" i="22" s="1"/>
  <c r="BL14" i="22" s="1"/>
  <c r="BR29" i="22"/>
  <c r="BR30" i="22" s="1"/>
  <c r="BR27" i="22" s="1"/>
  <c r="DB132" i="22"/>
  <c r="DB131" i="22"/>
  <c r="DB133" i="22"/>
  <c r="DA134" i="22"/>
  <c r="DB147" i="22"/>
  <c r="DC145" i="22"/>
  <c r="DC146" i="22"/>
  <c r="DC144" i="22"/>
  <c r="BM15" i="22" l="1"/>
  <c r="BM16" i="22"/>
  <c r="DB134" i="22"/>
  <c r="DC133" i="22"/>
  <c r="DC131" i="22"/>
  <c r="DC132" i="22"/>
  <c r="DC147" i="22"/>
  <c r="DD144" i="22"/>
  <c r="DD145" i="22"/>
  <c r="DD146" i="22"/>
  <c r="BS28" i="22"/>
  <c r="BS29" i="22"/>
  <c r="BM17" i="22" l="1"/>
  <c r="BM14" i="22" s="1"/>
  <c r="DC134" i="22"/>
  <c r="DD133" i="22"/>
  <c r="DD131" i="22"/>
  <c r="DD132" i="22"/>
  <c r="DE146" i="22"/>
  <c r="DE145" i="22"/>
  <c r="DE144" i="22"/>
  <c r="DD147" i="22"/>
  <c r="BS30" i="22"/>
  <c r="BS27" i="22" s="1"/>
  <c r="BN16" i="22" l="1"/>
  <c r="BN15" i="22"/>
  <c r="DD134" i="22"/>
  <c r="DE131" i="22"/>
  <c r="DE133" i="22"/>
  <c r="DE132" i="22"/>
  <c r="DF146" i="22"/>
  <c r="K178" i="22" s="1"/>
  <c r="DF145" i="22"/>
  <c r="DF144" i="22"/>
  <c r="DE147" i="22"/>
  <c r="BT29" i="22"/>
  <c r="BT28" i="22"/>
  <c r="BN17" i="22" l="1"/>
  <c r="BN14" i="22" s="1"/>
  <c r="DE134" i="22"/>
  <c r="DF133" i="22"/>
  <c r="K177" i="22" s="1"/>
  <c r="DF132" i="22"/>
  <c r="BT30" i="22"/>
  <c r="BT27" i="22" s="1"/>
  <c r="BU28" i="22" s="1"/>
  <c r="DG144" i="22"/>
  <c r="DG146" i="22"/>
  <c r="DG145" i="22"/>
  <c r="DF147" i="22"/>
  <c r="K163" i="22"/>
  <c r="BO15" i="22" l="1"/>
  <c r="BO16" i="22"/>
  <c r="BU29" i="22"/>
  <c r="BU30" i="22" s="1"/>
  <c r="BU27" i="22" s="1"/>
  <c r="BV28" i="22" s="1"/>
  <c r="DF134" i="22"/>
  <c r="K162" i="22"/>
  <c r="DG147" i="22"/>
  <c r="DH145" i="22"/>
  <c r="DH146" i="22"/>
  <c r="DH144" i="22"/>
  <c r="BO17" i="22" l="1"/>
  <c r="BO14" i="22" s="1"/>
  <c r="BV29" i="22"/>
  <c r="H169" i="22" s="1"/>
  <c r="DH147" i="22"/>
  <c r="DI146" i="22"/>
  <c r="DI145" i="22"/>
  <c r="DI144" i="22"/>
  <c r="H154" i="22"/>
  <c r="BP16" i="22" l="1"/>
  <c r="BP15" i="22"/>
  <c r="BV30" i="22"/>
  <c r="BV27" i="22" s="1"/>
  <c r="BW29" i="22" s="1"/>
  <c r="DJ146" i="22"/>
  <c r="DJ144" i="22"/>
  <c r="DJ145" i="22"/>
  <c r="DI147" i="22"/>
  <c r="BP17" i="22" l="1"/>
  <c r="BP14" i="22" s="1"/>
  <c r="BW28" i="22"/>
  <c r="BW30" i="22" s="1"/>
  <c r="BW27" i="22" s="1"/>
  <c r="DJ147" i="22"/>
  <c r="DK146" i="22"/>
  <c r="DK145" i="22"/>
  <c r="DK144" i="22"/>
  <c r="BQ15" i="22" l="1"/>
  <c r="BQ16" i="22"/>
  <c r="DL146" i="22"/>
  <c r="DL145" i="22"/>
  <c r="DK147" i="22"/>
  <c r="BX28" i="22"/>
  <c r="BX29" i="22"/>
  <c r="BQ17" i="22" l="1"/>
  <c r="BQ14" i="22" s="1"/>
  <c r="BR16" i="22" s="1"/>
  <c r="DL147" i="22"/>
  <c r="BX30" i="22"/>
  <c r="BX27" i="22" s="1"/>
  <c r="BR15" i="22" l="1"/>
  <c r="BR17" i="22" s="1"/>
  <c r="BR14" i="22" s="1"/>
  <c r="BS15" i="22" s="1"/>
  <c r="BY29" i="22"/>
  <c r="BY28" i="22"/>
  <c r="BS16" i="22" l="1"/>
  <c r="BS17" i="22" s="1"/>
  <c r="BS14" i="22" s="1"/>
  <c r="BY30" i="22"/>
  <c r="BY27" i="22" s="1"/>
  <c r="BT16" i="22" l="1"/>
  <c r="BT15" i="22"/>
  <c r="BZ29" i="22"/>
  <c r="BZ28" i="22"/>
  <c r="BT17" i="22" l="1"/>
  <c r="BT14" i="22" s="1"/>
  <c r="BU15" i="22" s="1"/>
  <c r="BZ30" i="22"/>
  <c r="BZ27" i="22" s="1"/>
  <c r="BU16" i="22" l="1"/>
  <c r="BU17" i="22" s="1"/>
  <c r="BU14" i="22" s="1"/>
  <c r="CA28" i="22"/>
  <c r="CA29" i="22"/>
  <c r="BV16" i="22" l="1"/>
  <c r="H168" i="22" s="1"/>
  <c r="BV15" i="22"/>
  <c r="CA30" i="22"/>
  <c r="CA27" i="22" s="1"/>
  <c r="BV17" i="22" l="1"/>
  <c r="BV14" i="22" s="1"/>
  <c r="BW16" i="22" s="1"/>
  <c r="H153" i="22"/>
  <c r="CB28" i="22"/>
  <c r="CB29" i="22"/>
  <c r="BW15" i="22" l="1"/>
  <c r="BW17" i="22" s="1"/>
  <c r="BW14" i="22" s="1"/>
  <c r="CB30" i="22"/>
  <c r="CB27" i="22" s="1"/>
  <c r="BX16" i="22" l="1"/>
  <c r="BX15" i="22"/>
  <c r="CC28" i="22"/>
  <c r="CC29" i="22"/>
  <c r="BX17" i="22" l="1"/>
  <c r="BX14" i="22" s="1"/>
  <c r="CC30" i="22"/>
  <c r="CC27" i="22" s="1"/>
  <c r="BY15" i="22" l="1"/>
  <c r="BY16" i="22"/>
  <c r="CD29" i="22"/>
  <c r="CD28" i="22"/>
  <c r="BY17" i="22" l="1"/>
  <c r="BY14" i="22" s="1"/>
  <c r="CD30" i="22"/>
  <c r="CD27" i="22" s="1"/>
  <c r="CE28" i="22" s="1"/>
  <c r="BZ16" i="22" l="1"/>
  <c r="BZ15" i="22"/>
  <c r="CE29" i="22"/>
  <c r="CE30" i="22" s="1"/>
  <c r="CE27" i="22" s="1"/>
  <c r="BZ17" i="22" l="1"/>
  <c r="BZ14" i="22" s="1"/>
  <c r="CF28" i="22"/>
  <c r="CF29" i="22"/>
  <c r="CA15" i="22" l="1"/>
  <c r="CA16" i="22"/>
  <c r="CF30" i="22"/>
  <c r="CF27" i="22" s="1"/>
  <c r="CG28" i="22" s="1"/>
  <c r="CA17" i="22" l="1"/>
  <c r="CA14" i="22" s="1"/>
  <c r="CG29" i="22"/>
  <c r="CG30" i="22" s="1"/>
  <c r="CG27" i="22" s="1"/>
  <c r="CH28" i="22" s="1"/>
  <c r="CB16" i="22" l="1"/>
  <c r="CB15" i="22"/>
  <c r="CH29" i="22"/>
  <c r="I169" i="22" s="1"/>
  <c r="I154" i="22"/>
  <c r="CB17" i="22" l="1"/>
  <c r="CB14" i="22" s="1"/>
  <c r="CH30" i="22"/>
  <c r="CH27" i="22" s="1"/>
  <c r="CI29" i="22" s="1"/>
  <c r="CC15" i="22" l="1"/>
  <c r="CC16" i="22"/>
  <c r="CI28" i="22"/>
  <c r="CI30" i="22" s="1"/>
  <c r="CI27" i="22" s="1"/>
  <c r="CC17" i="22" l="1"/>
  <c r="CC14" i="22" s="1"/>
  <c r="CD15" i="22" s="1"/>
  <c r="CJ29" i="22"/>
  <c r="CJ28" i="22"/>
  <c r="CD16" i="22" l="1"/>
  <c r="CD17" i="22" s="1"/>
  <c r="CD14" i="22" s="1"/>
  <c r="CJ30" i="22"/>
  <c r="CJ27" i="22" s="1"/>
  <c r="CE15" i="22" l="1"/>
  <c r="CE16" i="22"/>
  <c r="CK28" i="22"/>
  <c r="CK29" i="22"/>
  <c r="CE17" i="22" l="1"/>
  <c r="CE14" i="22" s="1"/>
  <c r="CF16" i="22" s="1"/>
  <c r="CK30" i="22"/>
  <c r="CK27" i="22" s="1"/>
  <c r="CF15" i="22" l="1"/>
  <c r="CF17" i="22" s="1"/>
  <c r="CF14" i="22" s="1"/>
  <c r="CL28" i="22"/>
  <c r="CL29" i="22"/>
  <c r="CG15" i="22" l="1"/>
  <c r="CG16" i="22"/>
  <c r="CL30" i="22"/>
  <c r="CL27" i="22" s="1"/>
  <c r="CG17" i="22" l="1"/>
  <c r="CG14" i="22" s="1"/>
  <c r="CH15" i="22" s="1"/>
  <c r="I153" i="22" s="1"/>
  <c r="CM28" i="22"/>
  <c r="CM29" i="22"/>
  <c r="CH16" i="22" l="1"/>
  <c r="I168" i="22" s="1"/>
  <c r="CM30" i="22"/>
  <c r="CM27" i="22" s="1"/>
  <c r="CH17" i="22" l="1"/>
  <c r="CH14" i="22" s="1"/>
  <c r="CI15" i="22" s="1"/>
  <c r="CN29" i="22"/>
  <c r="CN28" i="22"/>
  <c r="CI16" i="22" l="1"/>
  <c r="CI17" i="22" s="1"/>
  <c r="CI14" i="22" s="1"/>
  <c r="CJ15" i="22" s="1"/>
  <c r="CN30" i="22"/>
  <c r="CN27" i="22" s="1"/>
  <c r="CO28" i="22" s="1"/>
  <c r="CJ16" i="22" l="1"/>
  <c r="CJ17" i="22" s="1"/>
  <c r="CJ14" i="22" s="1"/>
  <c r="CO29" i="22"/>
  <c r="CO30" i="22" s="1"/>
  <c r="CO27" i="22" s="1"/>
  <c r="CK15" i="22" l="1"/>
  <c r="CK16" i="22"/>
  <c r="CP28" i="22"/>
  <c r="CP29" i="22"/>
  <c r="CK17" i="22" l="1"/>
  <c r="CK14" i="22" s="1"/>
  <c r="CP30" i="22"/>
  <c r="CP27" i="22" s="1"/>
  <c r="CQ28" i="22" s="1"/>
  <c r="CL16" i="22" l="1"/>
  <c r="CL15" i="22"/>
  <c r="CQ29" i="22"/>
  <c r="CQ30" i="22" s="1"/>
  <c r="CQ27" i="22" s="1"/>
  <c r="CL17" i="22" l="1"/>
  <c r="CL14" i="22" s="1"/>
  <c r="CR28" i="22"/>
  <c r="CR29" i="22"/>
  <c r="CM15" i="22" l="1"/>
  <c r="CM16" i="22"/>
  <c r="CR30" i="22"/>
  <c r="CR27" i="22" s="1"/>
  <c r="CS29" i="22" s="1"/>
  <c r="CM17" i="22" l="1"/>
  <c r="CM14" i="22" s="1"/>
  <c r="CS28" i="22"/>
  <c r="CS30" i="22" s="1"/>
  <c r="CS27" i="22" s="1"/>
  <c r="CN16" i="22" l="1"/>
  <c r="CN15" i="22"/>
  <c r="CT28" i="22"/>
  <c r="CT29" i="22"/>
  <c r="J169" i="22" s="1"/>
  <c r="CN17" i="22" l="1"/>
  <c r="CN14" i="22" s="1"/>
  <c r="J154" i="22"/>
  <c r="CT30" i="22"/>
  <c r="CT27" i="22" s="1"/>
  <c r="CO15" i="22" l="1"/>
  <c r="CO16" i="22"/>
  <c r="CU28" i="22"/>
  <c r="CU29" i="22"/>
  <c r="CO17" i="22" l="1"/>
  <c r="CO14" i="22" s="1"/>
  <c r="CU30" i="22"/>
  <c r="CU27" i="22" s="1"/>
  <c r="CV29" i="22" s="1"/>
  <c r="CP16" i="22" l="1"/>
  <c r="CP15" i="22"/>
  <c r="CV28" i="22"/>
  <c r="CV30" i="22" s="1"/>
  <c r="CV27" i="22" s="1"/>
  <c r="CW28" i="22" s="1"/>
  <c r="CP17" i="22" l="1"/>
  <c r="CP14" i="22" s="1"/>
  <c r="CW29" i="22"/>
  <c r="CW30" i="22" s="1"/>
  <c r="CW27" i="22" s="1"/>
  <c r="CQ15" i="22" l="1"/>
  <c r="CQ16" i="22"/>
  <c r="CX29" i="22"/>
  <c r="CX28" i="22"/>
  <c r="CQ17" i="22" l="1"/>
  <c r="CQ14" i="22" s="1"/>
  <c r="CX30" i="22"/>
  <c r="CX27" i="22" s="1"/>
  <c r="CR16" i="22" l="1"/>
  <c r="CR15" i="22"/>
  <c r="CY29" i="22"/>
  <c r="CY28" i="22"/>
  <c r="CR17" i="22" l="1"/>
  <c r="CR14" i="22" s="1"/>
  <c r="CS15" i="22" s="1"/>
  <c r="CY30" i="22"/>
  <c r="CY27" i="22" s="1"/>
  <c r="CS16" i="22" l="1"/>
  <c r="CS17" i="22" s="1"/>
  <c r="CS14" i="22" s="1"/>
  <c r="CZ29" i="22"/>
  <c r="CZ28" i="22"/>
  <c r="CT16" i="22" l="1"/>
  <c r="J168" i="22" s="1"/>
  <c r="CT15" i="22"/>
  <c r="J153" i="22" s="1"/>
  <c r="CZ30" i="22"/>
  <c r="CZ27" i="22" s="1"/>
  <c r="DA29" i="22" s="1"/>
  <c r="CT17" i="22" l="1"/>
  <c r="CT14" i="22" s="1"/>
  <c r="CU15" i="22" s="1"/>
  <c r="DA28" i="22"/>
  <c r="DA30" i="22" s="1"/>
  <c r="DA27" i="22" s="1"/>
  <c r="CU16" i="22" l="1"/>
  <c r="CU17" i="22" s="1"/>
  <c r="CU14" i="22" s="1"/>
  <c r="DB28" i="22"/>
  <c r="DB29" i="22"/>
  <c r="CV16" i="22" l="1"/>
  <c r="CV15" i="22"/>
  <c r="DB30" i="22"/>
  <c r="DB27" i="22" s="1"/>
  <c r="DC28" i="22" s="1"/>
  <c r="CV17" i="22" l="1"/>
  <c r="CV14" i="22" s="1"/>
  <c r="CW16" i="22" s="1"/>
  <c r="DC29" i="22"/>
  <c r="DC30" i="22" s="1"/>
  <c r="DC27" i="22" s="1"/>
  <c r="DD28" i="22" s="1"/>
  <c r="CW15" i="22" l="1"/>
  <c r="CW17" i="22" s="1"/>
  <c r="CW14" i="22" s="1"/>
  <c r="DD29" i="22"/>
  <c r="DD30" i="22" s="1"/>
  <c r="DD27" i="22" s="1"/>
  <c r="CX16" i="22" l="1"/>
  <c r="CX15" i="22"/>
  <c r="DE28" i="22"/>
  <c r="DE29" i="22"/>
  <c r="CX17" i="22" l="1"/>
  <c r="CX14" i="22" s="1"/>
  <c r="DE30" i="22"/>
  <c r="DE27" i="22" s="1"/>
  <c r="DF28" i="22" s="1"/>
  <c r="K154" i="22" s="1"/>
  <c r="CY15" i="22" l="1"/>
  <c r="CY16" i="22"/>
  <c r="DF29" i="22"/>
  <c r="K169" i="22" s="1"/>
  <c r="CY17" i="22" l="1"/>
  <c r="CY14" i="22" s="1"/>
  <c r="DF30" i="22"/>
  <c r="DF27" i="22" s="1"/>
  <c r="DG28" i="22" s="1"/>
  <c r="CZ16" i="22" l="1"/>
  <c r="CZ15" i="22"/>
  <c r="DG29" i="22"/>
  <c r="DG30" i="22" s="1"/>
  <c r="DG27" i="22" s="1"/>
  <c r="DH29" i="22" s="1"/>
  <c r="CZ17" i="22" l="1"/>
  <c r="CZ14" i="22" s="1"/>
  <c r="DH28" i="22"/>
  <c r="DH30" i="22" s="1"/>
  <c r="DH27" i="22" s="1"/>
  <c r="DA15" i="22" l="1"/>
  <c r="DA16" i="22"/>
  <c r="DI29" i="22"/>
  <c r="DI28" i="22"/>
  <c r="DA17" i="22" l="1"/>
  <c r="DA14" i="22" s="1"/>
  <c r="DI30" i="22"/>
  <c r="DI27" i="22" s="1"/>
  <c r="DB16" i="22" l="1"/>
  <c r="DB15" i="22"/>
  <c r="DJ28" i="22"/>
  <c r="DJ29" i="22"/>
  <c r="DB17" i="22" l="1"/>
  <c r="DB14" i="22" s="1"/>
  <c r="DC16" i="22" s="1"/>
  <c r="DJ30" i="22"/>
  <c r="DJ27" i="22" s="1"/>
  <c r="DC15" i="22" l="1"/>
  <c r="DC17" i="22" s="1"/>
  <c r="DC14" i="22" s="1"/>
  <c r="DK29" i="22"/>
  <c r="DK28" i="22"/>
  <c r="DD16" i="22" l="1"/>
  <c r="DD15" i="22"/>
  <c r="DK30" i="22"/>
  <c r="DK27" i="22" s="1"/>
  <c r="DD17" i="22" l="1"/>
  <c r="DD14" i="22" s="1"/>
  <c r="DE16" i="22" s="1"/>
  <c r="DL29" i="22"/>
  <c r="DL28" i="22"/>
  <c r="DE15" i="22" l="1"/>
  <c r="DE17" i="22" s="1"/>
  <c r="DE14" i="22" s="1"/>
  <c r="DL30" i="22"/>
  <c r="DL27" i="22" s="1"/>
  <c r="DM29" i="22" s="1"/>
  <c r="DF16" i="22" l="1"/>
  <c r="K168" i="22" s="1"/>
  <c r="DF15" i="22"/>
  <c r="DM28" i="22"/>
  <c r="DM30" i="22" s="1"/>
  <c r="DM27" i="22" s="1"/>
  <c r="DN28" i="22" s="1"/>
  <c r="DF17" i="22" l="1"/>
  <c r="DF14" i="22" s="1"/>
  <c r="K153" i="22"/>
  <c r="DN29" i="22"/>
  <c r="DN30" i="22" s="1"/>
  <c r="DN27" i="22" s="1"/>
  <c r="DG15" i="22" l="1"/>
  <c r="DG16" i="22"/>
  <c r="DO28" i="22"/>
  <c r="DO29" i="22"/>
  <c r="DG17" i="22" l="1"/>
  <c r="DG14" i="22" s="1"/>
  <c r="DO30" i="22"/>
  <c r="DO27" i="22" s="1"/>
  <c r="DH16" i="22" l="1"/>
  <c r="DH15" i="22"/>
  <c r="DP29" i="22"/>
  <c r="DP28" i="22"/>
  <c r="DH17" i="22" l="1"/>
  <c r="DH14" i="22" s="1"/>
  <c r="DI16" i="22" s="1"/>
  <c r="DP30" i="22"/>
  <c r="DP27" i="22" s="1"/>
  <c r="DQ28" i="22" s="1"/>
  <c r="DI15" i="22" l="1"/>
  <c r="DI17" i="22" s="1"/>
  <c r="DI14" i="22" s="1"/>
  <c r="DQ29" i="22"/>
  <c r="DQ30" i="22" s="1"/>
  <c r="DQ27" i="22" s="1"/>
  <c r="DR28" i="22" s="1"/>
  <c r="DJ16" i="22" l="1"/>
  <c r="DJ15" i="22"/>
  <c r="DR29" i="22"/>
  <c r="DR30" i="22" s="1"/>
  <c r="L154" i="22"/>
  <c r="DJ17" i="22" l="1"/>
  <c r="DJ14" i="22" s="1"/>
  <c r="DK15" i="22" s="1"/>
  <c r="L169" i="22"/>
  <c r="B29" i="22"/>
  <c r="B30" i="22"/>
  <c r="DR27" i="22"/>
  <c r="DK16" i="22" l="1"/>
  <c r="DK17" i="22" s="1"/>
  <c r="DK14" i="22" s="1"/>
  <c r="DS29" i="22"/>
  <c r="DS28" i="22"/>
  <c r="DL16" i="22" l="1"/>
  <c r="DL15" i="22"/>
  <c r="DS30" i="22"/>
  <c r="DS27" i="22" s="1"/>
  <c r="DL17" i="22" l="1"/>
  <c r="DL14" i="22" s="1"/>
  <c r="DT28" i="22"/>
  <c r="DT29" i="22"/>
  <c r="DM15" i="22" l="1"/>
  <c r="DM16" i="22"/>
  <c r="DT30" i="22"/>
  <c r="DT27" i="22" s="1"/>
  <c r="DM17" i="22" l="1"/>
  <c r="DM14" i="22" s="1"/>
  <c r="DN16" i="22" s="1"/>
  <c r="DU29" i="22"/>
  <c r="DU28" i="22"/>
  <c r="DN15" i="22" l="1"/>
  <c r="DN17" i="22" s="1"/>
  <c r="DN14" i="22" s="1"/>
  <c r="DU30" i="22"/>
  <c r="DU27" i="22" s="1"/>
  <c r="DO15" i="22" l="1"/>
  <c r="DO16" i="22"/>
  <c r="DV29" i="22"/>
  <c r="DV28" i="22"/>
  <c r="DO17" i="22" l="1"/>
  <c r="DO14" i="22" s="1"/>
  <c r="DV30" i="22"/>
  <c r="DV27" i="22" s="1"/>
  <c r="DP16" i="22" l="1"/>
  <c r="DP15" i="22"/>
  <c r="DW28" i="22"/>
  <c r="DW29" i="22"/>
  <c r="DP17" i="22" l="1"/>
  <c r="DP14" i="22" s="1"/>
  <c r="DQ16" i="22" s="1"/>
  <c r="DW30" i="22"/>
  <c r="DW27" i="22" s="1"/>
  <c r="DQ15" i="22" l="1"/>
  <c r="DQ17" i="22" s="1"/>
  <c r="DQ14" i="22" s="1"/>
  <c r="DR16" i="22" s="1"/>
  <c r="B16" i="22" s="1"/>
  <c r="DX28" i="22"/>
  <c r="DX29" i="22"/>
  <c r="DR15" i="22" l="1"/>
  <c r="DR17" i="22" s="1"/>
  <c r="B17" i="22" s="1"/>
  <c r="L168" i="22"/>
  <c r="DX30" i="22"/>
  <c r="DX27" i="22" s="1"/>
  <c r="L153" i="22" l="1"/>
  <c r="DR14" i="22"/>
  <c r="DS16" i="22" s="1"/>
  <c r="DY29" i="22"/>
  <c r="DY28" i="22"/>
  <c r="DS15" i="22" l="1"/>
  <c r="DS17" i="22" s="1"/>
  <c r="DS14" i="22" s="1"/>
  <c r="DY30" i="22"/>
  <c r="DY27" i="22" s="1"/>
  <c r="DZ29" i="22" s="1"/>
  <c r="DZ28" i="22" l="1"/>
  <c r="DZ30" i="22" s="1"/>
  <c r="DZ27" i="22" s="1"/>
  <c r="DT16" i="22"/>
  <c r="DT15" i="22"/>
  <c r="EA29" i="22" l="1"/>
  <c r="EA28" i="22"/>
  <c r="DT17" i="22"/>
  <c r="DT14" i="22" s="1"/>
  <c r="EA30" i="22" l="1"/>
  <c r="EA27" i="22" s="1"/>
  <c r="EB28" i="22" s="1"/>
  <c r="DU15" i="22"/>
  <c r="DU16" i="22"/>
  <c r="EB29" i="22" l="1"/>
  <c r="EB30" i="22" s="1"/>
  <c r="EB27" i="22" s="1"/>
  <c r="DU17" i="22"/>
  <c r="DU14" i="22" s="1"/>
  <c r="EC29" i="22" l="1"/>
  <c r="EC28" i="22"/>
  <c r="DV15" i="22"/>
  <c r="DV16" i="22"/>
  <c r="EC30" i="22" l="1"/>
  <c r="EC27" i="22" s="1"/>
  <c r="DV17" i="22"/>
  <c r="DV14" i="22" s="1"/>
  <c r="ED29" i="22" l="1"/>
  <c r="M169" i="22" s="1"/>
  <c r="ED28" i="22"/>
  <c r="DW16" i="22"/>
  <c r="DW15" i="22"/>
  <c r="M154" i="22" l="1"/>
  <c r="ED30" i="22"/>
  <c r="ED27" i="22" s="1"/>
  <c r="DW17" i="22"/>
  <c r="DW14" i="22" s="1"/>
  <c r="EE29" i="22" l="1"/>
  <c r="EE28" i="22"/>
  <c r="DX16" i="22"/>
  <c r="DX15" i="22"/>
  <c r="EE30" i="22" l="1"/>
  <c r="EE27" i="22" s="1"/>
  <c r="DX17" i="22"/>
  <c r="DX14" i="22" s="1"/>
  <c r="DY16" i="22" s="1"/>
  <c r="EF29" i="22" l="1"/>
  <c r="EF28" i="22"/>
  <c r="DY15" i="22"/>
  <c r="DY17" i="22" s="1"/>
  <c r="DY14" i="22" s="1"/>
  <c r="EF30" i="22" l="1"/>
  <c r="EF27" i="22" s="1"/>
  <c r="DZ16" i="22"/>
  <c r="DZ15" i="22"/>
  <c r="EG28" i="22" l="1"/>
  <c r="EG29" i="22"/>
  <c r="DZ17" i="22"/>
  <c r="DZ14" i="22" s="1"/>
  <c r="EA16" i="22" s="1"/>
  <c r="EG30" i="22" l="1"/>
  <c r="EG27" i="22" s="1"/>
  <c r="EH28" i="22" s="1"/>
  <c r="EA15" i="22"/>
  <c r="EA17" i="22" s="1"/>
  <c r="EA14" i="22" s="1"/>
  <c r="EB15" i="22" s="1"/>
  <c r="EH29" i="22" l="1"/>
  <c r="EH30" i="22" s="1"/>
  <c r="EH27" i="22" s="1"/>
  <c r="EI29" i="22" s="1"/>
  <c r="EB16" i="22"/>
  <c r="EB17" i="22" s="1"/>
  <c r="EB14" i="22" s="1"/>
  <c r="EI28" i="22" l="1"/>
  <c r="EI30" i="22" s="1"/>
  <c r="EI27" i="22" s="1"/>
  <c r="EC15" i="22"/>
  <c r="EC16" i="22"/>
  <c r="EC17" i="22" l="1"/>
  <c r="EC14" i="22" s="1"/>
  <c r="ED16" i="22" s="1"/>
  <c r="M168" i="22" s="1"/>
  <c r="EJ29" i="22"/>
  <c r="EJ28" i="22"/>
  <c r="ED15" i="22" l="1"/>
  <c r="ED17" i="22" s="1"/>
  <c r="ED14" i="22" s="1"/>
  <c r="EE15" i="22" s="1"/>
  <c r="EJ30" i="22"/>
  <c r="EJ27" i="22" s="1"/>
  <c r="EK28" i="22" s="1"/>
  <c r="EK29" i="22" l="1"/>
  <c r="EK30" i="22" s="1"/>
  <c r="EK27" i="22" s="1"/>
  <c r="EE16" i="22"/>
  <c r="EE17" i="22" s="1"/>
  <c r="EE14" i="22" s="1"/>
  <c r="M153" i="22"/>
  <c r="EL28" i="22" l="1"/>
  <c r="EL29" i="22"/>
  <c r="EF15" i="22"/>
  <c r="EF16" i="22"/>
  <c r="EL30" i="22" l="1"/>
  <c r="EL27" i="22" s="1"/>
  <c r="EM28" i="22" s="1"/>
  <c r="EF17" i="22"/>
  <c r="EF14" i="22" s="1"/>
  <c r="EM29" i="22" l="1"/>
  <c r="EM30" i="22" s="1"/>
  <c r="EM27" i="22" s="1"/>
  <c r="EG15" i="22"/>
  <c r="EG16" i="22"/>
  <c r="EG17" i="22" l="1"/>
  <c r="EG14" i="22" s="1"/>
  <c r="EN29" i="22"/>
  <c r="EN28" i="22"/>
  <c r="EN30" i="22" l="1"/>
  <c r="EN27" i="22" s="1"/>
  <c r="EO29" i="22" s="1"/>
  <c r="EH15" i="22"/>
  <c r="EH16" i="22"/>
  <c r="EO28" i="22" l="1"/>
  <c r="EO30" i="22" s="1"/>
  <c r="EO27" i="22" s="1"/>
  <c r="EP29" i="22" s="1"/>
  <c r="N169" i="22" s="1"/>
  <c r="EH17" i="22"/>
  <c r="EH14" i="22" s="1"/>
  <c r="EP28" i="22" l="1"/>
  <c r="EP30" i="22" s="1"/>
  <c r="EP27" i="22" s="1"/>
  <c r="EI15" i="22"/>
  <c r="EI16" i="22"/>
  <c r="N154" i="22" l="1"/>
  <c r="B28" i="22"/>
  <c r="EI17" i="22"/>
  <c r="EI14" i="22" s="1"/>
  <c r="EQ28" i="22"/>
  <c r="EQ29" i="22"/>
  <c r="EQ30" i="22" l="1"/>
  <c r="EQ27" i="22" s="1"/>
  <c r="EJ16" i="22"/>
  <c r="EJ15" i="22"/>
  <c r="EJ17" i="22" l="1"/>
  <c r="EJ14" i="22" s="1"/>
  <c r="EK16" i="22" s="1"/>
  <c r="ER29" i="22"/>
  <c r="ER28" i="22"/>
  <c r="EK15" i="22" l="1"/>
  <c r="EK17" i="22" s="1"/>
  <c r="EK14" i="22" s="1"/>
  <c r="EL15" i="22" s="1"/>
  <c r="ER30" i="22"/>
  <c r="ER27" i="22" s="1"/>
  <c r="EL16" i="22" l="1"/>
  <c r="EL17" i="22" s="1"/>
  <c r="EL14" i="22" s="1"/>
  <c r="EM16" i="22" s="1"/>
  <c r="ES29" i="22"/>
  <c r="ES28" i="22"/>
  <c r="EM15" i="22" l="1"/>
  <c r="EM17" i="22" s="1"/>
  <c r="EM14" i="22" s="1"/>
  <c r="ES30" i="22"/>
  <c r="ES27" i="22" s="1"/>
  <c r="EN15" i="22" l="1"/>
  <c r="EN16" i="22"/>
  <c r="ET29" i="22"/>
  <c r="ET28" i="22"/>
  <c r="EN17" i="22" l="1"/>
  <c r="EN14" i="22" s="1"/>
  <c r="EO15" i="22" s="1"/>
  <c r="ET30" i="22"/>
  <c r="ET27" i="22" s="1"/>
  <c r="EO16" i="22" l="1"/>
  <c r="EO17" i="22" s="1"/>
  <c r="EO14" i="22" s="1"/>
  <c r="EP16" i="22" s="1"/>
  <c r="N168" i="22" s="1"/>
  <c r="EU29" i="22"/>
  <c r="EU28" i="22"/>
  <c r="EP15" i="22" l="1"/>
  <c r="N153" i="22" s="1"/>
  <c r="EU30" i="22"/>
  <c r="EU27" i="22" s="1"/>
  <c r="EP17" i="22" l="1"/>
  <c r="EP14" i="22" s="1"/>
  <c r="EQ16" i="22" s="1"/>
  <c r="EV28" i="22"/>
  <c r="EV29" i="22"/>
  <c r="EQ15" i="22" l="1"/>
  <c r="EQ17" i="22" s="1"/>
  <c r="EQ14" i="22" s="1"/>
  <c r="EV30" i="22"/>
  <c r="EV27" i="22" s="1"/>
  <c r="EW29" i="22" s="1"/>
  <c r="EW28" i="22" l="1"/>
  <c r="EW30" i="22" s="1"/>
  <c r="EW27" i="22" s="1"/>
  <c r="EX29" i="22" s="1"/>
  <c r="ER16" i="22"/>
  <c r="ER15" i="22"/>
  <c r="EX28" i="22" l="1"/>
  <c r="EX30" i="22" s="1"/>
  <c r="EX27" i="22" s="1"/>
  <c r="ER17" i="22"/>
  <c r="ER14" i="22" s="1"/>
  <c r="EY28" i="22" l="1"/>
  <c r="EY29" i="22"/>
  <c r="ES16" i="22"/>
  <c r="ES15" i="22"/>
  <c r="EY30" i="22" l="1"/>
  <c r="EY27" i="22" s="1"/>
  <c r="EZ28" i="22" s="1"/>
  <c r="ES17" i="22"/>
  <c r="ES14" i="22" s="1"/>
  <c r="EZ29" i="22" l="1"/>
  <c r="EZ30" i="22" s="1"/>
  <c r="EZ27" i="22" s="1"/>
  <c r="FA29" i="22" s="1"/>
  <c r="ET16" i="22"/>
  <c r="ET15" i="22"/>
  <c r="FA28" i="22" l="1"/>
  <c r="FA30" i="22" s="1"/>
  <c r="FA27" i="22" s="1"/>
  <c r="ET17" i="22"/>
  <c r="ET14" i="22" s="1"/>
  <c r="FB29" i="22" l="1"/>
  <c r="O169" i="22" s="1"/>
  <c r="FB28" i="22"/>
  <c r="O154" i="22" s="1"/>
  <c r="EU16" i="22"/>
  <c r="EU15" i="22"/>
  <c r="FB30" i="22" l="1"/>
  <c r="FB27" i="22" s="1"/>
  <c r="FC29" i="22" s="1"/>
  <c r="EU17" i="22"/>
  <c r="EU14" i="22" s="1"/>
  <c r="FC28" i="22" l="1"/>
  <c r="FC30" i="22" s="1"/>
  <c r="FC27" i="22" s="1"/>
  <c r="EV15" i="22"/>
  <c r="EV16" i="22"/>
  <c r="FD29" i="22" l="1"/>
  <c r="FD28" i="22"/>
  <c r="EV17" i="22"/>
  <c r="EV14" i="22" s="1"/>
  <c r="FD30" i="22" l="1"/>
  <c r="FD27" i="22" s="1"/>
  <c r="EW16" i="22"/>
  <c r="EW15" i="22"/>
  <c r="EW17" i="22" l="1"/>
  <c r="EW14" i="22" s="1"/>
  <c r="EX15" i="22" s="1"/>
  <c r="FE29" i="22"/>
  <c r="FE28" i="22"/>
  <c r="EX16" i="22" l="1"/>
  <c r="EX17" i="22" s="1"/>
  <c r="EX14" i="22" s="1"/>
  <c r="FE30" i="22"/>
  <c r="FE27" i="22" s="1"/>
  <c r="EY15" i="22" l="1"/>
  <c r="EY16" i="22"/>
  <c r="FF28" i="22"/>
  <c r="FF29" i="22"/>
  <c r="EY17" i="22" l="1"/>
  <c r="EY14" i="22" s="1"/>
  <c r="FF30" i="22"/>
  <c r="FF27" i="22" s="1"/>
  <c r="EZ16" i="22" l="1"/>
  <c r="EZ15" i="22"/>
  <c r="FG28" i="22"/>
  <c r="FG29" i="22"/>
  <c r="EZ17" i="22" l="1"/>
  <c r="EZ14" i="22" s="1"/>
  <c r="FA15" i="22" s="1"/>
  <c r="FG30" i="22"/>
  <c r="FG27" i="22" s="1"/>
  <c r="FA16" i="22" l="1"/>
  <c r="FA17" i="22" s="1"/>
  <c r="FA14" i="22" s="1"/>
  <c r="FB15" i="22" s="1"/>
  <c r="FH29" i="22"/>
  <c r="FH28" i="22"/>
  <c r="FB16" i="22" l="1"/>
  <c r="O168" i="22" s="1"/>
  <c r="FH30" i="22"/>
  <c r="FH27" i="22" s="1"/>
  <c r="FI29" i="22" s="1"/>
  <c r="O153" i="22"/>
  <c r="FB17" i="22" l="1"/>
  <c r="FB14" i="22" s="1"/>
  <c r="FC16" i="22" s="1"/>
  <c r="FI28" i="22"/>
  <c r="FI30" i="22" s="1"/>
  <c r="FI27" i="22" s="1"/>
  <c r="FJ28" i="22" s="1"/>
  <c r="FC15" i="22" l="1"/>
  <c r="FC17" i="22" s="1"/>
  <c r="FC14" i="22" s="1"/>
  <c r="FJ29" i="22"/>
  <c r="FJ30" i="22" s="1"/>
  <c r="FJ27" i="22" s="1"/>
  <c r="FK29" i="22" l="1"/>
  <c r="FK28" i="22"/>
  <c r="FD15" i="22"/>
  <c r="FD16" i="22"/>
  <c r="FK30" i="22" l="1"/>
  <c r="FK27" i="22" s="1"/>
  <c r="FL29" i="22" s="1"/>
  <c r="FD17" i="22"/>
  <c r="FD14" i="22" s="1"/>
  <c r="FL28" i="22" l="1"/>
  <c r="FL30" i="22" s="1"/>
  <c r="FL27" i="22" s="1"/>
  <c r="FM29" i="22" s="1"/>
  <c r="FE16" i="22"/>
  <c r="FE15" i="22"/>
  <c r="FM28" i="22" l="1"/>
  <c r="FM30" i="22" s="1"/>
  <c r="FM27" i="22" s="1"/>
  <c r="FN28" i="22" s="1"/>
  <c r="P154" i="22" s="1"/>
  <c r="FE17" i="22"/>
  <c r="FE14" i="22" s="1"/>
  <c r="FN29" i="22" l="1"/>
  <c r="P169" i="22" s="1"/>
  <c r="FF15" i="22"/>
  <c r="FF16" i="22"/>
  <c r="FN30" i="22" l="1"/>
  <c r="FN27" i="22" s="1"/>
  <c r="FF17" i="22"/>
  <c r="FF14" i="22" s="1"/>
  <c r="FO29" i="22" l="1"/>
  <c r="FO28" i="22"/>
  <c r="FG16" i="22"/>
  <c r="FG15" i="22"/>
  <c r="FO30" i="22" l="1"/>
  <c r="FO27" i="22" s="1"/>
  <c r="FP29" i="22" s="1"/>
  <c r="FG17" i="22"/>
  <c r="FG14" i="22" s="1"/>
  <c r="FP28" i="22" l="1"/>
  <c r="FP30" i="22" s="1"/>
  <c r="FP27" i="22" s="1"/>
  <c r="FQ28" i="22" s="1"/>
  <c r="FH16" i="22"/>
  <c r="FH15" i="22"/>
  <c r="FQ29" i="22" l="1"/>
  <c r="FQ30" i="22" s="1"/>
  <c r="FQ27" i="22" s="1"/>
  <c r="FH17" i="22"/>
  <c r="FH14" i="22" s="1"/>
  <c r="FI16" i="22" s="1"/>
  <c r="FI15" i="22" l="1"/>
  <c r="FI17" i="22" s="1"/>
  <c r="FI14" i="22" s="1"/>
  <c r="FR28" i="22"/>
  <c r="FR29" i="22"/>
  <c r="FJ16" i="22" l="1"/>
  <c r="FJ15" i="22"/>
  <c r="FR30" i="22"/>
  <c r="FR27" i="22" s="1"/>
  <c r="FJ17" i="22" l="1"/>
  <c r="FJ14" i="22" s="1"/>
  <c r="FK15" i="22" s="1"/>
  <c r="FS29" i="22"/>
  <c r="FS28" i="22"/>
  <c r="FK16" i="22" l="1"/>
  <c r="FK17" i="22" s="1"/>
  <c r="FK14" i="22" s="1"/>
  <c r="FL16" i="22" s="1"/>
  <c r="FS30" i="22"/>
  <c r="FS27" i="22" s="1"/>
  <c r="FL15" i="22" l="1"/>
  <c r="FL17" i="22" s="1"/>
  <c r="FL14" i="22" s="1"/>
  <c r="FM15" i="22" s="1"/>
  <c r="FT29" i="22"/>
  <c r="FT28" i="22"/>
  <c r="FM16" i="22" l="1"/>
  <c r="FM17" i="22" s="1"/>
  <c r="FM14" i="22" s="1"/>
  <c r="FN16" i="22" s="1"/>
  <c r="P168" i="22" s="1"/>
  <c r="FT30" i="22"/>
  <c r="FT27" i="22" s="1"/>
  <c r="FU28" i="22" s="1"/>
  <c r="FN15" i="22" l="1"/>
  <c r="P153" i="22" s="1"/>
  <c r="FU29" i="22"/>
  <c r="FU30" i="22" s="1"/>
  <c r="FU27" i="22" s="1"/>
  <c r="FN17" i="22" l="1"/>
  <c r="FN14" i="22" s="1"/>
  <c r="FO16" i="22" s="1"/>
  <c r="FV28" i="22"/>
  <c r="FV29" i="22"/>
  <c r="FO15" i="22" l="1"/>
  <c r="FO17" i="22" s="1"/>
  <c r="FO14" i="22" s="1"/>
  <c r="FV30" i="22"/>
  <c r="FV27" i="22" s="1"/>
  <c r="FW29" i="22" s="1"/>
  <c r="FW28" i="22" l="1"/>
  <c r="FW30" i="22" s="1"/>
  <c r="FW27" i="22" s="1"/>
  <c r="FX28" i="22" s="1"/>
  <c r="FP15" i="22"/>
  <c r="FP16" i="22"/>
  <c r="FX29" i="22" l="1"/>
  <c r="FX30" i="22" s="1"/>
  <c r="FX27" i="22" s="1"/>
  <c r="FP17" i="22"/>
  <c r="FP14" i="22" s="1"/>
  <c r="FY28" i="22" l="1"/>
  <c r="FY29" i="22"/>
  <c r="FQ15" i="22"/>
  <c r="FQ16" i="22"/>
  <c r="FY30" i="22" l="1"/>
  <c r="FY27" i="22" s="1"/>
  <c r="FQ17" i="22"/>
  <c r="FQ14" i="22" s="1"/>
  <c r="FZ29" i="22" l="1"/>
  <c r="Q169" i="22" s="1"/>
  <c r="FZ28" i="22"/>
  <c r="FR16" i="22"/>
  <c r="FR15" i="22"/>
  <c r="Q154" i="22" l="1"/>
  <c r="FZ30" i="22"/>
  <c r="FZ27" i="22" s="1"/>
  <c r="B169" i="22"/>
  <c r="FR17" i="22"/>
  <c r="FR14" i="22" s="1"/>
  <c r="O6" i="38" l="1"/>
  <c r="B154" i="22"/>
  <c r="FS16" i="22"/>
  <c r="FS15" i="22"/>
  <c r="M6" i="38" l="1"/>
  <c r="FS17" i="22"/>
  <c r="FS14" i="22" s="1"/>
  <c r="FT16" i="22" l="1"/>
  <c r="FT15" i="22"/>
  <c r="FT17" i="22" l="1"/>
  <c r="FT14" i="22" s="1"/>
  <c r="FU16" i="22" s="1"/>
  <c r="FU15" i="22" l="1"/>
  <c r="FU17" i="22" s="1"/>
  <c r="FU14" i="22" s="1"/>
  <c r="FV16" i="22" s="1"/>
  <c r="FV15" i="22" l="1"/>
  <c r="FV17" i="22" s="1"/>
  <c r="FV14" i="22" s="1"/>
  <c r="FW16" i="22" l="1"/>
  <c r="FW15" i="22"/>
  <c r="FW17" i="22" l="1"/>
  <c r="FW14" i="22" s="1"/>
  <c r="FX16" i="22" s="1"/>
  <c r="FX15" i="22" l="1"/>
  <c r="FX17" i="22" s="1"/>
  <c r="FX14" i="22" s="1"/>
  <c r="FY15" i="22" s="1"/>
  <c r="FY16" i="22" l="1"/>
  <c r="FY17" i="22" s="1"/>
  <c r="FY14" i="22" s="1"/>
  <c r="FZ15" i="22" s="1"/>
  <c r="Q153" i="22" l="1"/>
  <c r="B153" i="22" s="1"/>
  <c r="FZ16" i="22"/>
  <c r="Q168" i="22" s="1"/>
  <c r="I20" i="19"/>
  <c r="I24" i="19" s="1"/>
  <c r="I7" i="19"/>
  <c r="B52" i="19" s="1"/>
  <c r="C52" i="19" s="1"/>
  <c r="D52" i="19" s="1"/>
  <c r="E52" i="19" s="1"/>
  <c r="F52" i="19" s="1"/>
  <c r="G52" i="19" s="1"/>
  <c r="H52" i="19" s="1"/>
  <c r="I52" i="19" s="1"/>
  <c r="J52" i="19" s="1"/>
  <c r="K52" i="19" s="1"/>
  <c r="I11" i="19"/>
  <c r="B56" i="19" s="1"/>
  <c r="C56" i="19" s="1"/>
  <c r="D56" i="19" s="1"/>
  <c r="E56" i="19" s="1"/>
  <c r="F56" i="19" s="1"/>
  <c r="G56" i="19" s="1"/>
  <c r="H56" i="19" s="1"/>
  <c r="I56" i="19" s="1"/>
  <c r="J56" i="19" s="1"/>
  <c r="K56" i="19" s="1"/>
  <c r="I9" i="19"/>
  <c r="B54" i="19" s="1"/>
  <c r="C54" i="19" s="1"/>
  <c r="D54" i="19" s="1"/>
  <c r="E54" i="19" s="1"/>
  <c r="F54" i="19" s="1"/>
  <c r="G54" i="19" s="1"/>
  <c r="H54" i="19" s="1"/>
  <c r="I54" i="19" s="1"/>
  <c r="J54" i="19" s="1"/>
  <c r="K54" i="19" s="1"/>
  <c r="I8" i="19"/>
  <c r="B53" i="19" s="1"/>
  <c r="C53" i="19" s="1"/>
  <c r="D53" i="19" s="1"/>
  <c r="E53" i="19" s="1"/>
  <c r="F53" i="19" s="1"/>
  <c r="G53" i="19" s="1"/>
  <c r="H53" i="19" s="1"/>
  <c r="I53" i="19" s="1"/>
  <c r="J53" i="19" s="1"/>
  <c r="K53" i="19" s="1"/>
  <c r="I10" i="19"/>
  <c r="B55" i="19" s="1"/>
  <c r="C55" i="19" s="1"/>
  <c r="D55" i="19" s="1"/>
  <c r="E55" i="19" s="1"/>
  <c r="F55" i="19" s="1"/>
  <c r="G55" i="19" s="1"/>
  <c r="H55" i="19" s="1"/>
  <c r="I55" i="19" s="1"/>
  <c r="J55" i="19" s="1"/>
  <c r="K55" i="19" s="1"/>
  <c r="I6" i="19"/>
  <c r="B51" i="19" s="1"/>
  <c r="C51" i="19" s="1"/>
  <c r="D51" i="19" s="1"/>
  <c r="E51" i="19" s="1"/>
  <c r="F51" i="19" s="1"/>
  <c r="G51" i="19" s="1"/>
  <c r="H51" i="19" s="1"/>
  <c r="I51" i="19" s="1"/>
  <c r="J51" i="19" s="1"/>
  <c r="K51" i="19" s="1"/>
  <c r="M5" i="38" l="1"/>
  <c r="C248" i="4"/>
  <c r="C228" i="4"/>
  <c r="C208" i="4"/>
  <c r="C227" i="4"/>
  <c r="C207" i="4"/>
  <c r="C247" i="4"/>
  <c r="C225" i="4"/>
  <c r="C205" i="4"/>
  <c r="C245" i="4"/>
  <c r="C224" i="4"/>
  <c r="C204" i="4"/>
  <c r="C244" i="4"/>
  <c r="C182" i="4"/>
  <c r="C246" i="4"/>
  <c r="C226" i="4"/>
  <c r="C206" i="4"/>
  <c r="FZ17" i="22"/>
  <c r="FZ14" i="22" s="1"/>
  <c r="B168" i="22"/>
  <c r="C184" i="4"/>
  <c r="C186" i="4"/>
  <c r="C185" i="4"/>
  <c r="C183" i="4"/>
  <c r="I25" i="19"/>
  <c r="I21" i="19"/>
  <c r="I22" i="19"/>
  <c r="I23" i="19"/>
  <c r="O5" i="38" l="1"/>
  <c r="D246" i="4"/>
  <c r="D206" i="4"/>
  <c r="D226" i="4"/>
  <c r="D224" i="4"/>
  <c r="D204" i="4"/>
  <c r="D244" i="4"/>
  <c r="D182" i="4"/>
  <c r="C249" i="4"/>
  <c r="D245" i="4"/>
  <c r="D205" i="4"/>
  <c r="D225" i="4"/>
  <c r="D207" i="4"/>
  <c r="D227" i="4"/>
  <c r="D247" i="4"/>
  <c r="D248" i="4"/>
  <c r="D208" i="4"/>
  <c r="D228" i="4"/>
  <c r="C187" i="4"/>
  <c r="D183" i="4"/>
  <c r="D185" i="4"/>
  <c r="D186" i="4"/>
  <c r="C229" i="4"/>
  <c r="D184" i="4"/>
  <c r="C209" i="4"/>
  <c r="E227" i="4" l="1"/>
  <c r="E247" i="4"/>
  <c r="E207" i="4"/>
  <c r="E204" i="4"/>
  <c r="E224" i="4"/>
  <c r="E244" i="4"/>
  <c r="E182" i="4"/>
  <c r="E206" i="4"/>
  <c r="E226" i="4"/>
  <c r="E246" i="4"/>
  <c r="D249" i="4"/>
  <c r="E208" i="4"/>
  <c r="E228" i="4"/>
  <c r="E248" i="4"/>
  <c r="E225" i="4"/>
  <c r="E245" i="4"/>
  <c r="E205" i="4"/>
  <c r="C259" i="4"/>
  <c r="C30" i="14"/>
  <c r="C28" i="14"/>
  <c r="C219" i="4"/>
  <c r="C199" i="4"/>
  <c r="C27" i="14"/>
  <c r="C239" i="4"/>
  <c r="C29" i="14"/>
  <c r="D209" i="4"/>
  <c r="E186" i="4"/>
  <c r="E183" i="4"/>
  <c r="D187" i="4"/>
  <c r="E184" i="4"/>
  <c r="E185" i="4"/>
  <c r="D229" i="4"/>
  <c r="C261" i="4" l="1"/>
  <c r="F224" i="4"/>
  <c r="F204" i="4"/>
  <c r="F244" i="4"/>
  <c r="F182" i="4"/>
  <c r="E249" i="4"/>
  <c r="F205" i="4"/>
  <c r="F225" i="4"/>
  <c r="F245" i="4"/>
  <c r="F228" i="4"/>
  <c r="F248" i="4"/>
  <c r="F208" i="4"/>
  <c r="D30" i="14"/>
  <c r="D259" i="4"/>
  <c r="F226" i="4"/>
  <c r="F246" i="4"/>
  <c r="F206" i="4"/>
  <c r="F247" i="4"/>
  <c r="F207" i="4"/>
  <c r="F227" i="4"/>
  <c r="C26" i="14"/>
  <c r="C41" i="14" s="1"/>
  <c r="D239" i="4"/>
  <c r="D29" i="14"/>
  <c r="D219" i="4"/>
  <c r="D28" i="14"/>
  <c r="D199" i="4"/>
  <c r="D27" i="14"/>
  <c r="E187" i="4"/>
  <c r="E209" i="4"/>
  <c r="E229" i="4"/>
  <c r="F185" i="4"/>
  <c r="F184" i="4"/>
  <c r="F183" i="4"/>
  <c r="F186" i="4"/>
  <c r="C44" i="14" l="1"/>
  <c r="D261" i="4"/>
  <c r="D26" i="14"/>
  <c r="D41" i="14" s="1"/>
  <c r="G245" i="4"/>
  <c r="G205" i="4"/>
  <c r="G225" i="4"/>
  <c r="G244" i="4"/>
  <c r="G182" i="4"/>
  <c r="G204" i="4"/>
  <c r="G224" i="4"/>
  <c r="G227" i="4"/>
  <c r="G247" i="4"/>
  <c r="G207" i="4"/>
  <c r="G206" i="4"/>
  <c r="G226" i="4"/>
  <c r="G246" i="4"/>
  <c r="G248" i="4"/>
  <c r="G208" i="4"/>
  <c r="G228" i="4"/>
  <c r="E30" i="14"/>
  <c r="E259" i="4"/>
  <c r="F249" i="4"/>
  <c r="E199" i="4"/>
  <c r="E27" i="14"/>
  <c r="E219" i="4"/>
  <c r="E28" i="14"/>
  <c r="E239" i="4"/>
  <c r="E29" i="14"/>
  <c r="D15" i="13"/>
  <c r="D18" i="13" s="1"/>
  <c r="D20" i="13" s="1"/>
  <c r="B31" i="21"/>
  <c r="B54" i="21" s="1"/>
  <c r="B71" i="21" s="1"/>
  <c r="G183" i="4"/>
  <c r="G184" i="4"/>
  <c r="F229" i="4"/>
  <c r="G186" i="4"/>
  <c r="G185" i="4"/>
  <c r="F187" i="4"/>
  <c r="F209" i="4"/>
  <c r="C31" i="21" l="1"/>
  <c r="C54" i="21" s="1"/>
  <c r="C50" i="14"/>
  <c r="E261" i="4"/>
  <c r="F30" i="14"/>
  <c r="F259" i="4"/>
  <c r="H205" i="4"/>
  <c r="H225" i="4"/>
  <c r="H245" i="4"/>
  <c r="H228" i="4"/>
  <c r="H248" i="4"/>
  <c r="H208" i="4"/>
  <c r="H226" i="4"/>
  <c r="H246" i="4"/>
  <c r="H206" i="4"/>
  <c r="H247" i="4"/>
  <c r="H207" i="4"/>
  <c r="H227" i="4"/>
  <c r="H224" i="4"/>
  <c r="H204" i="4"/>
  <c r="H244" i="4"/>
  <c r="H182" i="4"/>
  <c r="G249" i="4"/>
  <c r="F219" i="4"/>
  <c r="F28" i="14"/>
  <c r="F199" i="4"/>
  <c r="F27" i="14"/>
  <c r="F239" i="4"/>
  <c r="F29" i="14"/>
  <c r="E26" i="14"/>
  <c r="E41" i="14" s="1"/>
  <c r="E15" i="13"/>
  <c r="E18" i="13" s="1"/>
  <c r="H184" i="4"/>
  <c r="G187" i="4"/>
  <c r="H185" i="4"/>
  <c r="H186" i="4"/>
  <c r="H183" i="4"/>
  <c r="G229" i="4"/>
  <c r="G209" i="4"/>
  <c r="D31" i="21" l="1"/>
  <c r="D54" i="21" s="1"/>
  <c r="B35" i="21"/>
  <c r="B58" i="21" s="1"/>
  <c r="E32" i="13"/>
  <c r="C51" i="14"/>
  <c r="F261" i="4"/>
  <c r="D38" i="13"/>
  <c r="D42" i="13" s="1"/>
  <c r="E40" i="13" s="1"/>
  <c r="H249" i="4"/>
  <c r="H30" i="14" s="1"/>
  <c r="I204" i="4"/>
  <c r="I224" i="4"/>
  <c r="I244" i="4"/>
  <c r="I182" i="4"/>
  <c r="G30" i="14"/>
  <c r="G259" i="4"/>
  <c r="I227" i="4"/>
  <c r="I247" i="4"/>
  <c r="I207" i="4"/>
  <c r="I206" i="4"/>
  <c r="I226" i="4"/>
  <c r="I246" i="4"/>
  <c r="I208" i="4"/>
  <c r="I228" i="4"/>
  <c r="I248" i="4"/>
  <c r="I225" i="4"/>
  <c r="I245" i="4"/>
  <c r="I205" i="4"/>
  <c r="G219" i="4"/>
  <c r="G28" i="14"/>
  <c r="G239" i="4"/>
  <c r="G29" i="14"/>
  <c r="G199" i="4"/>
  <c r="G27" i="14"/>
  <c r="F26" i="14"/>
  <c r="F41" i="14" s="1"/>
  <c r="F15" i="13"/>
  <c r="F18" i="13" s="1"/>
  <c r="I183" i="4"/>
  <c r="I185" i="4"/>
  <c r="H209" i="4"/>
  <c r="H229" i="4"/>
  <c r="I186" i="4"/>
  <c r="I184" i="4"/>
  <c r="H187" i="4"/>
  <c r="E31" i="21" l="1"/>
  <c r="D11" i="15"/>
  <c r="B36" i="21"/>
  <c r="B59" i="21" s="1"/>
  <c r="B72" i="21" s="1"/>
  <c r="C46" i="14"/>
  <c r="E33" i="13"/>
  <c r="G261" i="4"/>
  <c r="H259" i="4"/>
  <c r="G26" i="14"/>
  <c r="G41" i="14" s="1"/>
  <c r="J205" i="4"/>
  <c r="J225" i="4"/>
  <c r="J245" i="4"/>
  <c r="J228" i="4"/>
  <c r="J248" i="4"/>
  <c r="J208" i="4"/>
  <c r="J247" i="4"/>
  <c r="J207" i="4"/>
  <c r="J227" i="4"/>
  <c r="J224" i="4"/>
  <c r="J204" i="4"/>
  <c r="J244" i="4"/>
  <c r="J182" i="4"/>
  <c r="J226" i="4"/>
  <c r="J246" i="4"/>
  <c r="J206" i="4"/>
  <c r="I249" i="4"/>
  <c r="H219" i="4"/>
  <c r="H28" i="14"/>
  <c r="H199" i="4"/>
  <c r="H27" i="14"/>
  <c r="H239" i="4"/>
  <c r="H29" i="14"/>
  <c r="I187" i="4"/>
  <c r="I27" i="14" s="1"/>
  <c r="I209" i="4"/>
  <c r="I229" i="4"/>
  <c r="I29" i="14" s="1"/>
  <c r="J184" i="4"/>
  <c r="J186" i="4"/>
  <c r="G15" i="13"/>
  <c r="G18" i="13" s="1"/>
  <c r="J185" i="4"/>
  <c r="J183" i="4"/>
  <c r="F31" i="21" l="1"/>
  <c r="D14" i="15"/>
  <c r="C53" i="14"/>
  <c r="H261" i="4"/>
  <c r="K206" i="4"/>
  <c r="K226" i="4"/>
  <c r="K246" i="4"/>
  <c r="K204" i="4"/>
  <c r="K224" i="4"/>
  <c r="K244" i="4"/>
  <c r="K182" i="4"/>
  <c r="J249" i="4"/>
  <c r="I30" i="14"/>
  <c r="I259" i="4"/>
  <c r="K227" i="4"/>
  <c r="K247" i="4"/>
  <c r="K207" i="4"/>
  <c r="K208" i="4"/>
  <c r="K228" i="4"/>
  <c r="K248" i="4"/>
  <c r="K225" i="4"/>
  <c r="K245" i="4"/>
  <c r="K205" i="4"/>
  <c r="I219" i="4"/>
  <c r="I28" i="14"/>
  <c r="H26" i="14"/>
  <c r="H41" i="14" s="1"/>
  <c r="I239" i="4"/>
  <c r="I199" i="4"/>
  <c r="K183" i="4"/>
  <c r="H15" i="13"/>
  <c r="H18" i="13" s="1"/>
  <c r="E54" i="21"/>
  <c r="K186" i="4"/>
  <c r="K184" i="4"/>
  <c r="J187" i="4"/>
  <c r="J229" i="4"/>
  <c r="K185" i="4"/>
  <c r="J209" i="4"/>
  <c r="G31" i="21" l="1"/>
  <c r="B40" i="21"/>
  <c r="I261" i="4"/>
  <c r="I26" i="14"/>
  <c r="I41" i="14" s="1"/>
  <c r="L248" i="4"/>
  <c r="L208" i="4"/>
  <c r="L228" i="4"/>
  <c r="L244" i="4"/>
  <c r="L182" i="4"/>
  <c r="L224" i="4"/>
  <c r="L204" i="4"/>
  <c r="L205" i="4"/>
  <c r="L225" i="4"/>
  <c r="L245" i="4"/>
  <c r="L207" i="4"/>
  <c r="L227" i="4"/>
  <c r="L247" i="4"/>
  <c r="J30" i="14"/>
  <c r="J259" i="4"/>
  <c r="L226" i="4"/>
  <c r="L246" i="4"/>
  <c r="L206" i="4"/>
  <c r="K249" i="4"/>
  <c r="J239" i="4"/>
  <c r="J29" i="14"/>
  <c r="J219" i="4"/>
  <c r="J28" i="14"/>
  <c r="J199" i="4"/>
  <c r="J27" i="14"/>
  <c r="K187" i="4"/>
  <c r="K209" i="4"/>
  <c r="K28" i="14" s="1"/>
  <c r="I15" i="13"/>
  <c r="I18" i="13" s="1"/>
  <c r="L184" i="4"/>
  <c r="L186" i="4"/>
  <c r="F54" i="21"/>
  <c r="K229" i="4"/>
  <c r="L185" i="4"/>
  <c r="L183" i="4"/>
  <c r="H31" i="21" l="1"/>
  <c r="B63" i="21"/>
  <c r="B42" i="21"/>
  <c r="J261" i="4"/>
  <c r="H54" i="21"/>
  <c r="J26" i="14"/>
  <c r="J41" i="14" s="1"/>
  <c r="K30" i="14"/>
  <c r="K259" i="4"/>
  <c r="L249" i="4"/>
  <c r="K199" i="4"/>
  <c r="K27" i="14"/>
  <c r="K239" i="4"/>
  <c r="K29" i="14"/>
  <c r="J15" i="13"/>
  <c r="J18" i="13" s="1"/>
  <c r="K219" i="4"/>
  <c r="G54" i="21"/>
  <c r="L187" i="4"/>
  <c r="L229" i="4"/>
  <c r="L209" i="4"/>
  <c r="I31" i="21" l="1"/>
  <c r="B73" i="21"/>
  <c r="B65" i="21"/>
  <c r="K261" i="4"/>
  <c r="L30" i="14"/>
  <c r="L259" i="4"/>
  <c r="L219" i="4"/>
  <c r="L28" i="14"/>
  <c r="L199" i="4"/>
  <c r="L27" i="14"/>
  <c r="L239" i="4"/>
  <c r="L29" i="14"/>
  <c r="K26" i="14"/>
  <c r="K41" i="14" s="1"/>
  <c r="K15" i="13"/>
  <c r="K18" i="13" s="1"/>
  <c r="J31" i="21" l="1"/>
  <c r="J54" i="21" s="1"/>
  <c r="B80" i="21"/>
  <c r="B77" i="21"/>
  <c r="L261" i="4"/>
  <c r="L26" i="14"/>
  <c r="L41" i="14" s="1"/>
  <c r="L15" i="13"/>
  <c r="L18" i="13" s="1"/>
  <c r="I54" i="21"/>
  <c r="K31" i="21" l="1"/>
  <c r="K54" i="21" s="1"/>
  <c r="C72" i="21"/>
  <c r="C69" i="21"/>
  <c r="C70" i="21"/>
  <c r="C71" i="21"/>
  <c r="C77" i="21"/>
  <c r="C74" i="21"/>
  <c r="C73" i="21"/>
  <c r="F9" i="38"/>
  <c r="R9" i="38" s="1"/>
  <c r="R14" i="38" s="1"/>
  <c r="B82" i="21"/>
  <c r="C80" i="21" s="1"/>
  <c r="C82" i="21" s="1"/>
  <c r="M15" i="13"/>
  <c r="M18" i="13" s="1"/>
  <c r="E68" i="18" l="1"/>
  <c r="I11" i="31" l="1"/>
  <c r="I13" i="31" s="1"/>
  <c r="I15" i="31" s="1"/>
  <c r="I17" i="31" s="1"/>
  <c r="B86" i="22"/>
  <c r="B89" i="22" s="1"/>
  <c r="E11" i="31"/>
  <c r="E13" i="31" s="1"/>
  <c r="E15" i="31" s="1"/>
  <c r="E17" i="31" s="1"/>
  <c r="B34" i="22"/>
  <c r="B40" i="22" s="1"/>
  <c r="Z40" i="22" s="1"/>
  <c r="AA42" i="22" s="1"/>
  <c r="F68" i="18"/>
  <c r="E18" i="31" l="1"/>
  <c r="E20" i="31" s="1"/>
  <c r="F24" i="13" s="1"/>
  <c r="F25" i="13" s="1"/>
  <c r="B92" i="22"/>
  <c r="BV92" i="22" s="1"/>
  <c r="BW94" i="22" s="1"/>
  <c r="F11" i="31"/>
  <c r="F13" i="31" s="1"/>
  <c r="F15" i="31" s="1"/>
  <c r="F17" i="31" s="1"/>
  <c r="B47" i="22"/>
  <c r="B50" i="22" s="1"/>
  <c r="B37" i="22"/>
  <c r="AA41" i="22" s="1"/>
  <c r="AA43" i="22" s="1"/>
  <c r="G68" i="18"/>
  <c r="D70" i="18"/>
  <c r="F8" i="34" s="1"/>
  <c r="E23" i="31" l="1"/>
  <c r="F18" i="31"/>
  <c r="F20" i="31" s="1"/>
  <c r="G24" i="13" s="1"/>
  <c r="G25" i="13" s="1"/>
  <c r="BW93" i="22"/>
  <c r="BW95" i="22" s="1"/>
  <c r="B53" i="22"/>
  <c r="AL53" i="22" s="1"/>
  <c r="AM54" i="22" s="1"/>
  <c r="B60" i="22"/>
  <c r="B63" i="22" s="1"/>
  <c r="G11" i="31"/>
  <c r="G13" i="31" s="1"/>
  <c r="G15" i="31" s="1"/>
  <c r="G17" i="31" s="1"/>
  <c r="G18" i="31" s="1"/>
  <c r="H68" i="18"/>
  <c r="D58" i="14"/>
  <c r="C53" i="21"/>
  <c r="D44" i="14"/>
  <c r="E20" i="13"/>
  <c r="F9" i="34"/>
  <c r="F10" i="34" s="1"/>
  <c r="F16" i="34" s="1"/>
  <c r="F15" i="34"/>
  <c r="AA40" i="22"/>
  <c r="F58" i="14"/>
  <c r="F23" i="31" l="1"/>
  <c r="G20" i="31"/>
  <c r="H24" i="13" s="1"/>
  <c r="H25" i="13" s="1"/>
  <c r="AM55" i="22"/>
  <c r="AM56" i="22" s="1"/>
  <c r="B66" i="22"/>
  <c r="AX66" i="22" s="1"/>
  <c r="AY68" i="22" s="1"/>
  <c r="H11" i="31"/>
  <c r="H13" i="31" s="1"/>
  <c r="H15" i="31" s="1"/>
  <c r="H17" i="31" s="1"/>
  <c r="B73" i="22"/>
  <c r="B76" i="22" s="1"/>
  <c r="E53" i="21"/>
  <c r="AB41" i="22"/>
  <c r="AB42" i="22"/>
  <c r="F44" i="14"/>
  <c r="G20" i="13"/>
  <c r="E70" i="18"/>
  <c r="G8" i="34" s="1"/>
  <c r="BW92" i="22"/>
  <c r="I68" i="18"/>
  <c r="F19" i="34"/>
  <c r="G23" i="31" l="1"/>
  <c r="AY67" i="22"/>
  <c r="AY69" i="22" s="1"/>
  <c r="H18" i="31"/>
  <c r="H20" i="31" s="1"/>
  <c r="I24" i="13" s="1"/>
  <c r="I25" i="13" s="1"/>
  <c r="I18" i="31"/>
  <c r="B79" i="22"/>
  <c r="BJ79" i="22" s="1"/>
  <c r="BK80" i="22" s="1"/>
  <c r="E58" i="14"/>
  <c r="F70" i="18"/>
  <c r="H8" i="34" s="1"/>
  <c r="AB43" i="22"/>
  <c r="D53" i="21"/>
  <c r="D49" i="14"/>
  <c r="E31" i="13"/>
  <c r="E34" i="13" s="1"/>
  <c r="E36" i="13" s="1"/>
  <c r="E38" i="13" s="1"/>
  <c r="AM53" i="22"/>
  <c r="BX93" i="22"/>
  <c r="BX94" i="22"/>
  <c r="G9" i="34"/>
  <c r="G10" i="34" s="1"/>
  <c r="G16" i="34" s="1"/>
  <c r="G15" i="34"/>
  <c r="H58" i="14"/>
  <c r="E44" i="14"/>
  <c r="F20" i="13"/>
  <c r="H23" i="31" l="1"/>
  <c r="I20" i="31"/>
  <c r="J24" i="13" s="1"/>
  <c r="J25" i="13" s="1"/>
  <c r="BK81" i="22"/>
  <c r="BK82" i="22" s="1"/>
  <c r="G19" i="34"/>
  <c r="E49" i="14" s="1"/>
  <c r="D37" i="21" s="1"/>
  <c r="D60" i="21" s="1"/>
  <c r="G70" i="18"/>
  <c r="I8" i="34" s="1"/>
  <c r="I20" i="13"/>
  <c r="H44" i="14"/>
  <c r="G53" i="21"/>
  <c r="BX95" i="22"/>
  <c r="AY66" i="22"/>
  <c r="AN55" i="22"/>
  <c r="AN54" i="22"/>
  <c r="C37" i="21"/>
  <c r="C60" i="21" s="1"/>
  <c r="D50" i="14"/>
  <c r="AB40" i="22"/>
  <c r="H15" i="34"/>
  <c r="H9" i="34"/>
  <c r="H10" i="34" s="1"/>
  <c r="H16" i="34" s="1"/>
  <c r="E11" i="15"/>
  <c r="E42" i="13"/>
  <c r="F40" i="13" s="1"/>
  <c r="I23" i="31" l="1"/>
  <c r="F31" i="13"/>
  <c r="E14" i="15"/>
  <c r="G58" i="14"/>
  <c r="F53" i="21"/>
  <c r="H70" i="18"/>
  <c r="J8" i="34" s="1"/>
  <c r="H19" i="34"/>
  <c r="G44" i="14"/>
  <c r="H20" i="13"/>
  <c r="AC42" i="22"/>
  <c r="AC41" i="22"/>
  <c r="C35" i="21"/>
  <c r="F32" i="13"/>
  <c r="D51" i="14"/>
  <c r="AN56" i="22"/>
  <c r="AZ67" i="22"/>
  <c r="AZ68" i="22"/>
  <c r="BX92" i="22"/>
  <c r="BK79" i="22"/>
  <c r="I9" i="34"/>
  <c r="I10" i="34" s="1"/>
  <c r="I16" i="34" s="1"/>
  <c r="I15" i="34"/>
  <c r="AN53" i="22" l="1"/>
  <c r="BL81" i="22"/>
  <c r="BL80" i="22"/>
  <c r="BY93" i="22"/>
  <c r="BY94" i="22"/>
  <c r="AZ69" i="22"/>
  <c r="F33" i="13"/>
  <c r="C36" i="21"/>
  <c r="C59" i="21" s="1"/>
  <c r="D46" i="14"/>
  <c r="C58" i="21"/>
  <c r="AC43" i="22"/>
  <c r="F49" i="14"/>
  <c r="G31" i="13"/>
  <c r="J9" i="34"/>
  <c r="J10" i="34" s="1"/>
  <c r="J16" i="34" s="1"/>
  <c r="J15" i="34"/>
  <c r="I19" i="34"/>
  <c r="D53" i="14" l="1"/>
  <c r="E37" i="21"/>
  <c r="E60" i="21" s="1"/>
  <c r="J19" i="34"/>
  <c r="I31" i="13" s="1"/>
  <c r="H31" i="13"/>
  <c r="G49" i="14"/>
  <c r="F37" i="21" s="1"/>
  <c r="F60" i="21" s="1"/>
  <c r="AC40" i="22"/>
  <c r="BY95" i="22"/>
  <c r="BL82" i="22"/>
  <c r="AZ66" i="22"/>
  <c r="AO55" i="22"/>
  <c r="AO54" i="22"/>
  <c r="C40" i="21" l="1"/>
  <c r="C63" i="21" s="1"/>
  <c r="C65" i="21" s="1"/>
  <c r="H49" i="14"/>
  <c r="G37" i="21" s="1"/>
  <c r="G60" i="21" s="1"/>
  <c r="BY92" i="22"/>
  <c r="AO56" i="22"/>
  <c r="BA68" i="22"/>
  <c r="BA67" i="22"/>
  <c r="BL79" i="22"/>
  <c r="AD41" i="22"/>
  <c r="AD42" i="22"/>
  <c r="C42" i="21" l="1"/>
  <c r="BA69" i="22"/>
  <c r="BM81" i="22"/>
  <c r="BM80" i="22"/>
  <c r="AD43" i="22"/>
  <c r="AO53" i="22"/>
  <c r="BZ94" i="22"/>
  <c r="BZ93" i="22"/>
  <c r="BA66" i="22" l="1"/>
  <c r="BZ95" i="22"/>
  <c r="AP55" i="22"/>
  <c r="AP54" i="22"/>
  <c r="AD40" i="22"/>
  <c r="BM82" i="22"/>
  <c r="BM79" i="22" l="1"/>
  <c r="BB68" i="22"/>
  <c r="BB67" i="22"/>
  <c r="AE42" i="22"/>
  <c r="AE41" i="22"/>
  <c r="AP56" i="22"/>
  <c r="BZ92" i="22"/>
  <c r="BB69" i="22" l="1"/>
  <c r="CA94" i="22"/>
  <c r="CA93" i="22"/>
  <c r="AP53" i="22"/>
  <c r="AE43" i="22"/>
  <c r="BN81" i="22"/>
  <c r="BN80" i="22"/>
  <c r="BN82" i="22" l="1"/>
  <c r="AE40" i="22"/>
  <c r="AQ55" i="22"/>
  <c r="AQ54" i="22"/>
  <c r="CA95" i="22"/>
  <c r="BB66" i="22"/>
  <c r="BN79" i="22" l="1"/>
  <c r="BC67" i="22"/>
  <c r="BC68" i="22"/>
  <c r="CA92" i="22"/>
  <c r="AQ56" i="22"/>
  <c r="AF41" i="22"/>
  <c r="AF42" i="22"/>
  <c r="CB94" i="22" l="1"/>
  <c r="CB93" i="22"/>
  <c r="BC69" i="22"/>
  <c r="AF43" i="22"/>
  <c r="AF40" i="22" s="1"/>
  <c r="AQ53" i="22"/>
  <c r="BO81" i="22"/>
  <c r="BO80" i="22"/>
  <c r="BO82" i="22" l="1"/>
  <c r="AR54" i="22"/>
  <c r="AR55" i="22"/>
  <c r="AG42" i="22"/>
  <c r="AG41" i="22"/>
  <c r="BC66" i="22"/>
  <c r="CB95" i="22"/>
  <c r="CB92" i="22" s="1"/>
  <c r="AG43" i="22" l="1"/>
  <c r="AG40" i="22" s="1"/>
  <c r="AH41" i="22" s="1"/>
  <c r="CC94" i="22"/>
  <c r="CC93" i="22"/>
  <c r="BO79" i="22"/>
  <c r="BD67" i="22"/>
  <c r="BD68" i="22"/>
  <c r="AR56" i="22"/>
  <c r="AR53" i="22" s="1"/>
  <c r="AH42" i="22" l="1"/>
  <c r="AH43" i="22" s="1"/>
  <c r="AH40" i="22" s="1"/>
  <c r="BD69" i="22"/>
  <c r="BD66" i="22" s="1"/>
  <c r="BE67" i="22" s="1"/>
  <c r="CC95" i="22"/>
  <c r="CC92" i="22" s="1"/>
  <c r="CD93" i="22" s="1"/>
  <c r="BP80" i="22"/>
  <c r="BP81" i="22"/>
  <c r="AS55" i="22"/>
  <c r="AS54" i="22"/>
  <c r="BE68" i="22" l="1"/>
  <c r="BE69" i="22" s="1"/>
  <c r="BE66" i="22" s="1"/>
  <c r="BF68" i="22" s="1"/>
  <c r="AI41" i="22"/>
  <c r="AI42" i="22"/>
  <c r="CD94" i="22"/>
  <c r="CD95" i="22" s="1"/>
  <c r="CD92" i="22" s="1"/>
  <c r="AS56" i="22"/>
  <c r="AS53" i="22" s="1"/>
  <c r="AT55" i="22" s="1"/>
  <c r="BP82" i="22"/>
  <c r="BP79" i="22" s="1"/>
  <c r="AI43" i="22" l="1"/>
  <c r="AI40" i="22" s="1"/>
  <c r="AJ42" i="22" s="1"/>
  <c r="AT54" i="22"/>
  <c r="AT56" i="22" s="1"/>
  <c r="AT53" i="22" s="1"/>
  <c r="AU55" i="22" s="1"/>
  <c r="BF67" i="22"/>
  <c r="BF69" i="22" s="1"/>
  <c r="BF66" i="22" s="1"/>
  <c r="BQ81" i="22"/>
  <c r="BQ80" i="22"/>
  <c r="CE93" i="22"/>
  <c r="CE94" i="22"/>
  <c r="AJ41" i="22" l="1"/>
  <c r="AJ43" i="22" s="1"/>
  <c r="AJ40" i="22" s="1"/>
  <c r="AK42" i="22" s="1"/>
  <c r="AU54" i="22"/>
  <c r="AU56" i="22" s="1"/>
  <c r="AU53" i="22" s="1"/>
  <c r="BG67" i="22"/>
  <c r="BG68" i="22"/>
  <c r="BQ82" i="22"/>
  <c r="BQ79" i="22" s="1"/>
  <c r="BR81" i="22" s="1"/>
  <c r="CE95" i="22"/>
  <c r="CE92" i="22" s="1"/>
  <c r="AK41" i="22" l="1"/>
  <c r="AK43" i="22" s="1"/>
  <c r="AK40" i="22" s="1"/>
  <c r="AL42" i="22" s="1"/>
  <c r="E170" i="22" s="1"/>
  <c r="AV54" i="22"/>
  <c r="AV55" i="22"/>
  <c r="BG69" i="22"/>
  <c r="BG66" i="22" s="1"/>
  <c r="BH68" i="22" s="1"/>
  <c r="BR80" i="22"/>
  <c r="BR82" i="22" s="1"/>
  <c r="BR79" i="22" s="1"/>
  <c r="BS81" i="22" s="1"/>
  <c r="CF94" i="22"/>
  <c r="CF93" i="22"/>
  <c r="AV56" i="22" l="1"/>
  <c r="AV53" i="22" s="1"/>
  <c r="AW54" i="22" s="1"/>
  <c r="AL41" i="22"/>
  <c r="E155" i="22" s="1"/>
  <c r="BH67" i="22"/>
  <c r="BH69" i="22" s="1"/>
  <c r="BH66" i="22" s="1"/>
  <c r="BI67" i="22" s="1"/>
  <c r="BS80" i="22"/>
  <c r="BS82" i="22" s="1"/>
  <c r="BS79" i="22" s="1"/>
  <c r="CF95" i="22"/>
  <c r="CF92" i="22" s="1"/>
  <c r="CG93" i="22" s="1"/>
  <c r="E179" i="22"/>
  <c r="E180" i="22"/>
  <c r="AL43" i="22" l="1"/>
  <c r="AL40" i="22" s="1"/>
  <c r="AM41" i="22" s="1"/>
  <c r="AW55" i="22"/>
  <c r="AW56" i="22" s="1"/>
  <c r="AW53" i="22" s="1"/>
  <c r="BI68" i="22"/>
  <c r="BI69" i="22" s="1"/>
  <c r="BI66" i="22" s="1"/>
  <c r="CG94" i="22"/>
  <c r="CG95" i="22" s="1"/>
  <c r="CG92" i="22" s="1"/>
  <c r="BT80" i="22"/>
  <c r="BT81" i="22"/>
  <c r="F12" i="15"/>
  <c r="E48" i="14"/>
  <c r="E164" i="22"/>
  <c r="E165" i="22"/>
  <c r="F29" i="13" s="1"/>
  <c r="F34" i="13" s="1"/>
  <c r="F36" i="13" s="1"/>
  <c r="F38" i="13" s="1"/>
  <c r="AM42" i="22" l="1"/>
  <c r="AM43" i="22" s="1"/>
  <c r="AM40" i="22" s="1"/>
  <c r="AX54" i="22"/>
  <c r="AX55" i="22"/>
  <c r="F171" i="22" s="1"/>
  <c r="BJ67" i="22"/>
  <c r="BJ68" i="22"/>
  <c r="G172" i="22" s="1"/>
  <c r="BT82" i="22"/>
  <c r="BT79" i="22" s="1"/>
  <c r="BU80" i="22" s="1"/>
  <c r="F11" i="15"/>
  <c r="F42" i="13"/>
  <c r="G40" i="13" s="1"/>
  <c r="CH94" i="22"/>
  <c r="I174" i="22" s="1"/>
  <c r="CH93" i="22"/>
  <c r="D34" i="21"/>
  <c r="E50" i="14"/>
  <c r="F14" i="15" l="1"/>
  <c r="BU81" i="22"/>
  <c r="BU82" i="22" s="1"/>
  <c r="BU79" i="22" s="1"/>
  <c r="BV81" i="22" s="1"/>
  <c r="H173" i="22" s="1"/>
  <c r="AX56" i="22"/>
  <c r="AX53" i="22" s="1"/>
  <c r="F156" i="22"/>
  <c r="G157" i="22"/>
  <c r="BJ69" i="22"/>
  <c r="BJ66" i="22" s="1"/>
  <c r="G32" i="13"/>
  <c r="D35" i="21"/>
  <c r="D58" i="21" s="1"/>
  <c r="E51" i="14"/>
  <c r="D57" i="21"/>
  <c r="CH95" i="22"/>
  <c r="CH92" i="22" s="1"/>
  <c r="I159" i="22"/>
  <c r="AN42" i="22"/>
  <c r="AN41" i="22"/>
  <c r="E46" i="14" l="1"/>
  <c r="AY54" i="22"/>
  <c r="AY55" i="22"/>
  <c r="BK68" i="22"/>
  <c r="BK67" i="22"/>
  <c r="BV80" i="22"/>
  <c r="H158" i="22" s="1"/>
  <c r="AN43" i="22"/>
  <c r="AN40" i="22" s="1"/>
  <c r="CI93" i="22"/>
  <c r="CI94" i="22"/>
  <c r="G33" i="13"/>
  <c r="D36" i="21"/>
  <c r="E53" i="14" l="1"/>
  <c r="AY56" i="22"/>
  <c r="AY53" i="22" s="1"/>
  <c r="BV82" i="22"/>
  <c r="BV79" i="22" s="1"/>
  <c r="BW81" i="22" s="1"/>
  <c r="BK69" i="22"/>
  <c r="BK66" i="22" s="1"/>
  <c r="D59" i="21"/>
  <c r="CI95" i="22"/>
  <c r="CI92" i="22" s="1"/>
  <c r="AO41" i="22"/>
  <c r="AO42" i="22"/>
  <c r="D40" i="21" l="1"/>
  <c r="BW80" i="22"/>
  <c r="BW82" i="22" s="1"/>
  <c r="BW79" i="22" s="1"/>
  <c r="AZ54" i="22"/>
  <c r="AZ55" i="22"/>
  <c r="BL67" i="22"/>
  <c r="BL68" i="22"/>
  <c r="AO43" i="22"/>
  <c r="AO40" i="22" s="1"/>
  <c r="CJ94" i="22"/>
  <c r="CJ93" i="22"/>
  <c r="D63" i="21" l="1"/>
  <c r="D65" i="21" s="1"/>
  <c r="D42" i="21"/>
  <c r="AZ56" i="22"/>
  <c r="AZ53" i="22" s="1"/>
  <c r="BL69" i="22"/>
  <c r="BL66" i="22" s="1"/>
  <c r="CJ95" i="22"/>
  <c r="CJ92" i="22" s="1"/>
  <c r="BX81" i="22"/>
  <c r="BX80" i="22"/>
  <c r="AP42" i="22"/>
  <c r="AP41" i="22"/>
  <c r="BA54" i="22" l="1"/>
  <c r="BA55" i="22"/>
  <c r="BM67" i="22"/>
  <c r="BM68" i="22"/>
  <c r="AP43" i="22"/>
  <c r="AP40" i="22" s="1"/>
  <c r="CK94" i="22"/>
  <c r="CK93" i="22"/>
  <c r="BX82" i="22"/>
  <c r="BX79" i="22" s="1"/>
  <c r="BA56" i="22" l="1"/>
  <c r="BA53" i="22" s="1"/>
  <c r="BM69" i="22"/>
  <c r="BM66" i="22" s="1"/>
  <c r="BY80" i="22"/>
  <c r="BY81" i="22"/>
  <c r="CK95" i="22"/>
  <c r="CK92" i="22" s="1"/>
  <c r="AQ42" i="22"/>
  <c r="AQ41" i="22"/>
  <c r="BB55" i="22" l="1"/>
  <c r="BB54" i="22"/>
  <c r="BN68" i="22"/>
  <c r="BN67" i="22"/>
  <c r="AQ43" i="22"/>
  <c r="AQ40" i="22" s="1"/>
  <c r="BY82" i="22"/>
  <c r="BY79" i="22" s="1"/>
  <c r="CL94" i="22"/>
  <c r="CL93" i="22"/>
  <c r="BB56" i="22" l="1"/>
  <c r="BB53" i="22" s="1"/>
  <c r="BC55" i="22" s="1"/>
  <c r="BN69" i="22"/>
  <c r="BN66" i="22" s="1"/>
  <c r="CL95" i="22"/>
  <c r="CL92" i="22" s="1"/>
  <c r="BZ81" i="22"/>
  <c r="BZ80" i="22"/>
  <c r="AR42" i="22"/>
  <c r="AR41" i="22"/>
  <c r="BC54" i="22" l="1"/>
  <c r="BC56" i="22" s="1"/>
  <c r="BC53" i="22" s="1"/>
  <c r="BD55" i="22" s="1"/>
  <c r="AR43" i="22"/>
  <c r="AR40" i="22" s="1"/>
  <c r="AS41" i="22" s="1"/>
  <c r="BO68" i="22"/>
  <c r="BO67" i="22"/>
  <c r="BZ82" i="22"/>
  <c r="BZ79" i="22" s="1"/>
  <c r="CM94" i="22"/>
  <c r="CM93" i="22"/>
  <c r="BD54" i="22" l="1"/>
  <c r="BD56" i="22" s="1"/>
  <c r="BD53" i="22" s="1"/>
  <c r="BE54" i="22" s="1"/>
  <c r="AS42" i="22"/>
  <c r="AS43" i="22" s="1"/>
  <c r="AS40" i="22" s="1"/>
  <c r="AT42" i="22" s="1"/>
  <c r="BO69" i="22"/>
  <c r="BO66" i="22" s="1"/>
  <c r="CM95" i="22"/>
  <c r="CM92" i="22" s="1"/>
  <c r="CA81" i="22"/>
  <c r="CA80" i="22"/>
  <c r="AT41" i="22" l="1"/>
  <c r="AT43" i="22" s="1"/>
  <c r="AT40" i="22" s="1"/>
  <c r="BE55" i="22"/>
  <c r="BE56" i="22" s="1"/>
  <c r="BE53" i="22" s="1"/>
  <c r="BF55" i="22" s="1"/>
  <c r="BP67" i="22"/>
  <c r="BP68" i="22"/>
  <c r="CA82" i="22"/>
  <c r="CA79" i="22" s="1"/>
  <c r="CN94" i="22"/>
  <c r="CN93" i="22"/>
  <c r="BP69" i="22" l="1"/>
  <c r="BP66" i="22" s="1"/>
  <c r="BF54" i="22"/>
  <c r="BF56" i="22" s="1"/>
  <c r="BF53" i="22" s="1"/>
  <c r="BG55" i="22" s="1"/>
  <c r="CN95" i="22"/>
  <c r="CN92" i="22" s="1"/>
  <c r="CO94" i="22" s="1"/>
  <c r="AU42" i="22"/>
  <c r="AU41" i="22"/>
  <c r="CB81" i="22"/>
  <c r="CB80" i="22"/>
  <c r="BQ67" i="22" l="1"/>
  <c r="BQ68" i="22"/>
  <c r="BG54" i="22"/>
  <c r="BG56" i="22" s="1"/>
  <c r="BG53" i="22" s="1"/>
  <c r="CO93" i="22"/>
  <c r="CO95" i="22" s="1"/>
  <c r="CO92" i="22" s="1"/>
  <c r="CP93" i="22" s="1"/>
  <c r="CB82" i="22"/>
  <c r="CB79" i="22" s="1"/>
  <c r="AU43" i="22"/>
  <c r="AU40" i="22" s="1"/>
  <c r="BQ69" i="22" l="1"/>
  <c r="BQ66" i="22" s="1"/>
  <c r="BH54" i="22"/>
  <c r="BH55" i="22"/>
  <c r="CP94" i="22"/>
  <c r="CP95" i="22" s="1"/>
  <c r="CP92" i="22" s="1"/>
  <c r="CQ93" i="22" s="1"/>
  <c r="AV41" i="22"/>
  <c r="AV42" i="22"/>
  <c r="CC80" i="22"/>
  <c r="CC81" i="22"/>
  <c r="BR68" i="22" l="1"/>
  <c r="BR67" i="22"/>
  <c r="BH56" i="22"/>
  <c r="BH53" i="22" s="1"/>
  <c r="BI54" i="22" s="1"/>
  <c r="CQ94" i="22"/>
  <c r="CQ95" i="22" s="1"/>
  <c r="CQ92" i="22" s="1"/>
  <c r="CR93" i="22" s="1"/>
  <c r="AV43" i="22"/>
  <c r="AV40" i="22" s="1"/>
  <c r="AW42" i="22" s="1"/>
  <c r="CC82" i="22"/>
  <c r="CC79" i="22" s="1"/>
  <c r="BR69" i="22" l="1"/>
  <c r="BR66" i="22" s="1"/>
  <c r="BS68" i="22" s="1"/>
  <c r="AW41" i="22"/>
  <c r="AW43" i="22" s="1"/>
  <c r="AW40" i="22" s="1"/>
  <c r="BI55" i="22"/>
  <c r="BI56" i="22" s="1"/>
  <c r="BI53" i="22" s="1"/>
  <c r="CR94" i="22"/>
  <c r="CR95" i="22" s="1"/>
  <c r="CR92" i="22" s="1"/>
  <c r="CS94" i="22" s="1"/>
  <c r="CD80" i="22"/>
  <c r="CD81" i="22"/>
  <c r="BS67" i="22" l="1"/>
  <c r="BS69" i="22" s="1"/>
  <c r="BS66" i="22" s="1"/>
  <c r="BT67" i="22" s="1"/>
  <c r="CS93" i="22"/>
  <c r="CS95" i="22" s="1"/>
  <c r="CS92" i="22" s="1"/>
  <c r="CT94" i="22" s="1"/>
  <c r="J174" i="22" s="1"/>
  <c r="AX42" i="22"/>
  <c r="F170" i="22" s="1"/>
  <c r="F180" i="22" s="1"/>
  <c r="AX41" i="22"/>
  <c r="F155" i="22" s="1"/>
  <c r="BJ55" i="22"/>
  <c r="G171" i="22" s="1"/>
  <c r="BJ54" i="22"/>
  <c r="G156" i="22" s="1"/>
  <c r="CD82" i="22"/>
  <c r="CD79" i="22" s="1"/>
  <c r="CE81" i="22" s="1"/>
  <c r="F179" i="22" l="1"/>
  <c r="AX43" i="22"/>
  <c r="AX40" i="22" s="1"/>
  <c r="AY42" i="22" s="1"/>
  <c r="BT68" i="22"/>
  <c r="BT69" i="22" s="1"/>
  <c r="BT66" i="22" s="1"/>
  <c r="CE80" i="22"/>
  <c r="CE82" i="22" s="1"/>
  <c r="CE79" i="22" s="1"/>
  <c r="BJ56" i="22"/>
  <c r="BJ53" i="22" s="1"/>
  <c r="CT93" i="22"/>
  <c r="J159" i="22" s="1"/>
  <c r="F164" i="22"/>
  <c r="F165" i="22"/>
  <c r="G29" i="13" s="1"/>
  <c r="G34" i="13" s="1"/>
  <c r="G36" i="13" s="1"/>
  <c r="G38" i="13" s="1"/>
  <c r="G12" i="15"/>
  <c r="F48" i="14"/>
  <c r="AY41" i="22" l="1"/>
  <c r="AY43" i="22" s="1"/>
  <c r="AY40" i="22" s="1"/>
  <c r="BU67" i="22"/>
  <c r="BU68" i="22"/>
  <c r="BK55" i="22"/>
  <c r="BK54" i="22"/>
  <c r="CT95" i="22"/>
  <c r="CT92" i="22" s="1"/>
  <c r="CU94" i="22" s="1"/>
  <c r="G42" i="13"/>
  <c r="H40" i="13" s="1"/>
  <c r="G11" i="15"/>
  <c r="CF81" i="22"/>
  <c r="CF80" i="22"/>
  <c r="E34" i="21"/>
  <c r="F50" i="14"/>
  <c r="G14" i="15" l="1"/>
  <c r="BU69" i="22"/>
  <c r="BU66" i="22" s="1"/>
  <c r="BV67" i="22" s="1"/>
  <c r="H157" i="22" s="1"/>
  <c r="CU93" i="22"/>
  <c r="CU95" i="22" s="1"/>
  <c r="CU92" i="22" s="1"/>
  <c r="BK56" i="22"/>
  <c r="BK53" i="22" s="1"/>
  <c r="CF82" i="22"/>
  <c r="CF79" i="22" s="1"/>
  <c r="CG81" i="22" s="1"/>
  <c r="E57" i="21"/>
  <c r="AZ42" i="22"/>
  <c r="AZ41" i="22"/>
  <c r="H32" i="13"/>
  <c r="E35" i="21"/>
  <c r="E58" i="21" s="1"/>
  <c r="F51" i="14"/>
  <c r="F46" i="14" l="1"/>
  <c r="BV68" i="22"/>
  <c r="H172" i="22" s="1"/>
  <c r="BL55" i="22"/>
  <c r="BL54" i="22"/>
  <c r="CG80" i="22"/>
  <c r="CG82" i="22" s="1"/>
  <c r="CG79" i="22" s="1"/>
  <c r="CH81" i="22" s="1"/>
  <c r="I173" i="22" s="1"/>
  <c r="AZ43" i="22"/>
  <c r="AZ40" i="22" s="1"/>
  <c r="CV94" i="22"/>
  <c r="CV93" i="22"/>
  <c r="H33" i="13"/>
  <c r="E36" i="21"/>
  <c r="E59" i="21" s="1"/>
  <c r="F53" i="14" l="1"/>
  <c r="BV69" i="22"/>
  <c r="BV66" i="22" s="1"/>
  <c r="BW68" i="22" s="1"/>
  <c r="BL56" i="22"/>
  <c r="BL53" i="22" s="1"/>
  <c r="CH80" i="22"/>
  <c r="CH82" i="22" s="1"/>
  <c r="CH79" i="22" s="1"/>
  <c r="CV95" i="22"/>
  <c r="CV92" i="22" s="1"/>
  <c r="BA42" i="22"/>
  <c r="BA41" i="22"/>
  <c r="E40" i="21" l="1"/>
  <c r="I158" i="22"/>
  <c r="BW67" i="22"/>
  <c r="BW69" i="22" s="1"/>
  <c r="BW66" i="22" s="1"/>
  <c r="BX67" i="22" s="1"/>
  <c r="BM55" i="22"/>
  <c r="BM54" i="22"/>
  <c r="CI80" i="22"/>
  <c r="CI81" i="22"/>
  <c r="BA43" i="22"/>
  <c r="BA40" i="22" s="1"/>
  <c r="CW94" i="22"/>
  <c r="CW93" i="22"/>
  <c r="E63" i="21" l="1"/>
  <c r="E65" i="21" s="1"/>
  <c r="E42" i="21"/>
  <c r="BX68" i="22"/>
  <c r="BX69" i="22" s="1"/>
  <c r="BX66" i="22" s="1"/>
  <c r="BM56" i="22"/>
  <c r="BM53" i="22" s="1"/>
  <c r="CW95" i="22"/>
  <c r="CW92" i="22" s="1"/>
  <c r="BB41" i="22"/>
  <c r="BB42" i="22"/>
  <c r="CI82" i="22"/>
  <c r="CI79" i="22" s="1"/>
  <c r="BY67" i="22" l="1"/>
  <c r="BY68" i="22"/>
  <c r="BN55" i="22"/>
  <c r="BN54" i="22"/>
  <c r="CJ80" i="22"/>
  <c r="CJ81" i="22"/>
  <c r="BB43" i="22"/>
  <c r="BB40" i="22" s="1"/>
  <c r="CX94" i="22"/>
  <c r="CX93" i="22"/>
  <c r="BY69" i="22" l="1"/>
  <c r="BY66" i="22" s="1"/>
  <c r="BN56" i="22"/>
  <c r="BN53" i="22" s="1"/>
  <c r="CX95" i="22"/>
  <c r="CX92" i="22" s="1"/>
  <c r="CJ82" i="22"/>
  <c r="CJ79" i="22" s="1"/>
  <c r="BC41" i="22"/>
  <c r="BC42" i="22"/>
  <c r="BZ68" i="22" l="1"/>
  <c r="BZ67" i="22"/>
  <c r="BO54" i="22"/>
  <c r="BO55" i="22"/>
  <c r="BC43" i="22"/>
  <c r="BC40" i="22" s="1"/>
  <c r="CK81" i="22"/>
  <c r="CK80" i="22"/>
  <c r="CY94" i="22"/>
  <c r="CY93" i="22"/>
  <c r="BZ69" i="22" l="1"/>
  <c r="BZ66" i="22" s="1"/>
  <c r="BO56" i="22"/>
  <c r="BO53" i="22" s="1"/>
  <c r="BP54" i="22" s="1"/>
  <c r="CY95" i="22"/>
  <c r="CY92" i="22" s="1"/>
  <c r="BD42" i="22"/>
  <c r="BD41" i="22"/>
  <c r="CK82" i="22"/>
  <c r="CK79" i="22" s="1"/>
  <c r="CA67" i="22" l="1"/>
  <c r="CA68" i="22"/>
  <c r="BP55" i="22"/>
  <c r="BP56" i="22" s="1"/>
  <c r="BP53" i="22" s="1"/>
  <c r="BQ55" i="22" s="1"/>
  <c r="BD43" i="22"/>
  <c r="BD40" i="22" s="1"/>
  <c r="BE42" i="22" s="1"/>
  <c r="CZ94" i="22"/>
  <c r="CZ93" i="22"/>
  <c r="CL81" i="22"/>
  <c r="CL80" i="22"/>
  <c r="BQ54" i="22" l="1"/>
  <c r="BQ56" i="22" s="1"/>
  <c r="BQ53" i="22" s="1"/>
  <c r="CA69" i="22"/>
  <c r="CA66" i="22" s="1"/>
  <c r="BE41" i="22"/>
  <c r="BE43" i="22" s="1"/>
  <c r="BE40" i="22" s="1"/>
  <c r="CZ95" i="22"/>
  <c r="CZ92" i="22" s="1"/>
  <c r="DA93" i="22" s="1"/>
  <c r="CL82" i="22"/>
  <c r="CL79" i="22" s="1"/>
  <c r="CB67" i="22" l="1"/>
  <c r="CB68" i="22"/>
  <c r="DA94" i="22"/>
  <c r="DA95" i="22" s="1"/>
  <c r="DA92" i="22" s="1"/>
  <c r="CM81" i="22"/>
  <c r="CM80" i="22"/>
  <c r="BR54" i="22"/>
  <c r="BR55" i="22"/>
  <c r="BF42" i="22"/>
  <c r="BF41" i="22"/>
  <c r="CB69" i="22" l="1"/>
  <c r="CB66" i="22" s="1"/>
  <c r="BF43" i="22"/>
  <c r="BF40" i="22" s="1"/>
  <c r="BG42" i="22" s="1"/>
  <c r="BR56" i="22"/>
  <c r="BR53" i="22" s="1"/>
  <c r="DB94" i="22"/>
  <c r="DB93" i="22"/>
  <c r="CM82" i="22"/>
  <c r="CM79" i="22" s="1"/>
  <c r="CC68" i="22" l="1"/>
  <c r="CC67" i="22"/>
  <c r="BG41" i="22"/>
  <c r="BG43" i="22" s="1"/>
  <c r="BG40" i="22" s="1"/>
  <c r="DB95" i="22"/>
  <c r="DB92" i="22" s="1"/>
  <c r="DC94" i="22" s="1"/>
  <c r="CN80" i="22"/>
  <c r="CN81" i="22"/>
  <c r="BS55" i="22"/>
  <c r="BS54" i="22"/>
  <c r="CC69" i="22" l="1"/>
  <c r="CC66" i="22" s="1"/>
  <c r="CD68" i="22" s="1"/>
  <c r="BH42" i="22"/>
  <c r="BH41" i="22"/>
  <c r="DC93" i="22"/>
  <c r="DC95" i="22" s="1"/>
  <c r="DC92" i="22" s="1"/>
  <c r="DD94" i="22" s="1"/>
  <c r="BS56" i="22"/>
  <c r="BS53" i="22" s="1"/>
  <c r="CN82" i="22"/>
  <c r="CN79" i="22" s="1"/>
  <c r="CD67" i="22" l="1"/>
  <c r="CD69" i="22" s="1"/>
  <c r="CD66" i="22" s="1"/>
  <c r="CE68" i="22" s="1"/>
  <c r="BH43" i="22"/>
  <c r="BH40" i="22" s="1"/>
  <c r="BI42" i="22" s="1"/>
  <c r="DD93" i="22"/>
  <c r="DD95" i="22" s="1"/>
  <c r="DD92" i="22" s="1"/>
  <c r="CO81" i="22"/>
  <c r="CO80" i="22"/>
  <c r="BT55" i="22"/>
  <c r="BT54" i="22"/>
  <c r="CE67" i="22" l="1"/>
  <c r="CE69" i="22" s="1"/>
  <c r="CE66" i="22" s="1"/>
  <c r="CF67" i="22" s="1"/>
  <c r="BI41" i="22"/>
  <c r="BI43" i="22" s="1"/>
  <c r="BI40" i="22" s="1"/>
  <c r="DE93" i="22"/>
  <c r="DE94" i="22"/>
  <c r="BT56" i="22"/>
  <c r="BT53" i="22" s="1"/>
  <c r="CO82" i="22"/>
  <c r="CO79" i="22" s="1"/>
  <c r="CF68" i="22" l="1"/>
  <c r="CF69" i="22" s="1"/>
  <c r="CF66" i="22" s="1"/>
  <c r="BJ41" i="22"/>
  <c r="BJ42" i="22"/>
  <c r="G170" i="22" s="1"/>
  <c r="DE95" i="22"/>
  <c r="DE92" i="22" s="1"/>
  <c r="CP81" i="22"/>
  <c r="CP80" i="22"/>
  <c r="BU55" i="22"/>
  <c r="BU54" i="22"/>
  <c r="CG67" i="22" l="1"/>
  <c r="CG68" i="22"/>
  <c r="BJ43" i="22"/>
  <c r="BJ40" i="22" s="1"/>
  <c r="G155" i="22"/>
  <c r="G179" i="22"/>
  <c r="G180" i="22"/>
  <c r="DF94" i="22"/>
  <c r="K174" i="22" s="1"/>
  <c r="DF93" i="22"/>
  <c r="BU56" i="22"/>
  <c r="BU53" i="22" s="1"/>
  <c r="CP82" i="22"/>
  <c r="CP79" i="22" s="1"/>
  <c r="CG69" i="22" l="1"/>
  <c r="CG66" i="22" s="1"/>
  <c r="CH68" i="22" s="1"/>
  <c r="I172" i="22" s="1"/>
  <c r="BK41" i="22"/>
  <c r="BK42" i="22"/>
  <c r="G48" i="14"/>
  <c r="H12" i="15"/>
  <c r="G165" i="22"/>
  <c r="H29" i="13" s="1"/>
  <c r="H34" i="13" s="1"/>
  <c r="H36" i="13" s="1"/>
  <c r="H38" i="13" s="1"/>
  <c r="G164" i="22"/>
  <c r="K159" i="22"/>
  <c r="DF95" i="22"/>
  <c r="DF92" i="22" s="1"/>
  <c r="CQ81" i="22"/>
  <c r="CQ80" i="22"/>
  <c r="BV55" i="22"/>
  <c r="H171" i="22" s="1"/>
  <c r="BV54" i="22"/>
  <c r="CH67" i="22" l="1"/>
  <c r="BK43" i="22"/>
  <c r="BK40" i="22" s="1"/>
  <c r="H42" i="13"/>
  <c r="I40" i="13" s="1"/>
  <c r="H11" i="15"/>
  <c r="F34" i="21"/>
  <c r="F57" i="21" s="1"/>
  <c r="G50" i="14"/>
  <c r="CQ82" i="22"/>
  <c r="CQ79" i="22" s="1"/>
  <c r="CR81" i="22" s="1"/>
  <c r="DG94" i="22"/>
  <c r="DG93" i="22"/>
  <c r="BV56" i="22"/>
  <c r="BV53" i="22" s="1"/>
  <c r="H156" i="22"/>
  <c r="H14" i="15" l="1"/>
  <c r="CH69" i="22"/>
  <c r="CH66" i="22" s="1"/>
  <c r="I157" i="22"/>
  <c r="CR80" i="22"/>
  <c r="CR82" i="22" s="1"/>
  <c r="CR79" i="22" s="1"/>
  <c r="BL42" i="22"/>
  <c r="BL41" i="22"/>
  <c r="F35" i="21"/>
  <c r="F58" i="21" s="1"/>
  <c r="I32" i="13"/>
  <c r="G51" i="14"/>
  <c r="DG95" i="22"/>
  <c r="DG92" i="22" s="1"/>
  <c r="BW54" i="22"/>
  <c r="BW55" i="22"/>
  <c r="CI68" i="22" l="1"/>
  <c r="CI67" i="22"/>
  <c r="BL43" i="22"/>
  <c r="BL40" i="22" s="1"/>
  <c r="G46" i="14"/>
  <c r="I33" i="13"/>
  <c r="F36" i="21"/>
  <c r="DH93" i="22"/>
  <c r="DH94" i="22"/>
  <c r="CS81" i="22"/>
  <c r="CS80" i="22"/>
  <c r="BW56" i="22"/>
  <c r="BW53" i="22" s="1"/>
  <c r="G53" i="14" l="1"/>
  <c r="CI69" i="22"/>
  <c r="CI66" i="22" s="1"/>
  <c r="CJ68" i="22" s="1"/>
  <c r="BM42" i="22"/>
  <c r="BM41" i="22"/>
  <c r="F59" i="21"/>
  <c r="DH95" i="22"/>
  <c r="DH92" i="22" s="1"/>
  <c r="CS82" i="22"/>
  <c r="CS79" i="22" s="1"/>
  <c r="CT81" i="22" s="1"/>
  <c r="J173" i="22" s="1"/>
  <c r="BX55" i="22"/>
  <c r="BX54" i="22"/>
  <c r="F40" i="21" l="1"/>
  <c r="CJ67" i="22"/>
  <c r="CJ69" i="22" s="1"/>
  <c r="CJ66" i="22" s="1"/>
  <c r="CK68" i="22" s="1"/>
  <c r="BM43" i="22"/>
  <c r="BM40" i="22" s="1"/>
  <c r="CT80" i="22"/>
  <c r="CT82" i="22" s="1"/>
  <c r="CT79" i="22" s="1"/>
  <c r="DI93" i="22"/>
  <c r="DI94" i="22"/>
  <c r="BX56" i="22"/>
  <c r="BX53" i="22" s="1"/>
  <c r="F63" i="21" l="1"/>
  <c r="F65" i="21" s="1"/>
  <c r="F42" i="21"/>
  <c r="CK67" i="22"/>
  <c r="CK69" i="22" s="1"/>
  <c r="CK66" i="22" s="1"/>
  <c r="J158" i="22"/>
  <c r="BN41" i="22"/>
  <c r="BN42" i="22"/>
  <c r="DI95" i="22"/>
  <c r="DI92" i="22" s="1"/>
  <c r="CU80" i="22"/>
  <c r="CU81" i="22"/>
  <c r="BY55" i="22"/>
  <c r="BY54" i="22"/>
  <c r="BN43" i="22" l="1"/>
  <c r="BN40" i="22" s="1"/>
  <c r="BO42" i="22" s="1"/>
  <c r="DJ94" i="22"/>
  <c r="DJ93" i="22"/>
  <c r="CU82" i="22"/>
  <c r="CU79" i="22" s="1"/>
  <c r="CL68" i="22"/>
  <c r="CL67" i="22"/>
  <c r="BY56" i="22"/>
  <c r="BY53" i="22" s="1"/>
  <c r="BO41" i="22" l="1"/>
  <c r="BO43" i="22" s="1"/>
  <c r="BO40" i="22" s="1"/>
  <c r="BP41" i="22" s="1"/>
  <c r="DJ95" i="22"/>
  <c r="DJ92" i="22" s="1"/>
  <c r="DK94" i="22" s="1"/>
  <c r="BZ55" i="22"/>
  <c r="BZ54" i="22"/>
  <c r="CL69" i="22"/>
  <c r="CL66" i="22" s="1"/>
  <c r="CV81" i="22"/>
  <c r="CV80" i="22"/>
  <c r="BP42" i="22" l="1"/>
  <c r="BP43" i="22" s="1"/>
  <c r="BP40" i="22" s="1"/>
  <c r="DK93" i="22"/>
  <c r="DK95" i="22" s="1"/>
  <c r="DK92" i="22" s="1"/>
  <c r="DL94" i="22" s="1"/>
  <c r="CV82" i="22"/>
  <c r="CV79" i="22" s="1"/>
  <c r="CM68" i="22"/>
  <c r="CM67" i="22"/>
  <c r="BZ56" i="22"/>
  <c r="BZ53" i="22" s="1"/>
  <c r="DL93" i="22" l="1"/>
  <c r="DL95" i="22" s="1"/>
  <c r="DL92" i="22" s="1"/>
  <c r="CM69" i="22"/>
  <c r="CM66" i="22" s="1"/>
  <c r="BQ42" i="22"/>
  <c r="BQ41" i="22"/>
  <c r="CW81" i="22"/>
  <c r="CW80" i="22"/>
  <c r="CA54" i="22"/>
  <c r="CA55" i="22"/>
  <c r="BQ43" i="22" l="1"/>
  <c r="BQ40" i="22" s="1"/>
  <c r="BR41" i="22" s="1"/>
  <c r="DM94" i="22"/>
  <c r="DM93" i="22"/>
  <c r="CA56" i="22"/>
  <c r="CA53" i="22" s="1"/>
  <c r="CW82" i="22"/>
  <c r="CW79" i="22" s="1"/>
  <c r="CN67" i="22"/>
  <c r="CN68" i="22"/>
  <c r="BR42" i="22" l="1"/>
  <c r="BR43" i="22" s="1"/>
  <c r="BR40" i="22" s="1"/>
  <c r="DM95" i="22"/>
  <c r="DM92" i="22" s="1"/>
  <c r="DN94" i="22" s="1"/>
  <c r="CB55" i="22"/>
  <c r="CB54" i="22"/>
  <c r="CN69" i="22"/>
  <c r="CN66" i="22" s="1"/>
  <c r="CX81" i="22"/>
  <c r="CX80" i="22"/>
  <c r="BS41" i="22" l="1"/>
  <c r="BS42" i="22"/>
  <c r="DN93" i="22"/>
  <c r="DN95" i="22" s="1"/>
  <c r="DN92" i="22" s="1"/>
  <c r="DO93" i="22" s="1"/>
  <c r="CB56" i="22"/>
  <c r="CB53" i="22" s="1"/>
  <c r="CC55" i="22" s="1"/>
  <c r="CO68" i="22"/>
  <c r="CO67" i="22"/>
  <c r="CX82" i="22"/>
  <c r="CX79" i="22" s="1"/>
  <c r="BS43" i="22" l="1"/>
  <c r="BS40" i="22" s="1"/>
  <c r="BT42" i="22" s="1"/>
  <c r="CC54" i="22"/>
  <c r="CC56" i="22" s="1"/>
  <c r="CC53" i="22" s="1"/>
  <c r="DO94" i="22"/>
  <c r="DO95" i="22" s="1"/>
  <c r="DO92" i="22" s="1"/>
  <c r="CO69" i="22"/>
  <c r="CO66" i="22" s="1"/>
  <c r="CP67" i="22" s="1"/>
  <c r="CY81" i="22"/>
  <c r="CY80" i="22"/>
  <c r="BT41" i="22" l="1"/>
  <c r="BT43" i="22" s="1"/>
  <c r="BT40" i="22" s="1"/>
  <c r="BU42" i="22" s="1"/>
  <c r="CD54" i="22"/>
  <c r="CD55" i="22"/>
  <c r="CP68" i="22"/>
  <c r="CP69" i="22" s="1"/>
  <c r="CP66" i="22" s="1"/>
  <c r="CQ68" i="22" s="1"/>
  <c r="CY82" i="22"/>
  <c r="CY79" i="22" s="1"/>
  <c r="DP94" i="22"/>
  <c r="DP93" i="22"/>
  <c r="CD56" i="22" l="1"/>
  <c r="CD53" i="22" s="1"/>
  <c r="CE55" i="22" s="1"/>
  <c r="BU41" i="22"/>
  <c r="BU43" i="22" s="1"/>
  <c r="BU40" i="22" s="1"/>
  <c r="BV42" i="22" s="1"/>
  <c r="H170" i="22" s="1"/>
  <c r="CQ67" i="22"/>
  <c r="CQ69" i="22" s="1"/>
  <c r="CQ66" i="22" s="1"/>
  <c r="DP95" i="22"/>
  <c r="DP92" i="22" s="1"/>
  <c r="DQ94" i="22" s="1"/>
  <c r="CZ80" i="22"/>
  <c r="CZ81" i="22"/>
  <c r="CE54" i="22" l="1"/>
  <c r="CE56" i="22" s="1"/>
  <c r="CE53" i="22" s="1"/>
  <c r="BV41" i="22"/>
  <c r="H155" i="22" s="1"/>
  <c r="CR68" i="22"/>
  <c r="CR67" i="22"/>
  <c r="DQ93" i="22"/>
  <c r="DQ95" i="22" s="1"/>
  <c r="DQ92" i="22" s="1"/>
  <c r="H179" i="22"/>
  <c r="H180" i="22"/>
  <c r="CZ82" i="22"/>
  <c r="CZ79" i="22" s="1"/>
  <c r="BV43" i="22" l="1"/>
  <c r="BV40" i="22" s="1"/>
  <c r="BW42" i="22" s="1"/>
  <c r="CR69" i="22"/>
  <c r="CR66" i="22" s="1"/>
  <c r="H164" i="22"/>
  <c r="H165" i="22"/>
  <c r="I29" i="13" s="1"/>
  <c r="I34" i="13" s="1"/>
  <c r="I36" i="13" s="1"/>
  <c r="I38" i="13" s="1"/>
  <c r="CF55" i="22"/>
  <c r="CF54" i="22"/>
  <c r="DR94" i="22"/>
  <c r="DR93" i="22"/>
  <c r="DA81" i="22"/>
  <c r="DA80" i="22"/>
  <c r="I12" i="15"/>
  <c r="H48" i="14"/>
  <c r="BW41" i="22" l="1"/>
  <c r="BW43" i="22" s="1"/>
  <c r="BW40" i="22" s="1"/>
  <c r="CS67" i="22"/>
  <c r="CS68" i="22"/>
  <c r="DA82" i="22"/>
  <c r="DA79" i="22" s="1"/>
  <c r="DB81" i="22" s="1"/>
  <c r="G34" i="21"/>
  <c r="H50" i="14"/>
  <c r="DR95" i="22"/>
  <c r="L159" i="22"/>
  <c r="CF56" i="22"/>
  <c r="CF53" i="22" s="1"/>
  <c r="B94" i="22"/>
  <c r="L174" i="22"/>
  <c r="I11" i="15"/>
  <c r="I14" i="15" s="1"/>
  <c r="I42" i="13"/>
  <c r="J40" i="13" s="1"/>
  <c r="CS69" i="22" l="1"/>
  <c r="CS66" i="22" s="1"/>
  <c r="CT68" i="22" s="1"/>
  <c r="J172" i="22" s="1"/>
  <c r="DB80" i="22"/>
  <c r="DB82" i="22" s="1"/>
  <c r="DB79" i="22" s="1"/>
  <c r="CG55" i="22"/>
  <c r="CG54" i="22"/>
  <c r="BX42" i="22"/>
  <c r="BX41" i="22"/>
  <c r="B95" i="22"/>
  <c r="DR92" i="22"/>
  <c r="J32" i="13"/>
  <c r="G35" i="21"/>
  <c r="G58" i="21" s="1"/>
  <c r="H51" i="14"/>
  <c r="H46" i="14" s="1"/>
  <c r="H53" i="14" s="1"/>
  <c r="G57" i="21"/>
  <c r="CT67" i="22" l="1"/>
  <c r="CT69" i="22" s="1"/>
  <c r="CT66" i="22" s="1"/>
  <c r="CG56" i="22"/>
  <c r="CG53" i="22" s="1"/>
  <c r="CH55" i="22" s="1"/>
  <c r="I171" i="22" s="1"/>
  <c r="DC81" i="22"/>
  <c r="DC80" i="22"/>
  <c r="G40" i="21"/>
  <c r="G63" i="21" s="1"/>
  <c r="J33" i="13"/>
  <c r="G36" i="21"/>
  <c r="BX43" i="22"/>
  <c r="BX40" i="22" s="1"/>
  <c r="DS94" i="22"/>
  <c r="DS93" i="22"/>
  <c r="CH54" i="22" l="1"/>
  <c r="I156" i="22" s="1"/>
  <c r="J157" i="22"/>
  <c r="CU67" i="22"/>
  <c r="CU68" i="22"/>
  <c r="DC82" i="22"/>
  <c r="DC79" i="22" s="1"/>
  <c r="DS95" i="22"/>
  <c r="DS92" i="22" s="1"/>
  <c r="BY42" i="22"/>
  <c r="BY41" i="22"/>
  <c r="G59" i="21"/>
  <c r="G65" i="21" s="1"/>
  <c r="G42" i="21"/>
  <c r="CH56" i="22" l="1"/>
  <c r="CH53" i="22" s="1"/>
  <c r="CI55" i="22" s="1"/>
  <c r="CU69" i="22"/>
  <c r="CU66" i="22" s="1"/>
  <c r="DD81" i="22"/>
  <c r="DD80" i="22"/>
  <c r="DT93" i="22"/>
  <c r="DT94" i="22"/>
  <c r="BY43" i="22"/>
  <c r="BY40" i="22" s="1"/>
  <c r="CI54" i="22" l="1"/>
  <c r="CI56" i="22" s="1"/>
  <c r="CI53" i="22" s="1"/>
  <c r="CV67" i="22"/>
  <c r="CV68" i="22"/>
  <c r="DD82" i="22"/>
  <c r="DD79" i="22" s="1"/>
  <c r="BZ42" i="22"/>
  <c r="BZ41" i="22"/>
  <c r="DT95" i="22"/>
  <c r="DT92" i="22" s="1"/>
  <c r="CV69" i="22" l="1"/>
  <c r="CV66" i="22" s="1"/>
  <c r="DE81" i="22"/>
  <c r="DE80" i="22"/>
  <c r="BZ43" i="22"/>
  <c r="BZ40" i="22" s="1"/>
  <c r="DU94" i="22"/>
  <c r="DU93" i="22"/>
  <c r="CJ54" i="22"/>
  <c r="CJ55" i="22"/>
  <c r="CW67" i="22" l="1"/>
  <c r="CW68" i="22"/>
  <c r="DE82" i="22"/>
  <c r="DE79" i="22" s="1"/>
  <c r="CJ56" i="22"/>
  <c r="CJ53" i="22" s="1"/>
  <c r="DU95" i="22"/>
  <c r="DU92" i="22" s="1"/>
  <c r="CA42" i="22"/>
  <c r="CA41" i="22"/>
  <c r="CW69" i="22" l="1"/>
  <c r="CW66" i="22" s="1"/>
  <c r="DF81" i="22"/>
  <c r="K173" i="22" s="1"/>
  <c r="DF80" i="22"/>
  <c r="CA43" i="22"/>
  <c r="CA40" i="22" s="1"/>
  <c r="CK55" i="22"/>
  <c r="CK54" i="22"/>
  <c r="DV94" i="22"/>
  <c r="DV93" i="22"/>
  <c r="CX68" i="22" l="1"/>
  <c r="CX67" i="22"/>
  <c r="DF82" i="22"/>
  <c r="DF79" i="22" s="1"/>
  <c r="K158" i="22"/>
  <c r="CK56" i="22"/>
  <c r="CK53" i="22" s="1"/>
  <c r="CB42" i="22"/>
  <c r="CB41" i="22"/>
  <c r="DV95" i="22"/>
  <c r="DV92" i="22" s="1"/>
  <c r="CX69" i="22" l="1"/>
  <c r="CX66" i="22" s="1"/>
  <c r="DG80" i="22"/>
  <c r="DG81" i="22"/>
  <c r="CL55" i="22"/>
  <c r="CL54" i="22"/>
  <c r="DW94" i="22"/>
  <c r="DW93" i="22"/>
  <c r="CB43" i="22"/>
  <c r="CB40" i="22" s="1"/>
  <c r="CY67" i="22" l="1"/>
  <c r="CY68" i="22"/>
  <c r="DG82" i="22"/>
  <c r="DG79" i="22" s="1"/>
  <c r="DH80" i="22" s="1"/>
  <c r="DW95" i="22"/>
  <c r="DW92" i="22" s="1"/>
  <c r="CC42" i="22"/>
  <c r="CC41" i="22"/>
  <c r="CL56" i="22"/>
  <c r="CL53" i="22" s="1"/>
  <c r="CY69" i="22" l="1"/>
  <c r="CY66" i="22" s="1"/>
  <c r="DH81" i="22"/>
  <c r="DH82" i="22" s="1"/>
  <c r="DH79" i="22" s="1"/>
  <c r="DX94" i="22"/>
  <c r="DX93" i="22"/>
  <c r="CC43" i="22"/>
  <c r="CC40" i="22" s="1"/>
  <c r="CM54" i="22"/>
  <c r="CM55" i="22"/>
  <c r="CZ67" i="22" l="1"/>
  <c r="CZ68" i="22"/>
  <c r="DI81" i="22"/>
  <c r="DI80" i="22"/>
  <c r="DX95" i="22"/>
  <c r="DX92" i="22" s="1"/>
  <c r="DY94" i="22" s="1"/>
  <c r="CM56" i="22"/>
  <c r="CM53" i="22" s="1"/>
  <c r="CD42" i="22"/>
  <c r="CD41" i="22"/>
  <c r="CZ69" i="22" l="1"/>
  <c r="CZ66" i="22" s="1"/>
  <c r="DA67" i="22" s="1"/>
  <c r="CD43" i="22"/>
  <c r="CD40" i="22" s="1"/>
  <c r="CE42" i="22" s="1"/>
  <c r="DI82" i="22"/>
  <c r="DI79" i="22" s="1"/>
  <c r="DJ80" i="22" s="1"/>
  <c r="DY93" i="22"/>
  <c r="DY95" i="22" s="1"/>
  <c r="DY92" i="22" s="1"/>
  <c r="CN54" i="22"/>
  <c r="CN55" i="22"/>
  <c r="CE41" i="22" l="1"/>
  <c r="CE43" i="22" s="1"/>
  <c r="CE40" i="22" s="1"/>
  <c r="CF42" i="22" s="1"/>
  <c r="DJ81" i="22"/>
  <c r="DJ82" i="22" s="1"/>
  <c r="DJ79" i="22" s="1"/>
  <c r="DA68" i="22"/>
  <c r="DA69" i="22" s="1"/>
  <c r="DA66" i="22" s="1"/>
  <c r="DZ93" i="22"/>
  <c r="DZ94" i="22"/>
  <c r="CN56" i="22"/>
  <c r="CN53" i="22" s="1"/>
  <c r="CF41" i="22" l="1"/>
  <c r="CF43" i="22" s="1"/>
  <c r="CF40" i="22" s="1"/>
  <c r="DB68" i="22"/>
  <c r="DB67" i="22"/>
  <c r="DZ95" i="22"/>
  <c r="DZ92" i="22" s="1"/>
  <c r="EA94" i="22" s="1"/>
  <c r="DK81" i="22"/>
  <c r="DK80" i="22"/>
  <c r="CO55" i="22"/>
  <c r="CO54" i="22"/>
  <c r="CG42" i="22" l="1"/>
  <c r="CG41" i="22"/>
  <c r="DB69" i="22"/>
  <c r="DB66" i="22" s="1"/>
  <c r="DK82" i="22"/>
  <c r="DK79" i="22" s="1"/>
  <c r="DL80" i="22" s="1"/>
  <c r="EA93" i="22"/>
  <c r="EA95" i="22" s="1"/>
  <c r="EA92" i="22" s="1"/>
  <c r="EB94" i="22" s="1"/>
  <c r="CO56" i="22"/>
  <c r="CO53" i="22" s="1"/>
  <c r="CG43" i="22" l="1"/>
  <c r="CG40" i="22" s="1"/>
  <c r="CH41" i="22" s="1"/>
  <c r="I155" i="22" s="1"/>
  <c r="DL81" i="22"/>
  <c r="DL82" i="22" s="1"/>
  <c r="DL79" i="22" s="1"/>
  <c r="DC68" i="22"/>
  <c r="DC67" i="22"/>
  <c r="EB93" i="22"/>
  <c r="EB95" i="22" s="1"/>
  <c r="EB92" i="22" s="1"/>
  <c r="CP55" i="22"/>
  <c r="CP54" i="22"/>
  <c r="CH42" i="22" l="1"/>
  <c r="I170" i="22" s="1"/>
  <c r="I179" i="22" s="1"/>
  <c r="DM80" i="22"/>
  <c r="DM81" i="22"/>
  <c r="DC69" i="22"/>
  <c r="DC66" i="22" s="1"/>
  <c r="EC94" i="22"/>
  <c r="EC93" i="22"/>
  <c r="CP56" i="22"/>
  <c r="CP53" i="22" s="1"/>
  <c r="CQ55" i="22" s="1"/>
  <c r="I164" i="22"/>
  <c r="I165" i="22"/>
  <c r="J29" i="13" s="1"/>
  <c r="CH43" i="22" l="1"/>
  <c r="CH40" i="22" s="1"/>
  <c r="I180" i="22"/>
  <c r="DM82" i="22"/>
  <c r="DM79" i="22" s="1"/>
  <c r="DN81" i="22" s="1"/>
  <c r="DD67" i="22"/>
  <c r="DD68" i="22"/>
  <c r="CQ54" i="22"/>
  <c r="CQ56" i="22" s="1"/>
  <c r="CQ53" i="22" s="1"/>
  <c r="EC95" i="22"/>
  <c r="EC92" i="22" s="1"/>
  <c r="CI41" i="22" l="1"/>
  <c r="CI42" i="22"/>
  <c r="I48" i="14"/>
  <c r="H34" i="21" s="1"/>
  <c r="H57" i="21" s="1"/>
  <c r="J12" i="15"/>
  <c r="DN80" i="22"/>
  <c r="DN82" i="22" s="1"/>
  <c r="DN79" i="22" s="1"/>
  <c r="DO80" i="22" s="1"/>
  <c r="DD69" i="22"/>
  <c r="DD66" i="22" s="1"/>
  <c r="ED94" i="22"/>
  <c r="M174" i="22" s="1"/>
  <c r="ED93" i="22"/>
  <c r="CR55" i="22"/>
  <c r="CR54" i="22"/>
  <c r="CI43" i="22" l="1"/>
  <c r="CI40" i="22" s="1"/>
  <c r="DO81" i="22"/>
  <c r="DO82" i="22" s="1"/>
  <c r="DO79" i="22" s="1"/>
  <c r="DE68" i="22"/>
  <c r="DE67" i="22"/>
  <c r="M159" i="22"/>
  <c r="ED95" i="22"/>
  <c r="ED92" i="22" s="1"/>
  <c r="CR56" i="22"/>
  <c r="CR53" i="22" s="1"/>
  <c r="CJ41" i="22" l="1"/>
  <c r="CJ42" i="22"/>
  <c r="DE69" i="22"/>
  <c r="DE66" i="22" s="1"/>
  <c r="DF67" i="22" s="1"/>
  <c r="DP81" i="22"/>
  <c r="DP80" i="22"/>
  <c r="EE93" i="22"/>
  <c r="EE94" i="22"/>
  <c r="CS55" i="22"/>
  <c r="CS54" i="22"/>
  <c r="CJ43" i="22" l="1"/>
  <c r="CJ40" i="22" s="1"/>
  <c r="DF68" i="22"/>
  <c r="K172" i="22" s="1"/>
  <c r="K157" i="22"/>
  <c r="DP82" i="22"/>
  <c r="DP79" i="22" s="1"/>
  <c r="EE95" i="22"/>
  <c r="EE92" i="22" s="1"/>
  <c r="EF93" i="22" s="1"/>
  <c r="CS56" i="22"/>
  <c r="CS53" i="22" s="1"/>
  <c r="CT54" i="22" s="1"/>
  <c r="CK42" i="22" l="1"/>
  <c r="CK41" i="22"/>
  <c r="DF69" i="22"/>
  <c r="DF66" i="22" s="1"/>
  <c r="DG67" i="22" s="1"/>
  <c r="CT55" i="22"/>
  <c r="J171" i="22" s="1"/>
  <c r="DQ81" i="22"/>
  <c r="DQ80" i="22"/>
  <c r="EF94" i="22"/>
  <c r="EF95" i="22" s="1"/>
  <c r="EF92" i="22" s="1"/>
  <c r="J156" i="22"/>
  <c r="CT56" i="22" l="1"/>
  <c r="CT53" i="22" s="1"/>
  <c r="CU55" i="22" s="1"/>
  <c r="CK43" i="22"/>
  <c r="CK40" i="22" s="1"/>
  <c r="DG68" i="22"/>
  <c r="DG69" i="22" s="1"/>
  <c r="DG66" i="22" s="1"/>
  <c r="DQ82" i="22"/>
  <c r="DQ79" i="22" s="1"/>
  <c r="DR81" i="22" s="1"/>
  <c r="B81" i="22" s="1"/>
  <c r="EG93" i="22"/>
  <c r="EG94" i="22"/>
  <c r="CU54" i="22" l="1"/>
  <c r="CU56" i="22" s="1"/>
  <c r="CU53" i="22" s="1"/>
  <c r="CL42" i="22"/>
  <c r="CL41" i="22"/>
  <c r="DH68" i="22"/>
  <c r="DH67" i="22"/>
  <c r="DR80" i="22"/>
  <c r="L158" i="22" s="1"/>
  <c r="L173" i="22"/>
  <c r="EG95" i="22"/>
  <c r="EG92" i="22" s="1"/>
  <c r="CL43" i="22" l="1"/>
  <c r="CL40" i="22" s="1"/>
  <c r="DR82" i="22"/>
  <c r="B82" i="22" s="1"/>
  <c r="DH69" i="22"/>
  <c r="DH66" i="22" s="1"/>
  <c r="EH94" i="22"/>
  <c r="EH93" i="22"/>
  <c r="CV55" i="22"/>
  <c r="CV54" i="22"/>
  <c r="DR79" i="22" l="1"/>
  <c r="DS80" i="22" s="1"/>
  <c r="CM41" i="22"/>
  <c r="CM42" i="22"/>
  <c r="DI67" i="22"/>
  <c r="DI68" i="22"/>
  <c r="EH95" i="22"/>
  <c r="EH92" i="22" s="1"/>
  <c r="EI94" i="22" s="1"/>
  <c r="CV56" i="22"/>
  <c r="CV53" i="22" s="1"/>
  <c r="DS81" i="22" l="1"/>
  <c r="DS82" i="22" s="1"/>
  <c r="DS79" i="22" s="1"/>
  <c r="DT80" i="22" s="1"/>
  <c r="CM43" i="22"/>
  <c r="CM40" i="22" s="1"/>
  <c r="DI69" i="22"/>
  <c r="DI66" i="22" s="1"/>
  <c r="EI93" i="22"/>
  <c r="EI95" i="22" s="1"/>
  <c r="EI92" i="22" s="1"/>
  <c r="EJ93" i="22" s="1"/>
  <c r="CW55" i="22"/>
  <c r="CW54" i="22"/>
  <c r="CN42" i="22" l="1"/>
  <c r="CN41" i="22"/>
  <c r="EJ94" i="22"/>
  <c r="EJ95" i="22" s="1"/>
  <c r="EJ92" i="22" s="1"/>
  <c r="DT81" i="22"/>
  <c r="DT82" i="22" s="1"/>
  <c r="DT79" i="22" s="1"/>
  <c r="DU80" i="22" s="1"/>
  <c r="DJ67" i="22"/>
  <c r="DJ68" i="22"/>
  <c r="CW56" i="22"/>
  <c r="CW53" i="22" s="1"/>
  <c r="CN43" i="22" l="1"/>
  <c r="CN40" i="22" s="1"/>
  <c r="DJ69" i="22"/>
  <c r="DJ66" i="22" s="1"/>
  <c r="DU81" i="22"/>
  <c r="DU82" i="22" s="1"/>
  <c r="DU79" i="22" s="1"/>
  <c r="EK93" i="22"/>
  <c r="EK94" i="22"/>
  <c r="CX54" i="22"/>
  <c r="CX55" i="22"/>
  <c r="CO42" i="22" l="1"/>
  <c r="CO41" i="22"/>
  <c r="DK67" i="22"/>
  <c r="DK68" i="22"/>
  <c r="DV80" i="22"/>
  <c r="DV81" i="22"/>
  <c r="EK95" i="22"/>
  <c r="EK92" i="22" s="1"/>
  <c r="CX56" i="22"/>
  <c r="CX53" i="22" s="1"/>
  <c r="CO43" i="22" l="1"/>
  <c r="CO40" i="22" s="1"/>
  <c r="CP42" i="22" s="1"/>
  <c r="DK69" i="22"/>
  <c r="DK66" i="22" s="1"/>
  <c r="DV82" i="22"/>
  <c r="DV79" i="22" s="1"/>
  <c r="EL94" i="22"/>
  <c r="EL93" i="22"/>
  <c r="CY55" i="22"/>
  <c r="CY54" i="22"/>
  <c r="CP41" i="22" l="1"/>
  <c r="CP43" i="22" s="1"/>
  <c r="CP40" i="22" s="1"/>
  <c r="DL67" i="22"/>
  <c r="DL68" i="22"/>
  <c r="DW80" i="22"/>
  <c r="DW81" i="22"/>
  <c r="EL95" i="22"/>
  <c r="EL92" i="22" s="1"/>
  <c r="EM94" i="22" s="1"/>
  <c r="CY56" i="22"/>
  <c r="CY53" i="22" s="1"/>
  <c r="CQ41" i="22" l="1"/>
  <c r="CQ42" i="22"/>
  <c r="DL69" i="22"/>
  <c r="DL66" i="22" s="1"/>
  <c r="DW82" i="22"/>
  <c r="DW79" i="22" s="1"/>
  <c r="EM93" i="22"/>
  <c r="EM95" i="22" s="1"/>
  <c r="EM92" i="22" s="1"/>
  <c r="CZ55" i="22"/>
  <c r="CZ54" i="22"/>
  <c r="CQ43" i="22" l="1"/>
  <c r="CQ40" i="22" s="1"/>
  <c r="DM68" i="22"/>
  <c r="DM67" i="22"/>
  <c r="DX81" i="22"/>
  <c r="DX80" i="22"/>
  <c r="EN94" i="22"/>
  <c r="EN93" i="22"/>
  <c r="CZ56" i="22"/>
  <c r="CZ53" i="22" s="1"/>
  <c r="DA54" i="22" s="1"/>
  <c r="CR42" i="22" l="1"/>
  <c r="CR41" i="22"/>
  <c r="DA55" i="22"/>
  <c r="DA56" i="22" s="1"/>
  <c r="DA53" i="22" s="1"/>
  <c r="DB54" i="22" s="1"/>
  <c r="DM69" i="22"/>
  <c r="DM66" i="22" s="1"/>
  <c r="DN68" i="22" s="1"/>
  <c r="DX82" i="22"/>
  <c r="DX79" i="22" s="1"/>
  <c r="DY80" i="22" s="1"/>
  <c r="EN95" i="22"/>
  <c r="EN92" i="22" s="1"/>
  <c r="EO93" i="22" s="1"/>
  <c r="CR43" i="22" l="1"/>
  <c r="CR40" i="22" s="1"/>
  <c r="CS42" i="22" s="1"/>
  <c r="DB55" i="22"/>
  <c r="DB56" i="22" s="1"/>
  <c r="DB53" i="22" s="1"/>
  <c r="DC55" i="22" s="1"/>
  <c r="DN67" i="22"/>
  <c r="DN69" i="22" s="1"/>
  <c r="DN66" i="22" s="1"/>
  <c r="DY81" i="22"/>
  <c r="DY82" i="22" s="1"/>
  <c r="DY79" i="22" s="1"/>
  <c r="DZ81" i="22" s="1"/>
  <c r="EO94" i="22"/>
  <c r="EO95" i="22" s="1"/>
  <c r="EO92" i="22" s="1"/>
  <c r="EP94" i="22" s="1"/>
  <c r="N174" i="22" s="1"/>
  <c r="CS41" i="22" l="1"/>
  <c r="CS43" i="22" s="1"/>
  <c r="CS40" i="22" s="1"/>
  <c r="DC54" i="22"/>
  <c r="DC56" i="22" s="1"/>
  <c r="DC53" i="22" s="1"/>
  <c r="DO68" i="22"/>
  <c r="DO67" i="22"/>
  <c r="DZ80" i="22"/>
  <c r="DZ82" i="22" s="1"/>
  <c r="DZ79" i="22" s="1"/>
  <c r="EA81" i="22" s="1"/>
  <c r="EP93" i="22"/>
  <c r="B93" i="22" s="1"/>
  <c r="CT41" i="22" l="1"/>
  <c r="CT42" i="22"/>
  <c r="J170" i="22" s="1"/>
  <c r="DO69" i="22"/>
  <c r="DO66" i="22" s="1"/>
  <c r="N159" i="22"/>
  <c r="EP95" i="22"/>
  <c r="EP92" i="22" s="1"/>
  <c r="EQ94" i="22" s="1"/>
  <c r="EA80" i="22"/>
  <c r="EA82" i="22" s="1"/>
  <c r="EA79" i="22" s="1"/>
  <c r="DD55" i="22"/>
  <c r="DD54" i="22"/>
  <c r="CT43" i="22" l="1"/>
  <c r="CT40" i="22" s="1"/>
  <c r="J155" i="22"/>
  <c r="EQ93" i="22"/>
  <c r="EQ95" i="22" s="1"/>
  <c r="EQ92" i="22" s="1"/>
  <c r="DP67" i="22"/>
  <c r="DP68" i="22"/>
  <c r="EB81" i="22"/>
  <c r="EB80" i="22"/>
  <c r="DD56" i="22"/>
  <c r="DD53" i="22" s="1"/>
  <c r="DE55" i="22" s="1"/>
  <c r="CU41" i="22" l="1"/>
  <c r="CU42" i="22"/>
  <c r="DP69" i="22"/>
  <c r="DP66" i="22" s="1"/>
  <c r="DQ68" i="22" s="1"/>
  <c r="EB82" i="22"/>
  <c r="EB79" i="22" s="1"/>
  <c r="DE54" i="22"/>
  <c r="DE56" i="22" s="1"/>
  <c r="DE53" i="22" s="1"/>
  <c r="DF55" i="22" s="1"/>
  <c r="K171" i="22" s="1"/>
  <c r="ER94" i="22"/>
  <c r="ER93" i="22"/>
  <c r="CU43" i="22" l="1"/>
  <c r="CU40" i="22" s="1"/>
  <c r="CV42" i="22" s="1"/>
  <c r="DQ67" i="22"/>
  <c r="DQ69" i="22" s="1"/>
  <c r="DQ66" i="22" s="1"/>
  <c r="DR67" i="22" s="1"/>
  <c r="EC80" i="22"/>
  <c r="EC81" i="22"/>
  <c r="DF54" i="22"/>
  <c r="DF56" i="22" s="1"/>
  <c r="DF53" i="22" s="1"/>
  <c r="ER95" i="22"/>
  <c r="ER92" i="22" s="1"/>
  <c r="CV41" i="22" l="1"/>
  <c r="CV43" i="22" s="1"/>
  <c r="CV40" i="22" s="1"/>
  <c r="CW42" i="22" s="1"/>
  <c r="K156" i="22"/>
  <c r="DR68" i="22"/>
  <c r="L172" i="22" s="1"/>
  <c r="L157" i="22"/>
  <c r="EC82" i="22"/>
  <c r="EC79" i="22" s="1"/>
  <c r="DG54" i="22"/>
  <c r="DG55" i="22"/>
  <c r="ES94" i="22"/>
  <c r="ES93" i="22"/>
  <c r="CW41" i="22" l="1"/>
  <c r="CW43" i="22" s="1"/>
  <c r="CW40" i="22" s="1"/>
  <c r="DR69" i="22"/>
  <c r="B69" i="22" s="1"/>
  <c r="B68" i="22"/>
  <c r="ED80" i="22"/>
  <c r="ED81" i="22"/>
  <c r="M173" i="22" s="1"/>
  <c r="ES95" i="22"/>
  <c r="ES92" i="22" s="1"/>
  <c r="DG56" i="22"/>
  <c r="DG53" i="22" s="1"/>
  <c r="DR66" i="22" l="1"/>
  <c r="DS67" i="22" s="1"/>
  <c r="CX42" i="22"/>
  <c r="CX41" i="22"/>
  <c r="ED82" i="22"/>
  <c r="ED79" i="22" s="1"/>
  <c r="M158" i="22"/>
  <c r="ET94" i="22"/>
  <c r="ET93" i="22"/>
  <c r="DH54" i="22"/>
  <c r="DH55" i="22"/>
  <c r="DS68" i="22" l="1"/>
  <c r="DS69" i="22" s="1"/>
  <c r="DS66" i="22" s="1"/>
  <c r="CX43" i="22"/>
  <c r="CX40" i="22" s="1"/>
  <c r="CY41" i="22" s="1"/>
  <c r="EE80" i="22"/>
  <c r="EE81" i="22"/>
  <c r="DH56" i="22"/>
  <c r="DH53" i="22" s="1"/>
  <c r="ET95" i="22"/>
  <c r="ET92" i="22" s="1"/>
  <c r="CY42" i="22" l="1"/>
  <c r="CY43" i="22" s="1"/>
  <c r="CY40" i="22" s="1"/>
  <c r="CZ41" i="22" s="1"/>
  <c r="DT68" i="22"/>
  <c r="DT67" i="22"/>
  <c r="EE82" i="22"/>
  <c r="EE79" i="22" s="1"/>
  <c r="EU93" i="22"/>
  <c r="EU94" i="22"/>
  <c r="DI55" i="22"/>
  <c r="DI54" i="22"/>
  <c r="CZ42" i="22" l="1"/>
  <c r="CZ43" i="22" s="1"/>
  <c r="CZ40" i="22" s="1"/>
  <c r="DT69" i="22"/>
  <c r="DT66" i="22" s="1"/>
  <c r="DU68" i="22" s="1"/>
  <c r="EF80" i="22"/>
  <c r="EF81" i="22"/>
  <c r="DI56" i="22"/>
  <c r="DI53" i="22" s="1"/>
  <c r="EU95" i="22"/>
  <c r="EU92" i="22" s="1"/>
  <c r="DA41" i="22" l="1"/>
  <c r="DA42" i="22"/>
  <c r="DU67" i="22"/>
  <c r="DU69" i="22" s="1"/>
  <c r="DU66" i="22" s="1"/>
  <c r="DV68" i="22" s="1"/>
  <c r="EF82" i="22"/>
  <c r="EF79" i="22" s="1"/>
  <c r="EV94" i="22"/>
  <c r="EV93" i="22"/>
  <c r="DJ55" i="22"/>
  <c r="DJ54" i="22"/>
  <c r="DA43" i="22" l="1"/>
  <c r="DA40" i="22" s="1"/>
  <c r="DB42" i="22" s="1"/>
  <c r="DV67" i="22"/>
  <c r="DV69" i="22" s="1"/>
  <c r="DV66" i="22" s="1"/>
  <c r="EG80" i="22"/>
  <c r="EG81" i="22"/>
  <c r="EV95" i="22"/>
  <c r="EV92" i="22" s="1"/>
  <c r="DJ56" i="22"/>
  <c r="DJ53" i="22" s="1"/>
  <c r="DB41" i="22" l="1"/>
  <c r="DB43" i="22" s="1"/>
  <c r="DB40" i="22" s="1"/>
  <c r="EG82" i="22"/>
  <c r="EG79" i="22" s="1"/>
  <c r="DK55" i="22"/>
  <c r="DK54" i="22"/>
  <c r="EW94" i="22"/>
  <c r="EW93" i="22"/>
  <c r="DW68" i="22"/>
  <c r="DW67" i="22"/>
  <c r="DC42" i="22" l="1"/>
  <c r="DC41" i="22"/>
  <c r="EH80" i="22"/>
  <c r="EH81" i="22"/>
  <c r="EW95" i="22"/>
  <c r="EW92" i="22" s="1"/>
  <c r="EX94" i="22" s="1"/>
  <c r="DK56" i="22"/>
  <c r="DK53" i="22" s="1"/>
  <c r="DW69" i="22"/>
  <c r="DW66" i="22" s="1"/>
  <c r="DC43" i="22" l="1"/>
  <c r="DC40" i="22" s="1"/>
  <c r="DD42" i="22" s="1"/>
  <c r="EH82" i="22"/>
  <c r="EH79" i="22" s="1"/>
  <c r="EX93" i="22"/>
  <c r="EX95" i="22" s="1"/>
  <c r="EX92" i="22" s="1"/>
  <c r="DX68" i="22"/>
  <c r="DX67" i="22"/>
  <c r="DL55" i="22"/>
  <c r="DL54" i="22"/>
  <c r="DD41" i="22" l="1"/>
  <c r="DD43" i="22" s="1"/>
  <c r="DD40" i="22" s="1"/>
  <c r="DE42" i="22" s="1"/>
  <c r="EI81" i="22"/>
  <c r="EI80" i="22"/>
  <c r="EY93" i="22"/>
  <c r="EY94" i="22"/>
  <c r="DX69" i="22"/>
  <c r="DX66" i="22" s="1"/>
  <c r="DY67" i="22" s="1"/>
  <c r="DL56" i="22"/>
  <c r="DL53" i="22" s="1"/>
  <c r="DE41" i="22" l="1"/>
  <c r="DE43" i="22" s="1"/>
  <c r="DE40" i="22" s="1"/>
  <c r="DF42" i="22" s="1"/>
  <c r="K170" i="22" s="1"/>
  <c r="EI82" i="22"/>
  <c r="EI79" i="22" s="1"/>
  <c r="DY68" i="22"/>
  <c r="DY69" i="22" s="1"/>
  <c r="DY66" i="22" s="1"/>
  <c r="EY95" i="22"/>
  <c r="EY92" i="22" s="1"/>
  <c r="EZ93" i="22" s="1"/>
  <c r="DM55" i="22"/>
  <c r="DM54" i="22"/>
  <c r="DF41" i="22" l="1"/>
  <c r="K155" i="22" s="1"/>
  <c r="EZ94" i="22"/>
  <c r="EZ95" i="22" s="1"/>
  <c r="EZ92" i="22" s="1"/>
  <c r="FA94" i="22" s="1"/>
  <c r="EJ81" i="22"/>
  <c r="EJ80" i="22"/>
  <c r="DM56" i="22"/>
  <c r="DM53" i="22" s="1"/>
  <c r="DN54" i="22" s="1"/>
  <c r="DZ67" i="22"/>
  <c r="DZ68" i="22"/>
  <c r="DF43" i="22" l="1"/>
  <c r="DF40" i="22" s="1"/>
  <c r="DG41" i="22" s="1"/>
  <c r="EJ82" i="22"/>
  <c r="EJ79" i="22" s="1"/>
  <c r="EK80" i="22" s="1"/>
  <c r="DN55" i="22"/>
  <c r="DN56" i="22" s="1"/>
  <c r="DN53" i="22" s="1"/>
  <c r="FA93" i="22"/>
  <c r="FA95" i="22" s="1"/>
  <c r="FA92" i="22" s="1"/>
  <c r="DZ69" i="22"/>
  <c r="DZ66" i="22" s="1"/>
  <c r="DG42" i="22" l="1"/>
  <c r="DG43" i="22" s="1"/>
  <c r="DG40" i="22" s="1"/>
  <c r="DH42" i="22" s="1"/>
  <c r="EK81" i="22"/>
  <c r="EK82" i="22" s="1"/>
  <c r="EK79" i="22" s="1"/>
  <c r="FB93" i="22"/>
  <c r="FB94" i="22"/>
  <c r="O174" i="22" s="1"/>
  <c r="EA68" i="22"/>
  <c r="EA67" i="22"/>
  <c r="DO55" i="22"/>
  <c r="DO54" i="22"/>
  <c r="DH41" i="22" l="1"/>
  <c r="DH43" i="22" s="1"/>
  <c r="DH40" i="22" s="1"/>
  <c r="EL80" i="22"/>
  <c r="EL81" i="22"/>
  <c r="FB95" i="22"/>
  <c r="FB92" i="22" s="1"/>
  <c r="FC94" i="22" s="1"/>
  <c r="O159" i="22"/>
  <c r="DO56" i="22"/>
  <c r="DO53" i="22" s="1"/>
  <c r="DP54" i="22" s="1"/>
  <c r="EA69" i="22"/>
  <c r="EA66" i="22" s="1"/>
  <c r="DI41" i="22" l="1"/>
  <c r="DI42" i="22"/>
  <c r="FC93" i="22"/>
  <c r="FC95" i="22" s="1"/>
  <c r="FC92" i="22" s="1"/>
  <c r="DP55" i="22"/>
  <c r="DP56" i="22" s="1"/>
  <c r="DP53" i="22" s="1"/>
  <c r="EL82" i="22"/>
  <c r="EL79" i="22" s="1"/>
  <c r="EB68" i="22"/>
  <c r="EB67" i="22"/>
  <c r="DI43" i="22" l="1"/>
  <c r="DI40" i="22" s="1"/>
  <c r="DJ42" i="22" s="1"/>
  <c r="EM81" i="22"/>
  <c r="EM80" i="22"/>
  <c r="EB69" i="22"/>
  <c r="EB66" i="22" s="1"/>
  <c r="EC68" i="22" s="1"/>
  <c r="DQ55" i="22"/>
  <c r="DQ54" i="22"/>
  <c r="FD94" i="22"/>
  <c r="FD93" i="22"/>
  <c r="DJ41" i="22" l="1"/>
  <c r="DJ43" i="22" s="1"/>
  <c r="DJ40" i="22" s="1"/>
  <c r="DK42" i="22" s="1"/>
  <c r="EM82" i="22"/>
  <c r="EM79" i="22" s="1"/>
  <c r="EN81" i="22" s="1"/>
  <c r="EC67" i="22"/>
  <c r="EC69" i="22" s="1"/>
  <c r="EC66" i="22" s="1"/>
  <c r="DQ56" i="22"/>
  <c r="DQ53" i="22" s="1"/>
  <c r="DR55" i="22" s="1"/>
  <c r="FD95" i="22"/>
  <c r="FD92" i="22" s="1"/>
  <c r="DK41" i="22" l="1"/>
  <c r="DK43" i="22" s="1"/>
  <c r="DK40" i="22" s="1"/>
  <c r="EN80" i="22"/>
  <c r="EN82" i="22" s="1"/>
  <c r="EN79" i="22" s="1"/>
  <c r="DR54" i="22"/>
  <c r="L156" i="22" s="1"/>
  <c r="ED68" i="22"/>
  <c r="M172" i="22" s="1"/>
  <c r="ED67" i="22"/>
  <c r="M157" i="22" s="1"/>
  <c r="B55" i="22"/>
  <c r="L171" i="22"/>
  <c r="FE94" i="22"/>
  <c r="FE93" i="22"/>
  <c r="EO80" i="22" l="1"/>
  <c r="EO81" i="22"/>
  <c r="DR56" i="22"/>
  <c r="DR53" i="22" s="1"/>
  <c r="ED69" i="22"/>
  <c r="ED66" i="22" s="1"/>
  <c r="EE67" i="22" s="1"/>
  <c r="FE95" i="22"/>
  <c r="FE92" i="22" s="1"/>
  <c r="DL42" i="22"/>
  <c r="DL41" i="22"/>
  <c r="B56" i="22" l="1"/>
  <c r="EE68" i="22"/>
  <c r="EE69" i="22" s="1"/>
  <c r="EE66" i="22" s="1"/>
  <c r="EO82" i="22"/>
  <c r="EO79" i="22" s="1"/>
  <c r="DL43" i="22"/>
  <c r="DL40" i="22" s="1"/>
  <c r="DM41" i="22" s="1"/>
  <c r="FF94" i="22"/>
  <c r="FF93" i="22"/>
  <c r="DS54" i="22"/>
  <c r="DS55" i="22"/>
  <c r="DM42" i="22" l="1"/>
  <c r="DM43" i="22" s="1"/>
  <c r="DM40" i="22" s="1"/>
  <c r="DN41" i="22" s="1"/>
  <c r="EP81" i="22"/>
  <c r="N173" i="22" s="1"/>
  <c r="EP80" i="22"/>
  <c r="FF95" i="22"/>
  <c r="FF92" i="22" s="1"/>
  <c r="DS56" i="22"/>
  <c r="DS53" i="22" s="1"/>
  <c r="EF68" i="22"/>
  <c r="EF67" i="22"/>
  <c r="DN42" i="22" l="1"/>
  <c r="DN43" i="22" s="1"/>
  <c r="DN40" i="22" s="1"/>
  <c r="DO41" i="22" s="1"/>
  <c r="EP82" i="22"/>
  <c r="EP79" i="22" s="1"/>
  <c r="N158" i="22"/>
  <c r="B80" i="22"/>
  <c r="DT55" i="22"/>
  <c r="DT54" i="22"/>
  <c r="FG94" i="22"/>
  <c r="FG93" i="22"/>
  <c r="EF69" i="22"/>
  <c r="EF66" i="22" s="1"/>
  <c r="DO42" i="22" l="1"/>
  <c r="DO43" i="22" s="1"/>
  <c r="DO40" i="22" s="1"/>
  <c r="DP42" i="22" s="1"/>
  <c r="EQ81" i="22"/>
  <c r="EQ80" i="22"/>
  <c r="EG68" i="22"/>
  <c r="EG67" i="22"/>
  <c r="FG95" i="22"/>
  <c r="FG92" i="22" s="1"/>
  <c r="DT56" i="22"/>
  <c r="DT53" i="22" s="1"/>
  <c r="EQ82" i="22" l="1"/>
  <c r="EQ79" i="22" s="1"/>
  <c r="ER80" i="22" s="1"/>
  <c r="DP41" i="22"/>
  <c r="DP43" i="22" s="1"/>
  <c r="DP40" i="22" s="1"/>
  <c r="EG69" i="22"/>
  <c r="EG66" i="22" s="1"/>
  <c r="DU54" i="22"/>
  <c r="DU55" i="22"/>
  <c r="FH94" i="22"/>
  <c r="FH93" i="22"/>
  <c r="ER81" i="22" l="1"/>
  <c r="ER82" i="22" s="1"/>
  <c r="ER79" i="22" s="1"/>
  <c r="DQ42" i="22"/>
  <c r="DQ41" i="22"/>
  <c r="EH68" i="22"/>
  <c r="EH67" i="22"/>
  <c r="DU56" i="22"/>
  <c r="DU53" i="22" s="1"/>
  <c r="FH95" i="22"/>
  <c r="FH92" i="22" s="1"/>
  <c r="ES80" i="22" l="1"/>
  <c r="ES81" i="22"/>
  <c r="DQ43" i="22"/>
  <c r="DQ40" i="22" s="1"/>
  <c r="DR42" i="22" s="1"/>
  <c r="L170" i="22" s="1"/>
  <c r="EH69" i="22"/>
  <c r="EH66" i="22" s="1"/>
  <c r="FI94" i="22"/>
  <c r="FI93" i="22"/>
  <c r="DV54" i="22"/>
  <c r="DV55" i="22"/>
  <c r="B42" i="22" l="1"/>
  <c r="ES82" i="22"/>
  <c r="ES79" i="22" s="1"/>
  <c r="ET80" i="22" s="1"/>
  <c r="DR41" i="22"/>
  <c r="DV56" i="22"/>
  <c r="DV53" i="22" s="1"/>
  <c r="FI95" i="22"/>
  <c r="FI92" i="22" s="1"/>
  <c r="EI68" i="22"/>
  <c r="EI67" i="22"/>
  <c r="ET81" i="22" l="1"/>
  <c r="ET82" i="22" s="1"/>
  <c r="ET79" i="22" s="1"/>
  <c r="DR43" i="22"/>
  <c r="L155" i="22"/>
  <c r="EI69" i="22"/>
  <c r="EI66" i="22" s="1"/>
  <c r="FJ94" i="22"/>
  <c r="FJ93" i="22"/>
  <c r="DW55" i="22"/>
  <c r="DW54" i="22"/>
  <c r="EU80" i="22" l="1"/>
  <c r="EU81" i="22"/>
  <c r="DR40" i="22"/>
  <c r="B43" i="22"/>
  <c r="FJ95" i="22"/>
  <c r="FJ92" i="22" s="1"/>
  <c r="FK93" i="22" s="1"/>
  <c r="DW56" i="22"/>
  <c r="DW53" i="22" s="1"/>
  <c r="EJ67" i="22"/>
  <c r="EJ68" i="22"/>
  <c r="EU82" i="22" l="1"/>
  <c r="EU79" i="22" s="1"/>
  <c r="EV81" i="22" s="1"/>
  <c r="FK94" i="22"/>
  <c r="FK95" i="22" s="1"/>
  <c r="FK92" i="22" s="1"/>
  <c r="DS42" i="22"/>
  <c r="DS41" i="22"/>
  <c r="EJ69" i="22"/>
  <c r="EJ66" i="22" s="1"/>
  <c r="EK67" i="22" s="1"/>
  <c r="DX55" i="22"/>
  <c r="DX54" i="22"/>
  <c r="EV80" i="22" l="1"/>
  <c r="EV82" i="22" s="1"/>
  <c r="EV79" i="22" s="1"/>
  <c r="EW81" i="22" s="1"/>
  <c r="EK68" i="22"/>
  <c r="EK69" i="22" s="1"/>
  <c r="EK66" i="22" s="1"/>
  <c r="EL67" i="22" s="1"/>
  <c r="FL94" i="22"/>
  <c r="FL93" i="22"/>
  <c r="DS43" i="22"/>
  <c r="DS40" i="22" s="1"/>
  <c r="DX56" i="22"/>
  <c r="DX53" i="22" s="1"/>
  <c r="DY54" i="22" s="1"/>
  <c r="DY55" i="22" l="1"/>
  <c r="DY56" i="22" s="1"/>
  <c r="DY53" i="22" s="1"/>
  <c r="DZ54" i="22" s="1"/>
  <c r="FL95" i="22"/>
  <c r="FL92" i="22" s="1"/>
  <c r="FM93" i="22" s="1"/>
  <c r="EW80" i="22"/>
  <c r="EW82" i="22" s="1"/>
  <c r="EW79" i="22" s="1"/>
  <c r="EL68" i="22"/>
  <c r="EL69" i="22" s="1"/>
  <c r="EL66" i="22" s="1"/>
  <c r="EM68" i="22" s="1"/>
  <c r="DT42" i="22"/>
  <c r="DT41" i="22"/>
  <c r="FM94" i="22" l="1"/>
  <c r="FM95" i="22" s="1"/>
  <c r="FM92" i="22" s="1"/>
  <c r="FN93" i="22" s="1"/>
  <c r="EX81" i="22"/>
  <c r="EX80" i="22"/>
  <c r="EM67" i="22"/>
  <c r="EM69" i="22" s="1"/>
  <c r="EM66" i="22" s="1"/>
  <c r="EN68" i="22" s="1"/>
  <c r="DZ55" i="22"/>
  <c r="DZ56" i="22" s="1"/>
  <c r="DZ53" i="22" s="1"/>
  <c r="EA54" i="22" s="1"/>
  <c r="DT43" i="22"/>
  <c r="DT40" i="22" s="1"/>
  <c r="FN94" i="22" l="1"/>
  <c r="P174" i="22" s="1"/>
  <c r="P159" i="22"/>
  <c r="EX82" i="22"/>
  <c r="EX79" i="22" s="1"/>
  <c r="EY81" i="22" s="1"/>
  <c r="EN67" i="22"/>
  <c r="EN69" i="22" s="1"/>
  <c r="EN66" i="22" s="1"/>
  <c r="EO68" i="22" s="1"/>
  <c r="DU42" i="22"/>
  <c r="DU41" i="22"/>
  <c r="EA55" i="22"/>
  <c r="EA56" i="22" s="1"/>
  <c r="EA53" i="22" s="1"/>
  <c r="FN95" i="22" l="1"/>
  <c r="FN92" i="22" s="1"/>
  <c r="EY80" i="22"/>
  <c r="EY82" i="22" s="1"/>
  <c r="EY79" i="22" s="1"/>
  <c r="DU43" i="22"/>
  <c r="DU40" i="22" s="1"/>
  <c r="EO67" i="22"/>
  <c r="EO69" i="22" s="1"/>
  <c r="EO66" i="22" s="1"/>
  <c r="EP68" i="22" s="1"/>
  <c r="N172" i="22" s="1"/>
  <c r="EB55" i="22"/>
  <c r="EB54" i="22"/>
  <c r="FO94" i="22" l="1"/>
  <c r="FO93" i="22"/>
  <c r="EZ80" i="22"/>
  <c r="EZ81" i="22"/>
  <c r="DV42" i="22"/>
  <c r="DV41" i="22"/>
  <c r="EP67" i="22"/>
  <c r="B67" i="22" s="1"/>
  <c r="EB56" i="22"/>
  <c r="EB53" i="22" s="1"/>
  <c r="EP69" i="22" l="1"/>
  <c r="EP66" i="22" s="1"/>
  <c r="EQ67" i="22" s="1"/>
  <c r="FO95" i="22"/>
  <c r="FO92" i="22" s="1"/>
  <c r="FP94" i="22" s="1"/>
  <c r="EZ82" i="22"/>
  <c r="EZ79" i="22" s="1"/>
  <c r="FA81" i="22" s="1"/>
  <c r="N157" i="22"/>
  <c r="DV43" i="22"/>
  <c r="DV40" i="22" s="1"/>
  <c r="EC55" i="22"/>
  <c r="EC54" i="22"/>
  <c r="EQ68" i="22" l="1"/>
  <c r="EQ69" i="22" s="1"/>
  <c r="EQ66" i="22" s="1"/>
  <c r="FP93" i="22"/>
  <c r="FP95" i="22" s="1"/>
  <c r="FP92" i="22" s="1"/>
  <c r="FQ94" i="22" s="1"/>
  <c r="FA80" i="22"/>
  <c r="FA82" i="22" s="1"/>
  <c r="FA79" i="22" s="1"/>
  <c r="FB81" i="22" s="1"/>
  <c r="O173" i="22" s="1"/>
  <c r="DW41" i="22"/>
  <c r="DW42" i="22"/>
  <c r="EC56" i="22"/>
  <c r="EC53" i="22" s="1"/>
  <c r="FQ93" i="22" l="1"/>
  <c r="FQ95" i="22" s="1"/>
  <c r="FQ92" i="22" s="1"/>
  <c r="FB80" i="22"/>
  <c r="FB82" i="22" s="1"/>
  <c r="FB79" i="22" s="1"/>
  <c r="DW43" i="22"/>
  <c r="DW40" i="22" s="1"/>
  <c r="DX41" i="22" s="1"/>
  <c r="ER68" i="22"/>
  <c r="ER67" i="22"/>
  <c r="ED55" i="22"/>
  <c r="M171" i="22" s="1"/>
  <c r="ED54" i="22"/>
  <c r="O158" i="22" l="1"/>
  <c r="FC80" i="22"/>
  <c r="FC81" i="22"/>
  <c r="DX42" i="22"/>
  <c r="DX43" i="22" s="1"/>
  <c r="DX40" i="22" s="1"/>
  <c r="DY42" i="22" s="1"/>
  <c r="ED56" i="22"/>
  <c r="ED53" i="22" s="1"/>
  <c r="M156" i="22"/>
  <c r="ER69" i="22"/>
  <c r="ER66" i="22" s="1"/>
  <c r="FR94" i="22"/>
  <c r="FR93" i="22"/>
  <c r="FC82" i="22" l="1"/>
  <c r="FC79" i="22" s="1"/>
  <c r="FD80" i="22" s="1"/>
  <c r="DY41" i="22"/>
  <c r="DY43" i="22" s="1"/>
  <c r="DY40" i="22" s="1"/>
  <c r="DZ42" i="22" s="1"/>
  <c r="FR95" i="22"/>
  <c r="FR92" i="22" s="1"/>
  <c r="ES68" i="22"/>
  <c r="ES67" i="22"/>
  <c r="EE54" i="22"/>
  <c r="EE55" i="22"/>
  <c r="FD81" i="22" l="1"/>
  <c r="FD82" i="22" s="1"/>
  <c r="FD79" i="22" s="1"/>
  <c r="DZ41" i="22"/>
  <c r="DZ43" i="22" s="1"/>
  <c r="DZ40" i="22" s="1"/>
  <c r="EA42" i="22" s="1"/>
  <c r="EE56" i="22"/>
  <c r="EE53" i="22" s="1"/>
  <c r="ES69" i="22"/>
  <c r="ES66" i="22" s="1"/>
  <c r="FS94" i="22"/>
  <c r="FS93" i="22"/>
  <c r="FE81" i="22" l="1"/>
  <c r="FE80" i="22"/>
  <c r="EA41" i="22"/>
  <c r="EA43" i="22" s="1"/>
  <c r="EA40" i="22" s="1"/>
  <c r="FS95" i="22"/>
  <c r="FS92" i="22" s="1"/>
  <c r="ET68" i="22"/>
  <c r="ET67" i="22"/>
  <c r="EF55" i="22"/>
  <c r="EF54" i="22"/>
  <c r="FE82" i="22" l="1"/>
  <c r="FE79" i="22" s="1"/>
  <c r="FF81" i="22" s="1"/>
  <c r="EB42" i="22"/>
  <c r="EB41" i="22"/>
  <c r="ET69" i="22"/>
  <c r="ET66" i="22" s="1"/>
  <c r="EF56" i="22"/>
  <c r="EF53" i="22" s="1"/>
  <c r="FT94" i="22"/>
  <c r="FT93" i="22"/>
  <c r="FF80" i="22" l="1"/>
  <c r="FF82" i="22" s="1"/>
  <c r="FF79" i="22" s="1"/>
  <c r="EB43" i="22"/>
  <c r="EB40" i="22" s="1"/>
  <c r="EC42" i="22" s="1"/>
  <c r="FT95" i="22"/>
  <c r="FT92" i="22" s="1"/>
  <c r="FU93" i="22" s="1"/>
  <c r="EU68" i="22"/>
  <c r="EU67" i="22"/>
  <c r="EG54" i="22"/>
  <c r="EG55" i="22"/>
  <c r="FG80" i="22" l="1"/>
  <c r="FG81" i="22"/>
  <c r="EC41" i="22"/>
  <c r="EC43" i="22" s="1"/>
  <c r="EC40" i="22" s="1"/>
  <c r="ED42" i="22" s="1"/>
  <c r="M170" i="22" s="1"/>
  <c r="FU94" i="22"/>
  <c r="FU95" i="22" s="1"/>
  <c r="FU92" i="22" s="1"/>
  <c r="EG56" i="22"/>
  <c r="EG53" i="22" s="1"/>
  <c r="EU69" i="22"/>
  <c r="EU66" i="22" s="1"/>
  <c r="FG82" i="22" l="1"/>
  <c r="FG79" i="22" s="1"/>
  <c r="ED41" i="22"/>
  <c r="M155" i="22" s="1"/>
  <c r="FV93" i="22"/>
  <c r="FV94" i="22"/>
  <c r="EH55" i="22"/>
  <c r="EH54" i="22"/>
  <c r="EV68" i="22"/>
  <c r="EV67" i="22"/>
  <c r="FH81" i="22" l="1"/>
  <c r="FH80" i="22"/>
  <c r="ED43" i="22"/>
  <c r="ED40" i="22" s="1"/>
  <c r="EE42" i="22" s="1"/>
  <c r="FV95" i="22"/>
  <c r="FV92" i="22" s="1"/>
  <c r="FW94" i="22" s="1"/>
  <c r="EV69" i="22"/>
  <c r="EV66" i="22" s="1"/>
  <c r="EW68" i="22" s="1"/>
  <c r="EH56" i="22"/>
  <c r="EH53" i="22" s="1"/>
  <c r="EE41" i="22" l="1"/>
  <c r="EE43" i="22" s="1"/>
  <c r="EE40" i="22" s="1"/>
  <c r="EF42" i="22" s="1"/>
  <c r="FH82" i="22"/>
  <c r="FH79" i="22" s="1"/>
  <c r="FI81" i="22" s="1"/>
  <c r="FW93" i="22"/>
  <c r="FW95" i="22" s="1"/>
  <c r="FW92" i="22" s="1"/>
  <c r="FX93" i="22" s="1"/>
  <c r="EW67" i="22"/>
  <c r="EW69" i="22" s="1"/>
  <c r="EW66" i="22" s="1"/>
  <c r="EX68" i="22" s="1"/>
  <c r="EI55" i="22"/>
  <c r="EI54" i="22"/>
  <c r="FI80" i="22" l="1"/>
  <c r="FI82" i="22" s="1"/>
  <c r="FI79" i="22" s="1"/>
  <c r="FJ80" i="22" s="1"/>
  <c r="EF41" i="22"/>
  <c r="EF43" i="22" s="1"/>
  <c r="EF40" i="22" s="1"/>
  <c r="EG41" i="22" s="1"/>
  <c r="FX94" i="22"/>
  <c r="FX95" i="22" s="1"/>
  <c r="FX92" i="22" s="1"/>
  <c r="EX67" i="22"/>
  <c r="EX69" i="22" s="1"/>
  <c r="EX66" i="22" s="1"/>
  <c r="EY68" i="22" s="1"/>
  <c r="EI56" i="22"/>
  <c r="EI53" i="22" s="1"/>
  <c r="EG42" i="22" l="1"/>
  <c r="EG43" i="22" s="1"/>
  <c r="EG40" i="22" s="1"/>
  <c r="FJ81" i="22"/>
  <c r="FJ82" i="22" s="1"/>
  <c r="FJ79" i="22" s="1"/>
  <c r="EY67" i="22"/>
  <c r="EY69" i="22" s="1"/>
  <c r="EY66" i="22" s="1"/>
  <c r="FY93" i="22"/>
  <c r="FY94" i="22"/>
  <c r="EJ55" i="22"/>
  <c r="EJ54" i="22"/>
  <c r="FK81" i="22" l="1"/>
  <c r="FK80" i="22"/>
  <c r="EZ67" i="22"/>
  <c r="EZ68" i="22"/>
  <c r="EJ56" i="22"/>
  <c r="EJ53" i="22" s="1"/>
  <c r="EK54" i="22" s="1"/>
  <c r="FY95" i="22"/>
  <c r="FY92" i="22" s="1"/>
  <c r="FZ93" i="22" s="1"/>
  <c r="EH42" i="22"/>
  <c r="EH41" i="22"/>
  <c r="FK82" i="22" l="1"/>
  <c r="FK79" i="22" s="1"/>
  <c r="EK55" i="22"/>
  <c r="EK56" i="22" s="1"/>
  <c r="EK53" i="22" s="1"/>
  <c r="FZ94" i="22"/>
  <c r="Q174" i="22" s="1"/>
  <c r="B174" i="22" s="1"/>
  <c r="EZ69" i="22"/>
  <c r="EZ66" i="22" s="1"/>
  <c r="Q159" i="22"/>
  <c r="B159" i="22" s="1"/>
  <c r="EH43" i="22"/>
  <c r="EH40" i="22" s="1"/>
  <c r="EL55" i="22" l="1"/>
  <c r="EL54" i="22"/>
  <c r="FL81" i="22"/>
  <c r="FL80" i="22"/>
  <c r="FZ95" i="22"/>
  <c r="FZ92" i="22" s="1"/>
  <c r="FA67" i="22"/>
  <c r="FA68" i="22"/>
  <c r="EI42" i="22"/>
  <c r="EI41" i="22"/>
  <c r="EL56" i="22" l="1"/>
  <c r="EL53" i="22" s="1"/>
  <c r="EM54" i="22" s="1"/>
  <c r="FL82" i="22"/>
  <c r="FL79" i="22" s="1"/>
  <c r="FA69" i="22"/>
  <c r="FA66" i="22" s="1"/>
  <c r="FB68" i="22" s="1"/>
  <c r="O172" i="22" s="1"/>
  <c r="EI43" i="22"/>
  <c r="EI40" i="22" s="1"/>
  <c r="EM55" i="22" l="1"/>
  <c r="EM56" i="22" s="1"/>
  <c r="EM53" i="22" s="1"/>
  <c r="FM80" i="22"/>
  <c r="FM81" i="22"/>
  <c r="FB67" i="22"/>
  <c r="O157" i="22" s="1"/>
  <c r="EJ42" i="22"/>
  <c r="EJ41" i="22"/>
  <c r="EN54" i="22" l="1"/>
  <c r="EN55" i="22"/>
  <c r="FB69" i="22"/>
  <c r="FB66" i="22" s="1"/>
  <c r="FC67" i="22" s="1"/>
  <c r="FM82" i="22"/>
  <c r="FM79" i="22" s="1"/>
  <c r="FN81" i="22" s="1"/>
  <c r="P173" i="22" s="1"/>
  <c r="EJ43" i="22"/>
  <c r="EJ40" i="22" s="1"/>
  <c r="EK42" i="22" s="1"/>
  <c r="FC68" i="22" l="1"/>
  <c r="FC69" i="22" s="1"/>
  <c r="FC66" i="22" s="1"/>
  <c r="FD68" i="22" s="1"/>
  <c r="EN56" i="22"/>
  <c r="EN53" i="22" s="1"/>
  <c r="EK41" i="22"/>
  <c r="EK43" i="22" s="1"/>
  <c r="EK40" i="22" s="1"/>
  <c r="FN80" i="22"/>
  <c r="FN82" i="22" s="1"/>
  <c r="FN79" i="22" s="1"/>
  <c r="EO54" i="22" l="1"/>
  <c r="EO55" i="22"/>
  <c r="EL42" i="22"/>
  <c r="EL41" i="22"/>
  <c r="P158" i="22"/>
  <c r="FO81" i="22"/>
  <c r="FO80" i="22"/>
  <c r="FD67" i="22"/>
  <c r="FD69" i="22" s="1"/>
  <c r="FD66" i="22" s="1"/>
  <c r="FE67" i="22" s="1"/>
  <c r="EO56" i="22" l="1"/>
  <c r="EO53" i="22" s="1"/>
  <c r="EP55" i="22" s="1"/>
  <c r="N171" i="22" s="1"/>
  <c r="EL43" i="22"/>
  <c r="EL40" i="22" s="1"/>
  <c r="EM41" i="22" s="1"/>
  <c r="FO82" i="22"/>
  <c r="FO79" i="22" s="1"/>
  <c r="FE68" i="22"/>
  <c r="FE69" i="22" s="1"/>
  <c r="FE66" i="22" s="1"/>
  <c r="EM42" i="22" l="1"/>
  <c r="EM43" i="22" s="1"/>
  <c r="EM40" i="22" s="1"/>
  <c r="EP54" i="22"/>
  <c r="EP56" i="22" s="1"/>
  <c r="EP53" i="22" s="1"/>
  <c r="FP81" i="22"/>
  <c r="FP80" i="22"/>
  <c r="FF68" i="22"/>
  <c r="FF67" i="22"/>
  <c r="EN42" i="22" l="1"/>
  <c r="EN41" i="22"/>
  <c r="N156" i="22"/>
  <c r="B54" i="22"/>
  <c r="EQ54" i="22"/>
  <c r="EQ55" i="22"/>
  <c r="FP82" i="22"/>
  <c r="FP79" i="22" s="1"/>
  <c r="FF69" i="22"/>
  <c r="FF66" i="22" s="1"/>
  <c r="EN43" i="22" l="1"/>
  <c r="EN40" i="22" s="1"/>
  <c r="EO41" i="22" s="1"/>
  <c r="EQ56" i="22"/>
  <c r="EQ53" i="22" s="1"/>
  <c r="ER54" i="22" s="1"/>
  <c r="FQ81" i="22"/>
  <c r="FQ80" i="22"/>
  <c r="FG68" i="22"/>
  <c r="FG67" i="22"/>
  <c r="EO42" i="22" l="1"/>
  <c r="EO43" i="22" s="1"/>
  <c r="EO40" i="22" s="1"/>
  <c r="EP42" i="22" s="1"/>
  <c r="N170" i="22" s="1"/>
  <c r="ER55" i="22"/>
  <c r="ER56" i="22" s="1"/>
  <c r="ER53" i="22" s="1"/>
  <c r="FQ82" i="22"/>
  <c r="FQ79" i="22" s="1"/>
  <c r="FG69" i="22"/>
  <c r="FG66" i="22" s="1"/>
  <c r="EP41" i="22" l="1"/>
  <c r="EP43" i="22" s="1"/>
  <c r="EP40" i="22" s="1"/>
  <c r="EQ41" i="22" s="1"/>
  <c r="ES55" i="22"/>
  <c r="ES54" i="22"/>
  <c r="FR80" i="22"/>
  <c r="FR81" i="22"/>
  <c r="FH68" i="22"/>
  <c r="FH67" i="22"/>
  <c r="EQ42" i="22" l="1"/>
  <c r="EQ43" i="22" s="1"/>
  <c r="EQ40" i="22" s="1"/>
  <c r="N155" i="22"/>
  <c r="B41" i="22"/>
  <c r="ES56" i="22"/>
  <c r="ES53" i="22" s="1"/>
  <c r="FR82" i="22"/>
  <c r="FR79" i="22" s="1"/>
  <c r="FS81" i="22" s="1"/>
  <c r="FH69" i="22"/>
  <c r="FH66" i="22" s="1"/>
  <c r="FI67" i="22" s="1"/>
  <c r="ET54" i="22" l="1"/>
  <c r="ET55" i="22"/>
  <c r="FS80" i="22"/>
  <c r="FS82" i="22" s="1"/>
  <c r="FS79" i="22" s="1"/>
  <c r="FI68" i="22"/>
  <c r="FI69" i="22" s="1"/>
  <c r="FI66" i="22" s="1"/>
  <c r="FJ68" i="22" s="1"/>
  <c r="ER42" i="22"/>
  <c r="ER41" i="22"/>
  <c r="ET56" i="22" l="1"/>
  <c r="ET53" i="22" s="1"/>
  <c r="FT81" i="22"/>
  <c r="FT80" i="22"/>
  <c r="FJ67" i="22"/>
  <c r="FJ69" i="22" s="1"/>
  <c r="FJ66" i="22" s="1"/>
  <c r="FK68" i="22" s="1"/>
  <c r="ER43" i="22"/>
  <c r="ER40" i="22" s="1"/>
  <c r="EU54" i="22" l="1"/>
  <c r="EU55" i="22"/>
  <c r="FT82" i="22"/>
  <c r="FT79" i="22" s="1"/>
  <c r="FK67" i="22"/>
  <c r="FK69" i="22" s="1"/>
  <c r="FK66" i="22" s="1"/>
  <c r="ES42" i="22"/>
  <c r="ES41" i="22"/>
  <c r="EU56" i="22" l="1"/>
  <c r="EU53" i="22" s="1"/>
  <c r="FU80" i="22"/>
  <c r="FU81" i="22"/>
  <c r="FL67" i="22"/>
  <c r="FL68" i="22"/>
  <c r="ES43" i="22"/>
  <c r="ES40" i="22" s="1"/>
  <c r="EV54" i="22" l="1"/>
  <c r="EV55" i="22"/>
  <c r="FU82" i="22"/>
  <c r="FU79" i="22" s="1"/>
  <c r="FV80" i="22" s="1"/>
  <c r="FL69" i="22"/>
  <c r="FL66" i="22" s="1"/>
  <c r="FM68" i="22" s="1"/>
  <c r="ET42" i="22"/>
  <c r="ET41" i="22"/>
  <c r="EV56" i="22" l="1"/>
  <c r="EV53" i="22" s="1"/>
  <c r="FV81" i="22"/>
  <c r="FV82" i="22" s="1"/>
  <c r="FV79" i="22" s="1"/>
  <c r="FM67" i="22"/>
  <c r="FM69" i="22" s="1"/>
  <c r="FM66" i="22" s="1"/>
  <c r="FN67" i="22" s="1"/>
  <c r="ET43" i="22"/>
  <c r="ET40" i="22" s="1"/>
  <c r="EW54" i="22" l="1"/>
  <c r="EW55" i="22"/>
  <c r="FW81" i="22"/>
  <c r="FW80" i="22"/>
  <c r="FN68" i="22"/>
  <c r="P172" i="22" s="1"/>
  <c r="P157" i="22"/>
  <c r="EU42" i="22"/>
  <c r="EU41" i="22"/>
  <c r="EW56" i="22" l="1"/>
  <c r="EW53" i="22" s="1"/>
  <c r="EX55" i="22" s="1"/>
  <c r="FW82" i="22"/>
  <c r="FW79" i="22" s="1"/>
  <c r="FN69" i="22"/>
  <c r="FN66" i="22" s="1"/>
  <c r="FO68" i="22" s="1"/>
  <c r="EU43" i="22"/>
  <c r="EU40" i="22" s="1"/>
  <c r="EX54" i="22" l="1"/>
  <c r="EX56" i="22" s="1"/>
  <c r="EX53" i="22" s="1"/>
  <c r="FO67" i="22"/>
  <c r="FO69" i="22" s="1"/>
  <c r="FO66" i="22" s="1"/>
  <c r="FX80" i="22"/>
  <c r="FX81" i="22"/>
  <c r="EV41" i="22"/>
  <c r="EV42" i="22"/>
  <c r="EY55" i="22" l="1"/>
  <c r="EY54" i="22"/>
  <c r="FX82" i="22"/>
  <c r="FX79" i="22" s="1"/>
  <c r="EV43" i="22"/>
  <c r="EV40" i="22" s="1"/>
  <c r="EW41" i="22" s="1"/>
  <c r="FP68" i="22"/>
  <c r="FP67" i="22"/>
  <c r="EY56" i="22" l="1"/>
  <c r="EY53" i="22" s="1"/>
  <c r="EZ55" i="22" s="1"/>
  <c r="FY81" i="22"/>
  <c r="FY80" i="22"/>
  <c r="EW42" i="22"/>
  <c r="EW43" i="22" s="1"/>
  <c r="EW40" i="22" s="1"/>
  <c r="FP69" i="22"/>
  <c r="FP66" i="22" s="1"/>
  <c r="EZ54" i="22" l="1"/>
  <c r="EZ56" i="22" s="1"/>
  <c r="EZ53" i="22" s="1"/>
  <c r="FA55" i="22" s="1"/>
  <c r="FY82" i="22"/>
  <c r="FY79" i="22" s="1"/>
  <c r="EX42" i="22"/>
  <c r="EX41" i="22"/>
  <c r="FQ68" i="22"/>
  <c r="FQ67" i="22"/>
  <c r="FA54" i="22" l="1"/>
  <c r="FA56" i="22" s="1"/>
  <c r="FA53" i="22" s="1"/>
  <c r="FZ80" i="22"/>
  <c r="FZ81" i="22"/>
  <c r="Q173" i="22" s="1"/>
  <c r="B173" i="22" s="1"/>
  <c r="EX43" i="22"/>
  <c r="EX40" i="22" s="1"/>
  <c r="FQ69" i="22"/>
  <c r="FQ66" i="22" s="1"/>
  <c r="FB55" i="22" l="1"/>
  <c r="O171" i="22" s="1"/>
  <c r="FB54" i="22"/>
  <c r="FZ82" i="22"/>
  <c r="FZ79" i="22" s="1"/>
  <c r="Q158" i="22"/>
  <c r="B158" i="22" s="1"/>
  <c r="EY41" i="22"/>
  <c r="EY42" i="22"/>
  <c r="FR68" i="22"/>
  <c r="FR67" i="22"/>
  <c r="O156" i="22" l="1"/>
  <c r="FB56" i="22"/>
  <c r="FB53" i="22" s="1"/>
  <c r="EY43" i="22"/>
  <c r="EY40" i="22" s="1"/>
  <c r="EZ42" i="22" s="1"/>
  <c r="FR69" i="22"/>
  <c r="FR66" i="22" s="1"/>
  <c r="FC55" i="22" l="1"/>
  <c r="FC54" i="22"/>
  <c r="EZ41" i="22"/>
  <c r="EZ43" i="22" s="1"/>
  <c r="EZ40" i="22" s="1"/>
  <c r="FS67" i="22"/>
  <c r="FS68" i="22"/>
  <c r="FC56" i="22" l="1"/>
  <c r="FC53" i="22" s="1"/>
  <c r="FA41" i="22"/>
  <c r="FA42" i="22"/>
  <c r="FS69" i="22"/>
  <c r="FS66" i="22" s="1"/>
  <c r="FD54" i="22" l="1"/>
  <c r="FD55" i="22"/>
  <c r="FA43" i="22"/>
  <c r="FA40" i="22" s="1"/>
  <c r="FB41" i="22" s="1"/>
  <c r="O155" i="22" s="1"/>
  <c r="FT68" i="22"/>
  <c r="FT67" i="22"/>
  <c r="FD56" i="22" l="1"/>
  <c r="FD53" i="22" s="1"/>
  <c r="FB42" i="22"/>
  <c r="O170" i="22" s="1"/>
  <c r="FT69" i="22"/>
  <c r="FT66" i="22" s="1"/>
  <c r="FU68" i="22" s="1"/>
  <c r="FE55" i="22" l="1"/>
  <c r="FE54" i="22"/>
  <c r="FB43" i="22"/>
  <c r="FB40" i="22" s="1"/>
  <c r="FU67" i="22"/>
  <c r="FU69" i="22" s="1"/>
  <c r="FU66" i="22" s="1"/>
  <c r="FE56" i="22" l="1"/>
  <c r="FE53" i="22" s="1"/>
  <c r="FC42" i="22"/>
  <c r="FC41" i="22"/>
  <c r="FV68" i="22"/>
  <c r="FV67" i="22"/>
  <c r="FF54" i="22" l="1"/>
  <c r="FF55" i="22"/>
  <c r="FC43" i="22"/>
  <c r="FC40" i="22" s="1"/>
  <c r="FV69" i="22"/>
  <c r="FV66" i="22" s="1"/>
  <c r="FW67" i="22" s="1"/>
  <c r="FF56" i="22" l="1"/>
  <c r="FF53" i="22" s="1"/>
  <c r="FG55" i="22" s="1"/>
  <c r="FD42" i="22"/>
  <c r="FD41" i="22"/>
  <c r="FW68" i="22"/>
  <c r="FW69" i="22" s="1"/>
  <c r="FW66" i="22" s="1"/>
  <c r="FX67" i="22" s="1"/>
  <c r="FG54" i="22" l="1"/>
  <c r="FG56" i="22" s="1"/>
  <c r="FG53" i="22" s="1"/>
  <c r="FD43" i="22"/>
  <c r="FD40" i="22" s="1"/>
  <c r="FX68" i="22"/>
  <c r="FX69" i="22" s="1"/>
  <c r="FX66" i="22" s="1"/>
  <c r="FH55" i="22" l="1"/>
  <c r="FH54" i="22"/>
  <c r="FE41" i="22"/>
  <c r="FE42" i="22"/>
  <c r="FY68" i="22"/>
  <c r="FY67" i="22"/>
  <c r="FH56" i="22" l="1"/>
  <c r="FH53" i="22" s="1"/>
  <c r="FI54" i="22" s="1"/>
  <c r="FE43" i="22"/>
  <c r="FE40" i="22" s="1"/>
  <c r="FF41" i="22" s="1"/>
  <c r="FY69" i="22"/>
  <c r="FY66" i="22" s="1"/>
  <c r="FZ67" i="22" s="1"/>
  <c r="FI55" i="22" l="1"/>
  <c r="FI56" i="22" s="1"/>
  <c r="FI53" i="22" s="1"/>
  <c r="FF42" i="22"/>
  <c r="FF43" i="22" s="1"/>
  <c r="FF40" i="22" s="1"/>
  <c r="FG42" i="22" s="1"/>
  <c r="FZ68" i="22"/>
  <c r="Q172" i="22" s="1"/>
  <c r="B172" i="22" s="1"/>
  <c r="Q157" i="22"/>
  <c r="B157" i="22" s="1"/>
  <c r="FJ55" i="22" l="1"/>
  <c r="FJ54" i="22"/>
  <c r="FG41" i="22"/>
  <c r="FG43" i="22" s="1"/>
  <c r="FG40" i="22" s="1"/>
  <c r="FZ69" i="22"/>
  <c r="FZ66" i="22" s="1"/>
  <c r="FJ56" i="22" l="1"/>
  <c r="FJ53" i="22" s="1"/>
  <c r="FH41" i="22"/>
  <c r="FH42" i="22"/>
  <c r="FK55" i="22" l="1"/>
  <c r="FK54" i="22"/>
  <c r="FH43" i="22"/>
  <c r="FH40" i="22" s="1"/>
  <c r="FI41" i="22" s="1"/>
  <c r="FK56" i="22" l="1"/>
  <c r="FK53" i="22" s="1"/>
  <c r="FI42" i="22"/>
  <c r="FI43" i="22" s="1"/>
  <c r="FI40" i="22" s="1"/>
  <c r="FJ42" i="22" s="1"/>
  <c r="FL54" i="22" l="1"/>
  <c r="FL55" i="22"/>
  <c r="FJ41" i="22"/>
  <c r="FJ43" i="22" s="1"/>
  <c r="FJ40" i="22" s="1"/>
  <c r="FK42" i="22" s="1"/>
  <c r="FL56" i="22" l="1"/>
  <c r="FL53" i="22" s="1"/>
  <c r="FK41" i="22"/>
  <c r="FK43" i="22" s="1"/>
  <c r="FK40" i="22" s="1"/>
  <c r="FL42" i="22" s="1"/>
  <c r="FM55" i="22" l="1"/>
  <c r="FM54" i="22"/>
  <c r="FL41" i="22"/>
  <c r="FL43" i="22" s="1"/>
  <c r="FL40" i="22" s="1"/>
  <c r="FM56" i="22" l="1"/>
  <c r="FM53" i="22" s="1"/>
  <c r="FM42" i="22"/>
  <c r="FM41" i="22"/>
  <c r="FN55" i="22" l="1"/>
  <c r="P171" i="22" s="1"/>
  <c r="FN54" i="22"/>
  <c r="FM43" i="22"/>
  <c r="FM40" i="22" s="1"/>
  <c r="FN56" i="22" l="1"/>
  <c r="FN53" i="22" s="1"/>
  <c r="P156" i="22"/>
  <c r="FN41" i="22"/>
  <c r="FN42" i="22"/>
  <c r="P170" i="22" s="1"/>
  <c r="FO55" i="22" l="1"/>
  <c r="FO54" i="22"/>
  <c r="FN43" i="22"/>
  <c r="FN40" i="22" s="1"/>
  <c r="P155" i="22"/>
  <c r="FO56" i="22" l="1"/>
  <c r="FO53" i="22" s="1"/>
  <c r="FO42" i="22"/>
  <c r="FO41" i="22"/>
  <c r="FP55" i="22" l="1"/>
  <c r="FP54" i="22"/>
  <c r="FO43" i="22"/>
  <c r="FO40" i="22" s="1"/>
  <c r="FP56" i="22" l="1"/>
  <c r="FP53" i="22" s="1"/>
  <c r="FP42" i="22"/>
  <c r="FP41" i="22"/>
  <c r="FQ54" i="22" l="1"/>
  <c r="FQ55" i="22"/>
  <c r="FP43" i="22"/>
  <c r="FP40" i="22" s="1"/>
  <c r="FQ56" i="22" l="1"/>
  <c r="FQ53" i="22" s="1"/>
  <c r="FR54" i="22" s="1"/>
  <c r="FQ41" i="22"/>
  <c r="FQ42" i="22"/>
  <c r="FR55" i="22" l="1"/>
  <c r="FR56" i="22" s="1"/>
  <c r="FR53" i="22" s="1"/>
  <c r="FS54" i="22" s="1"/>
  <c r="FQ43" i="22"/>
  <c r="FQ40" i="22" s="1"/>
  <c r="FR42" i="22" s="1"/>
  <c r="FS55" i="22" l="1"/>
  <c r="FS56" i="22" s="1"/>
  <c r="FS53" i="22" s="1"/>
  <c r="FR41" i="22"/>
  <c r="FR43" i="22" s="1"/>
  <c r="FR40" i="22" s="1"/>
  <c r="FS41" i="22" s="1"/>
  <c r="FT55" i="22" l="1"/>
  <c r="FT54" i="22"/>
  <c r="FS42" i="22"/>
  <c r="FS43" i="22" s="1"/>
  <c r="FS40" i="22" s="1"/>
  <c r="FT56" i="22" l="1"/>
  <c r="FT53" i="22" s="1"/>
  <c r="FT42" i="22"/>
  <c r="FT41" i="22"/>
  <c r="FU55" i="22" l="1"/>
  <c r="FU54" i="22"/>
  <c r="FT43" i="22"/>
  <c r="FT40" i="22" s="1"/>
  <c r="FU41" i="22" s="1"/>
  <c r="FU56" i="22" l="1"/>
  <c r="FU53" i="22" s="1"/>
  <c r="FU42" i="22"/>
  <c r="FU43" i="22" s="1"/>
  <c r="FU40" i="22" s="1"/>
  <c r="FV55" i="22" l="1"/>
  <c r="FV54" i="22"/>
  <c r="FV41" i="22"/>
  <c r="FV42" i="22"/>
  <c r="FV56" i="22" l="1"/>
  <c r="FV53" i="22" s="1"/>
  <c r="FV43" i="22"/>
  <c r="FV40" i="22" s="1"/>
  <c r="FW42" i="22" s="1"/>
  <c r="FW55" i="22" l="1"/>
  <c r="FW54" i="22"/>
  <c r="FW41" i="22"/>
  <c r="FW43" i="22" s="1"/>
  <c r="FW40" i="22" s="1"/>
  <c r="FX42" i="22" s="1"/>
  <c r="FW56" i="22" l="1"/>
  <c r="FW53" i="22" s="1"/>
  <c r="FX41" i="22"/>
  <c r="FX43" i="22" s="1"/>
  <c r="FX40" i="22" s="1"/>
  <c r="FY42" i="22" s="1"/>
  <c r="FX54" i="22" l="1"/>
  <c r="FX55" i="22"/>
  <c r="FY41" i="22"/>
  <c r="FY43" i="22" s="1"/>
  <c r="FY40" i="22" s="1"/>
  <c r="FZ42" i="22" s="1"/>
  <c r="Q170" i="22" s="1"/>
  <c r="FX56" i="22" l="1"/>
  <c r="FX53" i="22" s="1"/>
  <c r="B170" i="22"/>
  <c r="FZ41" i="22"/>
  <c r="O7" i="38" l="1"/>
  <c r="FY54" i="22"/>
  <c r="FY55" i="22"/>
  <c r="Q155" i="22"/>
  <c r="FZ43" i="22"/>
  <c r="FZ40" i="22" s="1"/>
  <c r="FY56" i="22" l="1"/>
  <c r="FY53" i="22" s="1"/>
  <c r="B155" i="22"/>
  <c r="M7" i="38" l="1"/>
  <c r="FZ54" i="22"/>
  <c r="FZ55" i="22"/>
  <c r="Q171" i="22" s="1"/>
  <c r="B171" i="22" s="1"/>
  <c r="O8" i="38" l="1"/>
  <c r="J11" i="31"/>
  <c r="J13" i="31" s="1"/>
  <c r="J15" i="31" s="1"/>
  <c r="J17" i="31" s="1"/>
  <c r="J68" i="18"/>
  <c r="FZ56" i="22"/>
  <c r="FZ53" i="22" s="1"/>
  <c r="Q156" i="22"/>
  <c r="B156" i="22" s="1"/>
  <c r="B99" i="22"/>
  <c r="B105" i="22" s="1"/>
  <c r="CH105" i="22" s="1"/>
  <c r="J18" i="31" l="1"/>
  <c r="J20" i="31" s="1"/>
  <c r="K24" i="13" s="1"/>
  <c r="K25" i="13" s="1"/>
  <c r="B112" i="22"/>
  <c r="M8" i="38"/>
  <c r="B102" i="22"/>
  <c r="CI106" i="22" s="1"/>
  <c r="CI107" i="22"/>
  <c r="J23" i="31" l="1"/>
  <c r="K68" i="18"/>
  <c r="B125" i="22"/>
  <c r="K11" i="31"/>
  <c r="K13" i="31" s="1"/>
  <c r="K15" i="31" s="1"/>
  <c r="K17" i="31" s="1"/>
  <c r="B115" i="22"/>
  <c r="B118" i="22"/>
  <c r="CT118" i="22" s="1"/>
  <c r="CI108" i="22"/>
  <c r="K18" i="31" l="1"/>
  <c r="K20" i="31" s="1"/>
  <c r="L24" i="13" s="1"/>
  <c r="L25" i="13" s="1"/>
  <c r="L11" i="31"/>
  <c r="L13" i="31" s="1"/>
  <c r="L15" i="31" s="1"/>
  <c r="L17" i="31" s="1"/>
  <c r="L68" i="18"/>
  <c r="I6" i="38"/>
  <c r="B128" i="22"/>
  <c r="B131" i="22"/>
  <c r="DF131" i="22" s="1"/>
  <c r="J58" i="14"/>
  <c r="CI105" i="22"/>
  <c r="CU119" i="22"/>
  <c r="CU120" i="22"/>
  <c r="I70" i="18"/>
  <c r="K8" i="34" s="1"/>
  <c r="K23" i="31" l="1"/>
  <c r="L18" i="31"/>
  <c r="L20" i="31" s="1"/>
  <c r="M24" i="13" s="1"/>
  <c r="M25" i="13" s="1"/>
  <c r="I58" i="14"/>
  <c r="CU121" i="22"/>
  <c r="K58" i="14"/>
  <c r="J20" i="13"/>
  <c r="I44" i="14"/>
  <c r="DG133" i="22"/>
  <c r="DG132" i="22"/>
  <c r="K9" i="34"/>
  <c r="K10" i="34" s="1"/>
  <c r="K16" i="34" s="1"/>
  <c r="K15" i="34"/>
  <c r="J70" i="18"/>
  <c r="L8" i="34" s="1"/>
  <c r="CJ107" i="22"/>
  <c r="CJ106" i="22"/>
  <c r="I53" i="21"/>
  <c r="K20" i="13"/>
  <c r="J44" i="14"/>
  <c r="H53" i="21"/>
  <c r="L23" i="31" l="1"/>
  <c r="K44" i="14"/>
  <c r="K19" i="34"/>
  <c r="J31" i="13" s="1"/>
  <c r="J34" i="13" s="1"/>
  <c r="J36" i="13" s="1"/>
  <c r="J38" i="13" s="1"/>
  <c r="CJ108" i="22"/>
  <c r="L15" i="34"/>
  <c r="L9" i="34"/>
  <c r="L10" i="34" s="1"/>
  <c r="L16" i="34" s="1"/>
  <c r="DG134" i="22"/>
  <c r="L20" i="13"/>
  <c r="CU118" i="22"/>
  <c r="K70" i="18"/>
  <c r="M8" i="34" s="1"/>
  <c r="J53" i="21"/>
  <c r="I49" i="14" l="1"/>
  <c r="J42" i="13"/>
  <c r="K40" i="13" s="1"/>
  <c r="J11" i="15"/>
  <c r="J14" i="15" s="1"/>
  <c r="M9" i="34"/>
  <c r="M10" i="34" s="1"/>
  <c r="M16" i="34" s="1"/>
  <c r="M15" i="34"/>
  <c r="N8" i="34"/>
  <c r="DG131" i="22"/>
  <c r="CJ105" i="22"/>
  <c r="CV119" i="22"/>
  <c r="CV120" i="22"/>
  <c r="L19" i="34"/>
  <c r="I50" i="14" l="1"/>
  <c r="K32" i="13" s="1"/>
  <c r="H37" i="21"/>
  <c r="H60" i="21" s="1"/>
  <c r="K31" i="13"/>
  <c r="J49" i="14"/>
  <c r="I37" i="21" s="1"/>
  <c r="I60" i="21" s="1"/>
  <c r="CV121" i="22"/>
  <c r="M19" i="34"/>
  <c r="CK107" i="22"/>
  <c r="CK106" i="22"/>
  <c r="DH132" i="22"/>
  <c r="DH133" i="22"/>
  <c r="N15" i="34"/>
  <c r="H35" i="21" l="1"/>
  <c r="H58" i="21" s="1"/>
  <c r="I51" i="14"/>
  <c r="H36" i="21" s="1"/>
  <c r="H59" i="21" s="1"/>
  <c r="DH134" i="22"/>
  <c r="CK108" i="22"/>
  <c r="K49" i="14"/>
  <c r="J37" i="21" s="1"/>
  <c r="J60" i="21" s="1"/>
  <c r="L31" i="13"/>
  <c r="CV118" i="22"/>
  <c r="K33" i="13" l="1"/>
  <c r="I46" i="14"/>
  <c r="I53" i="14" s="1"/>
  <c r="H40" i="21" s="1"/>
  <c r="H63" i="21" s="1"/>
  <c r="H65" i="21" s="1"/>
  <c r="DH131" i="22"/>
  <c r="CW120" i="22"/>
  <c r="CW119" i="22"/>
  <c r="CK105" i="22"/>
  <c r="H42" i="21" l="1"/>
  <c r="CW121" i="22"/>
  <c r="DI132" i="22"/>
  <c r="DI133" i="22"/>
  <c r="CL106" i="22"/>
  <c r="CL107" i="22"/>
  <c r="CL108" i="22" l="1"/>
  <c r="CW118" i="22"/>
  <c r="DI134" i="22"/>
  <c r="DI131" i="22" l="1"/>
  <c r="CX120" i="22"/>
  <c r="CX119" i="22"/>
  <c r="CL105" i="22"/>
  <c r="CM106" i="22" l="1"/>
  <c r="CM107" i="22"/>
  <c r="CX121" i="22"/>
  <c r="DJ133" i="22"/>
  <c r="DJ132" i="22"/>
  <c r="CM108" i="22" l="1"/>
  <c r="DJ134" i="22"/>
  <c r="CX118" i="22"/>
  <c r="CY120" i="22" l="1"/>
  <c r="CY119" i="22"/>
  <c r="DJ131" i="22"/>
  <c r="CM105" i="22"/>
  <c r="DK133" i="22" l="1"/>
  <c r="DK132" i="22"/>
  <c r="CN107" i="22"/>
  <c r="CN106" i="22"/>
  <c r="CY121" i="22"/>
  <c r="CY118" i="22" l="1"/>
  <c r="CN108" i="22"/>
  <c r="CN105" i="22" s="1"/>
  <c r="DK134" i="22"/>
  <c r="DK131" i="22" l="1"/>
  <c r="CO106" i="22"/>
  <c r="CO107" i="22"/>
  <c r="CZ120" i="22"/>
  <c r="CZ119" i="22"/>
  <c r="CO108" i="22" l="1"/>
  <c r="CO105" i="22" s="1"/>
  <c r="CP106" i="22" s="1"/>
  <c r="CZ121" i="22"/>
  <c r="CZ118" i="22" s="1"/>
  <c r="DA120" i="22" s="1"/>
  <c r="DL132" i="22"/>
  <c r="DL133" i="22"/>
  <c r="CP107" i="22" l="1"/>
  <c r="CP108" i="22" s="1"/>
  <c r="CP105" i="22" s="1"/>
  <c r="DA119" i="22"/>
  <c r="DA121" i="22" s="1"/>
  <c r="DA118" i="22" s="1"/>
  <c r="DB120" i="22" s="1"/>
  <c r="DL134" i="22"/>
  <c r="DL131" i="22" s="1"/>
  <c r="DM132" i="22" s="1"/>
  <c r="DM133" i="22" l="1"/>
  <c r="DM134" i="22" s="1"/>
  <c r="DM131" i="22" s="1"/>
  <c r="DB119" i="22"/>
  <c r="DB121" i="22" s="1"/>
  <c r="DB118" i="22" s="1"/>
  <c r="DC119" i="22" s="1"/>
  <c r="CQ107" i="22"/>
  <c r="CQ106" i="22"/>
  <c r="CQ108" i="22" l="1"/>
  <c r="CQ105" i="22" s="1"/>
  <c r="CR107" i="22" s="1"/>
  <c r="DC120" i="22"/>
  <c r="DC121" i="22" s="1"/>
  <c r="DC118" i="22" s="1"/>
  <c r="DN132" i="22"/>
  <c r="DN133" i="22"/>
  <c r="CR106" i="22" l="1"/>
  <c r="CR108" i="22" s="1"/>
  <c r="CR105" i="22" s="1"/>
  <c r="DD119" i="22"/>
  <c r="DD120" i="22"/>
  <c r="DN134" i="22"/>
  <c r="DN131" i="22" s="1"/>
  <c r="CS107" i="22" l="1"/>
  <c r="CS106" i="22"/>
  <c r="DO133" i="22"/>
  <c r="DO132" i="22"/>
  <c r="DD121" i="22"/>
  <c r="DD118" i="22" s="1"/>
  <c r="CS108" i="22" l="1"/>
  <c r="CS105" i="22" s="1"/>
  <c r="CT107" i="22" s="1"/>
  <c r="J175" i="22" s="1"/>
  <c r="DE120" i="22"/>
  <c r="DE119" i="22"/>
  <c r="DO134" i="22"/>
  <c r="DO131" i="22" s="1"/>
  <c r="CT106" i="22" l="1"/>
  <c r="CT108" i="22" s="1"/>
  <c r="CT105" i="22" s="1"/>
  <c r="J179" i="22"/>
  <c r="J180" i="22"/>
  <c r="DE121" i="22"/>
  <c r="DE118" i="22" s="1"/>
  <c r="DP133" i="22"/>
  <c r="DP132" i="22"/>
  <c r="J160" i="22" l="1"/>
  <c r="J165" i="22" s="1"/>
  <c r="K29" i="13" s="1"/>
  <c r="K34" i="13" s="1"/>
  <c r="K36" i="13" s="1"/>
  <c r="K38" i="13" s="1"/>
  <c r="CU106" i="22"/>
  <c r="CU107" i="22"/>
  <c r="DF120" i="22"/>
  <c r="K176" i="22" s="1"/>
  <c r="DF119" i="22"/>
  <c r="DP134" i="22"/>
  <c r="DP131" i="22" s="1"/>
  <c r="K12" i="15"/>
  <c r="J48" i="14"/>
  <c r="J164" i="22" l="1"/>
  <c r="I34" i="21"/>
  <c r="J50" i="14"/>
  <c r="CU108" i="22"/>
  <c r="CU105" i="22" s="1"/>
  <c r="K11" i="15"/>
  <c r="K14" i="15" s="1"/>
  <c r="K42" i="13"/>
  <c r="L40" i="13" s="1"/>
  <c r="DQ133" i="22"/>
  <c r="DQ132" i="22"/>
  <c r="DF121" i="22"/>
  <c r="DF118" i="22" s="1"/>
  <c r="K161" i="22"/>
  <c r="DQ134" i="22" l="1"/>
  <c r="DQ131" i="22" s="1"/>
  <c r="DR133" i="22" s="1"/>
  <c r="CV107" i="22"/>
  <c r="CV106" i="22"/>
  <c r="I57" i="21"/>
  <c r="DG119" i="22"/>
  <c r="DG120" i="22"/>
  <c r="L32" i="13"/>
  <c r="I35" i="21"/>
  <c r="I58" i="21" s="1"/>
  <c r="J51" i="14"/>
  <c r="J46" i="14" s="1"/>
  <c r="J53" i="14" s="1"/>
  <c r="DR132" i="22" l="1"/>
  <c r="DR134" i="22" s="1"/>
  <c r="I40" i="21"/>
  <c r="I63" i="21" s="1"/>
  <c r="DG121" i="22"/>
  <c r="DG118" i="22" s="1"/>
  <c r="CV108" i="22"/>
  <c r="CV105" i="22" s="1"/>
  <c r="L177" i="22"/>
  <c r="B133" i="22"/>
  <c r="L33" i="13"/>
  <c r="I36" i="21"/>
  <c r="I59" i="21" s="1"/>
  <c r="I65" i="21" l="1"/>
  <c r="L162" i="22"/>
  <c r="CW107" i="22"/>
  <c r="CW106" i="22"/>
  <c r="I42" i="21"/>
  <c r="B134" i="22"/>
  <c r="DR131" i="22"/>
  <c r="DH119" i="22"/>
  <c r="DH120" i="22"/>
  <c r="DH121" i="22" l="1"/>
  <c r="DH118" i="22" s="1"/>
  <c r="DS133" i="22"/>
  <c r="DS132" i="22"/>
  <c r="CW108" i="22"/>
  <c r="CW105" i="22" s="1"/>
  <c r="CX107" i="22" l="1"/>
  <c r="CX106" i="22"/>
  <c r="DS134" i="22"/>
  <c r="DS131" i="22" s="1"/>
  <c r="DI120" i="22"/>
  <c r="DI119" i="22"/>
  <c r="DI121" i="22" l="1"/>
  <c r="DI118" i="22" s="1"/>
  <c r="DT132" i="22"/>
  <c r="DT133" i="22"/>
  <c r="CX108" i="22"/>
  <c r="CX105" i="22" s="1"/>
  <c r="DT134" i="22" l="1"/>
  <c r="DT131" i="22" s="1"/>
  <c r="DJ119" i="22"/>
  <c r="DJ120" i="22"/>
  <c r="CY107" i="22"/>
  <c r="CY106" i="22"/>
  <c r="CY108" i="22" l="1"/>
  <c r="CY105" i="22" s="1"/>
  <c r="DJ121" i="22"/>
  <c r="DJ118" i="22" s="1"/>
  <c r="DU132" i="22"/>
  <c r="DU133" i="22"/>
  <c r="DU134" i="22" l="1"/>
  <c r="DU131" i="22" s="1"/>
  <c r="DK120" i="22"/>
  <c r="DK119" i="22"/>
  <c r="CZ107" i="22"/>
  <c r="CZ106" i="22"/>
  <c r="CZ108" i="22" l="1"/>
  <c r="CZ105" i="22" s="1"/>
  <c r="DA106" i="22" s="1"/>
  <c r="DV133" i="22"/>
  <c r="DV132" i="22"/>
  <c r="DK121" i="22"/>
  <c r="DK118" i="22" s="1"/>
  <c r="DA107" i="22" l="1"/>
  <c r="DA108" i="22" s="1"/>
  <c r="DA105" i="22" s="1"/>
  <c r="DB106" i="22" s="1"/>
  <c r="DV134" i="22"/>
  <c r="DV131" i="22" s="1"/>
  <c r="DL119" i="22"/>
  <c r="DL120" i="22"/>
  <c r="DB107" i="22" l="1"/>
  <c r="DB108" i="22" s="1"/>
  <c r="DB105" i="22" s="1"/>
  <c r="DC106" i="22" s="1"/>
  <c r="DW132" i="22"/>
  <c r="DW133" i="22"/>
  <c r="DL121" i="22"/>
  <c r="DL118" i="22" s="1"/>
  <c r="DC107" i="22" l="1"/>
  <c r="DC108" i="22" s="1"/>
  <c r="DC105" i="22" s="1"/>
  <c r="DW134" i="22"/>
  <c r="DW131" i="22" s="1"/>
  <c r="DM119" i="22"/>
  <c r="DM120" i="22"/>
  <c r="DD107" i="22" l="1"/>
  <c r="DD106" i="22"/>
  <c r="DX133" i="22"/>
  <c r="DX132" i="22"/>
  <c r="DM121" i="22"/>
  <c r="DM118" i="22" s="1"/>
  <c r="DD108" i="22" l="1"/>
  <c r="DD105" i="22" s="1"/>
  <c r="DE106" i="22" s="1"/>
  <c r="DN120" i="22"/>
  <c r="DN119" i="22"/>
  <c r="DX134" i="22"/>
  <c r="DX131" i="22" s="1"/>
  <c r="DE107" i="22" l="1"/>
  <c r="DE108" i="22" s="1"/>
  <c r="DE105" i="22" s="1"/>
  <c r="DF107" i="22" s="1"/>
  <c r="DN121" i="22"/>
  <c r="DN118" i="22" s="1"/>
  <c r="DO120" i="22" s="1"/>
  <c r="DY133" i="22"/>
  <c r="DY132" i="22"/>
  <c r="DF106" i="22" l="1"/>
  <c r="K160" i="22" s="1"/>
  <c r="K165" i="22" s="1"/>
  <c r="L29" i="13" s="1"/>
  <c r="L34" i="13" s="1"/>
  <c r="L36" i="13" s="1"/>
  <c r="L38" i="13" s="1"/>
  <c r="K175" i="22"/>
  <c r="DO119" i="22"/>
  <c r="DO121" i="22" s="1"/>
  <c r="DO118" i="22" s="1"/>
  <c r="DP119" i="22" s="1"/>
  <c r="DY134" i="22"/>
  <c r="DY131" i="22" s="1"/>
  <c r="DF108" i="22" l="1"/>
  <c r="DF105" i="22" s="1"/>
  <c r="DG107" i="22" s="1"/>
  <c r="K164" i="22"/>
  <c r="K179" i="22"/>
  <c r="K180" i="22"/>
  <c r="DP120" i="22"/>
  <c r="DP121" i="22" s="1"/>
  <c r="DP118" i="22" s="1"/>
  <c r="L42" i="13"/>
  <c r="M40" i="13" s="1"/>
  <c r="L11" i="15"/>
  <c r="DZ133" i="22"/>
  <c r="DZ132" i="22"/>
  <c r="DG106" i="22" l="1"/>
  <c r="DG108" i="22" s="1"/>
  <c r="DG105" i="22" s="1"/>
  <c r="DH106" i="22" s="1"/>
  <c r="DZ134" i="22"/>
  <c r="DZ131" i="22" s="1"/>
  <c r="EA132" i="22" s="1"/>
  <c r="K48" i="14"/>
  <c r="L12" i="15"/>
  <c r="L14" i="15" s="1"/>
  <c r="DQ119" i="22"/>
  <c r="DQ120" i="22"/>
  <c r="DH107" i="22" l="1"/>
  <c r="DH108" i="22" s="1"/>
  <c r="DH105" i="22" s="1"/>
  <c r="EA133" i="22"/>
  <c r="EA134" i="22" s="1"/>
  <c r="EA131" i="22" s="1"/>
  <c r="J34" i="21"/>
  <c r="J57" i="21" s="1"/>
  <c r="K50" i="14"/>
  <c r="DQ121" i="22"/>
  <c r="DQ118" i="22" s="1"/>
  <c r="DR119" i="22" s="1"/>
  <c r="DR120" i="22" l="1"/>
  <c r="L176" i="22" s="1"/>
  <c r="J35" i="21"/>
  <c r="J58" i="21" s="1"/>
  <c r="K51" i="14"/>
  <c r="M32" i="13"/>
  <c r="L161" i="22"/>
  <c r="EB133" i="22"/>
  <c r="EB132" i="22"/>
  <c r="DI107" i="22"/>
  <c r="DI106" i="22"/>
  <c r="B120" i="22" l="1"/>
  <c r="DR121" i="22"/>
  <c r="DR118" i="22" s="1"/>
  <c r="K46" i="14"/>
  <c r="K53" i="14" s="1"/>
  <c r="J40" i="21" s="1"/>
  <c r="J63" i="21" s="1"/>
  <c r="J36" i="21"/>
  <c r="M33" i="13"/>
  <c r="EB134" i="22"/>
  <c r="EB131" i="22" s="1"/>
  <c r="DI108" i="22"/>
  <c r="DI105" i="22" s="1"/>
  <c r="B121" i="22" l="1"/>
  <c r="J59" i="21"/>
  <c r="J65" i="21" s="1"/>
  <c r="J42" i="21"/>
  <c r="DS119" i="22"/>
  <c r="DS120" i="22"/>
  <c r="DJ107" i="22"/>
  <c r="DJ106" i="22"/>
  <c r="EC133" i="22"/>
  <c r="EC132" i="22"/>
  <c r="EC134" i="22" l="1"/>
  <c r="EC131" i="22" s="1"/>
  <c r="ED132" i="22" s="1"/>
  <c r="DJ108" i="22"/>
  <c r="DJ105" i="22" s="1"/>
  <c r="DS121" i="22"/>
  <c r="DS118" i="22" s="1"/>
  <c r="ED133" i="22" l="1"/>
  <c r="M177" i="22" s="1"/>
  <c r="DK107" i="22"/>
  <c r="DK106" i="22"/>
  <c r="M162" i="22"/>
  <c r="DT120" i="22"/>
  <c r="DT119" i="22"/>
  <c r="ED134" i="22" l="1"/>
  <c r="ED131" i="22" s="1"/>
  <c r="EE132" i="22" s="1"/>
  <c r="DT121" i="22"/>
  <c r="DT118" i="22" s="1"/>
  <c r="DK108" i="22"/>
  <c r="DK105" i="22" s="1"/>
  <c r="EE133" i="22" l="1"/>
  <c r="EE134" i="22" s="1"/>
  <c r="EE131" i="22" s="1"/>
  <c r="DL107" i="22"/>
  <c r="DL106" i="22"/>
  <c r="DU120" i="22"/>
  <c r="DU119" i="22"/>
  <c r="DL108" i="22" l="1"/>
  <c r="DL105" i="22" s="1"/>
  <c r="DM107" i="22" s="1"/>
  <c r="DU121" i="22"/>
  <c r="DU118" i="22" s="1"/>
  <c r="EF133" i="22"/>
  <c r="EF132" i="22"/>
  <c r="DM106" i="22" l="1"/>
  <c r="DM108" i="22" s="1"/>
  <c r="DM105" i="22" s="1"/>
  <c r="DN106" i="22" s="1"/>
  <c r="DV120" i="22"/>
  <c r="DV119" i="22"/>
  <c r="EF134" i="22"/>
  <c r="EF131" i="22" s="1"/>
  <c r="DN107" i="22" l="1"/>
  <c r="DN108" i="22" s="1"/>
  <c r="DN105" i="22" s="1"/>
  <c r="DO106" i="22" s="1"/>
  <c r="EG133" i="22"/>
  <c r="EG132" i="22"/>
  <c r="DV121" i="22"/>
  <c r="DV118" i="22" s="1"/>
  <c r="DO107" i="22" l="1"/>
  <c r="DO108" i="22" s="1"/>
  <c r="DO105" i="22" s="1"/>
  <c r="DW120" i="22"/>
  <c r="DW119" i="22"/>
  <c r="EG134" i="22"/>
  <c r="EG131" i="22" s="1"/>
  <c r="EH133" i="22" l="1"/>
  <c r="EH132" i="22"/>
  <c r="DW121" i="22"/>
  <c r="DW118" i="22" s="1"/>
  <c r="DP107" i="22"/>
  <c r="DP106" i="22"/>
  <c r="DP108" i="22" l="1"/>
  <c r="DP105" i="22" s="1"/>
  <c r="DQ106" i="22" s="1"/>
  <c r="DX119" i="22"/>
  <c r="DX120" i="22"/>
  <c r="EH134" i="22"/>
  <c r="EH131" i="22" s="1"/>
  <c r="DQ107" i="22" l="1"/>
  <c r="DQ108" i="22" s="1"/>
  <c r="DQ105" i="22" s="1"/>
  <c r="DX121" i="22"/>
  <c r="DX118" i="22" s="1"/>
  <c r="DY120" i="22" s="1"/>
  <c r="EI133" i="22"/>
  <c r="EI132" i="22"/>
  <c r="DY119" i="22" l="1"/>
  <c r="DY121" i="22" s="1"/>
  <c r="DY118" i="22" s="1"/>
  <c r="DZ119" i="22" s="1"/>
  <c r="DR107" i="22"/>
  <c r="DR106" i="22"/>
  <c r="EI134" i="22"/>
  <c r="EI131" i="22" s="1"/>
  <c r="DZ120" i="22" l="1"/>
  <c r="DZ121" i="22" s="1"/>
  <c r="DZ118" i="22" s="1"/>
  <c r="EJ133" i="22"/>
  <c r="EJ132" i="22"/>
  <c r="DR108" i="22"/>
  <c r="L160" i="22"/>
  <c r="B107" i="22"/>
  <c r="L175" i="22"/>
  <c r="EA119" i="22" l="1"/>
  <c r="EA120" i="22"/>
  <c r="B108" i="22"/>
  <c r="DR105" i="22"/>
  <c r="EJ134" i="22"/>
  <c r="EJ131" i="22" s="1"/>
  <c r="EA121" i="22" l="1"/>
  <c r="EA118" i="22" s="1"/>
  <c r="EK132" i="22"/>
  <c r="EK133" i="22"/>
  <c r="DS106" i="22"/>
  <c r="DS107" i="22"/>
  <c r="EB119" i="22" l="1"/>
  <c r="EB120" i="22"/>
  <c r="EK134" i="22"/>
  <c r="EK131" i="22" s="1"/>
  <c r="EL133" i="22" s="1"/>
  <c r="DS108" i="22"/>
  <c r="DS105" i="22" s="1"/>
  <c r="EL132" i="22" l="1"/>
  <c r="EL134" i="22" s="1"/>
  <c r="EL131" i="22" s="1"/>
  <c r="EB121" i="22"/>
  <c r="EB118" i="22" s="1"/>
  <c r="DT107" i="22"/>
  <c r="DT106" i="22"/>
  <c r="EM132" i="22" l="1"/>
  <c r="EM133" i="22"/>
  <c r="EC120" i="22"/>
  <c r="EC119" i="22"/>
  <c r="DT108" i="22"/>
  <c r="DT105" i="22" s="1"/>
  <c r="EM134" i="22" l="1"/>
  <c r="EM131" i="22" s="1"/>
  <c r="EN133" i="22" s="1"/>
  <c r="EC121" i="22"/>
  <c r="EC118" i="22" s="1"/>
  <c r="ED120" i="22" s="1"/>
  <c r="M176" i="22" s="1"/>
  <c r="DU107" i="22"/>
  <c r="DU106" i="22"/>
  <c r="EN132" i="22" l="1"/>
  <c r="EN134" i="22" s="1"/>
  <c r="EN131" i="22" s="1"/>
  <c r="EO133" i="22" s="1"/>
  <c r="ED119" i="22"/>
  <c r="M161" i="22" s="1"/>
  <c r="DU108" i="22"/>
  <c r="DU105" i="22" s="1"/>
  <c r="EO132" i="22" l="1"/>
  <c r="EO134" i="22" s="1"/>
  <c r="EO131" i="22" s="1"/>
  <c r="EP133" i="22" s="1"/>
  <c r="N177" i="22" s="1"/>
  <c r="ED121" i="22"/>
  <c r="ED118" i="22" s="1"/>
  <c r="EE119" i="22" s="1"/>
  <c r="DV106" i="22"/>
  <c r="DV107" i="22"/>
  <c r="EE120" i="22" l="1"/>
  <c r="EE121" i="22" s="1"/>
  <c r="EE118" i="22" s="1"/>
  <c r="EF119" i="22" s="1"/>
  <c r="EP132" i="22"/>
  <c r="N162" i="22" s="1"/>
  <c r="DV108" i="22"/>
  <c r="DV105" i="22" s="1"/>
  <c r="EF120" i="22" l="1"/>
  <c r="EF121" i="22" s="1"/>
  <c r="EF118" i="22" s="1"/>
  <c r="EG119" i="22" s="1"/>
  <c r="EP134" i="22"/>
  <c r="EP131" i="22" s="1"/>
  <c r="B132" i="22"/>
  <c r="DW107" i="22"/>
  <c r="DW106" i="22"/>
  <c r="EG120" i="22" l="1"/>
  <c r="EG121" i="22" s="1"/>
  <c r="EG118" i="22" s="1"/>
  <c r="EQ132" i="22"/>
  <c r="EQ133" i="22"/>
  <c r="DW108" i="22"/>
  <c r="DW105" i="22" s="1"/>
  <c r="EQ134" i="22" l="1"/>
  <c r="EQ131" i="22" s="1"/>
  <c r="EH120" i="22"/>
  <c r="EH119" i="22"/>
  <c r="DX107" i="22"/>
  <c r="DX106" i="22"/>
  <c r="ER132" i="22" l="1"/>
  <c r="ER133" i="22"/>
  <c r="DX108" i="22"/>
  <c r="DX105" i="22" s="1"/>
  <c r="DY107" i="22" s="1"/>
  <c r="EH121" i="22"/>
  <c r="EH118" i="22" s="1"/>
  <c r="DY106" i="22" l="1"/>
  <c r="DY108" i="22" s="1"/>
  <c r="DY105" i="22" s="1"/>
  <c r="DZ107" i="22" s="1"/>
  <c r="ER134" i="22"/>
  <c r="ER131" i="22" s="1"/>
  <c r="EI120" i="22"/>
  <c r="EI119" i="22"/>
  <c r="DZ106" i="22" l="1"/>
  <c r="DZ108" i="22" s="1"/>
  <c r="DZ105" i="22" s="1"/>
  <c r="EA107" i="22" s="1"/>
  <c r="ES132" i="22"/>
  <c r="ES133" i="22"/>
  <c r="EI121" i="22"/>
  <c r="EI118" i="22" s="1"/>
  <c r="ES134" i="22" l="1"/>
  <c r="ES131" i="22" s="1"/>
  <c r="EA106" i="22"/>
  <c r="EA108" i="22" s="1"/>
  <c r="EA105" i="22" s="1"/>
  <c r="EJ120" i="22"/>
  <c r="EJ119" i="22"/>
  <c r="ET132" i="22" l="1"/>
  <c r="ET133" i="22"/>
  <c r="EJ121" i="22"/>
  <c r="EJ118" i="22" s="1"/>
  <c r="EK120" i="22" s="1"/>
  <c r="EB106" i="22"/>
  <c r="EB107" i="22"/>
  <c r="ET134" i="22" l="1"/>
  <c r="ET131" i="22" s="1"/>
  <c r="EK119" i="22"/>
  <c r="EK121" i="22" s="1"/>
  <c r="EK118" i="22" s="1"/>
  <c r="EL119" i="22" s="1"/>
  <c r="EB108" i="22"/>
  <c r="EB105" i="22" s="1"/>
  <c r="EC107" i="22" s="1"/>
  <c r="EC106" i="22" l="1"/>
  <c r="EC108" i="22" s="1"/>
  <c r="EC105" i="22" s="1"/>
  <c r="ED107" i="22" s="1"/>
  <c r="M175" i="22" s="1"/>
  <c r="EU132" i="22"/>
  <c r="EU133" i="22"/>
  <c r="EL120" i="22"/>
  <c r="EL121" i="22" s="1"/>
  <c r="EL118" i="22" s="1"/>
  <c r="EU134" i="22" l="1"/>
  <c r="EU131" i="22" s="1"/>
  <c r="ED106" i="22"/>
  <c r="M160" i="22" s="1"/>
  <c r="EM120" i="22"/>
  <c r="EM119" i="22"/>
  <c r="ED108" i="22" l="1"/>
  <c r="ED105" i="22" s="1"/>
  <c r="EE107" i="22" s="1"/>
  <c r="EV132" i="22"/>
  <c r="EV133" i="22"/>
  <c r="EM121" i="22"/>
  <c r="EM118" i="22" s="1"/>
  <c r="EN120" i="22" s="1"/>
  <c r="EE106" i="22" l="1"/>
  <c r="EE108" i="22" s="1"/>
  <c r="EE105" i="22" s="1"/>
  <c r="EV134" i="22"/>
  <c r="EV131" i="22" s="1"/>
  <c r="EN119" i="22"/>
  <c r="EN121" i="22" s="1"/>
  <c r="EN118" i="22" s="1"/>
  <c r="EW132" i="22" l="1"/>
  <c r="EW133" i="22"/>
  <c r="EO119" i="22"/>
  <c r="EO120" i="22"/>
  <c r="EF107" i="22"/>
  <c r="EF106" i="22"/>
  <c r="EO121" i="22" l="1"/>
  <c r="EO118" i="22" s="1"/>
  <c r="EP119" i="22" s="1"/>
  <c r="EW134" i="22"/>
  <c r="EW131" i="22" s="1"/>
  <c r="EF108" i="22"/>
  <c r="EF105" i="22" s="1"/>
  <c r="EP120" i="22" l="1"/>
  <c r="N176" i="22" s="1"/>
  <c r="N161" i="22"/>
  <c r="B119" i="22"/>
  <c r="EX133" i="22"/>
  <c r="EX132" i="22"/>
  <c r="EG107" i="22"/>
  <c r="EG106" i="22"/>
  <c r="EX134" i="22" l="1"/>
  <c r="EX131" i="22" s="1"/>
  <c r="EY132" i="22" s="1"/>
  <c r="EP121" i="22"/>
  <c r="EP118" i="22" s="1"/>
  <c r="EQ119" i="22" s="1"/>
  <c r="EG108" i="22"/>
  <c r="EG105" i="22" s="1"/>
  <c r="EY133" i="22" l="1"/>
  <c r="EY134" i="22" s="1"/>
  <c r="EY131" i="22" s="1"/>
  <c r="EQ120" i="22"/>
  <c r="EQ121" i="22" s="1"/>
  <c r="EQ118" i="22" s="1"/>
  <c r="EH107" i="22"/>
  <c r="EH106" i="22"/>
  <c r="ER120" i="22" l="1"/>
  <c r="ER119" i="22"/>
  <c r="EZ132" i="22"/>
  <c r="EZ133" i="22"/>
  <c r="EH108" i="22"/>
  <c r="EH105" i="22" s="1"/>
  <c r="ER121" i="22" l="1"/>
  <c r="ER118" i="22" s="1"/>
  <c r="ES119" i="22" s="1"/>
  <c r="EZ134" i="22"/>
  <c r="EZ131" i="22" s="1"/>
  <c r="FA133" i="22" s="1"/>
  <c r="EI107" i="22"/>
  <c r="EI106" i="22"/>
  <c r="ES120" i="22" l="1"/>
  <c r="ES121" i="22" s="1"/>
  <c r="ES118" i="22" s="1"/>
  <c r="FA132" i="22"/>
  <c r="FA134" i="22" s="1"/>
  <c r="FA131" i="22" s="1"/>
  <c r="EI108" i="22"/>
  <c r="EI105" i="22" s="1"/>
  <c r="FB133" i="22" l="1"/>
  <c r="O177" i="22" s="1"/>
  <c r="FB132" i="22"/>
  <c r="EJ106" i="22"/>
  <c r="EJ107" i="22"/>
  <c r="ET120" i="22"/>
  <c r="ET119" i="22"/>
  <c r="O162" i="22" l="1"/>
  <c r="FB134" i="22"/>
  <c r="FB131" i="22" s="1"/>
  <c r="ET121" i="22"/>
  <c r="ET118" i="22" s="1"/>
  <c r="EJ108" i="22"/>
  <c r="EJ105" i="22" s="1"/>
  <c r="FC133" i="22" l="1"/>
  <c r="FC132" i="22"/>
  <c r="EK107" i="22"/>
  <c r="EK106" i="22"/>
  <c r="EU120" i="22"/>
  <c r="EU119" i="22"/>
  <c r="FC134" i="22" l="1"/>
  <c r="FC131" i="22" s="1"/>
  <c r="EK108" i="22"/>
  <c r="EK105" i="22" s="1"/>
  <c r="EL107" i="22" s="1"/>
  <c r="EU121" i="22"/>
  <c r="EU118" i="22" s="1"/>
  <c r="EL106" i="22" l="1"/>
  <c r="EL108" i="22" s="1"/>
  <c r="EL105" i="22" s="1"/>
  <c r="FD133" i="22"/>
  <c r="FD132" i="22"/>
  <c r="EV120" i="22"/>
  <c r="EV119" i="22"/>
  <c r="FD134" i="22" l="1"/>
  <c r="FD131" i="22" s="1"/>
  <c r="FE133" i="22" s="1"/>
  <c r="EV121" i="22"/>
  <c r="EV118" i="22" s="1"/>
  <c r="EW120" i="22" s="1"/>
  <c r="EM106" i="22"/>
  <c r="EM107" i="22"/>
  <c r="FE132" i="22" l="1"/>
  <c r="FE134" i="22" s="1"/>
  <c r="FE131" i="22" s="1"/>
  <c r="EW119" i="22"/>
  <c r="EW121" i="22" s="1"/>
  <c r="EW118" i="22" s="1"/>
  <c r="EM108" i="22"/>
  <c r="EM105" i="22" s="1"/>
  <c r="EN106" i="22" s="1"/>
  <c r="EX119" i="22" l="1"/>
  <c r="EX120" i="22"/>
  <c r="FF133" i="22"/>
  <c r="FF132" i="22"/>
  <c r="EN107" i="22"/>
  <c r="EN108" i="22" s="1"/>
  <c r="EN105" i="22" s="1"/>
  <c r="EO106" i="22" s="1"/>
  <c r="EX121" i="22" l="1"/>
  <c r="EX118" i="22" s="1"/>
  <c r="EY120" i="22" s="1"/>
  <c r="FF134" i="22"/>
  <c r="FF131" i="22" s="1"/>
  <c r="FG133" i="22" s="1"/>
  <c r="EO107" i="22"/>
  <c r="EO108" i="22" s="1"/>
  <c r="EO105" i="22" s="1"/>
  <c r="EY119" i="22" l="1"/>
  <c r="EY121" i="22" s="1"/>
  <c r="EY118" i="22" s="1"/>
  <c r="EZ120" i="22" s="1"/>
  <c r="FG132" i="22"/>
  <c r="FG134" i="22" s="1"/>
  <c r="FG131" i="22" s="1"/>
  <c r="EP107" i="22"/>
  <c r="N175" i="22" s="1"/>
  <c r="EP106" i="22"/>
  <c r="EZ119" i="22" l="1"/>
  <c r="EZ121" i="22" s="1"/>
  <c r="EZ118" i="22" s="1"/>
  <c r="FA119" i="22" s="1"/>
  <c r="FH133" i="22"/>
  <c r="FH132" i="22"/>
  <c r="EP108" i="22"/>
  <c r="EP105" i="22" s="1"/>
  <c r="B106" i="22"/>
  <c r="N160" i="22"/>
  <c r="FA120" i="22" l="1"/>
  <c r="FA121" i="22" s="1"/>
  <c r="FA118" i="22" s="1"/>
  <c r="FB119" i="22" s="1"/>
  <c r="FH134" i="22"/>
  <c r="FH131" i="22" s="1"/>
  <c r="FI132" i="22" s="1"/>
  <c r="EQ106" i="22"/>
  <c r="EQ107" i="22"/>
  <c r="FB120" i="22" l="1"/>
  <c r="O176" i="22" s="1"/>
  <c r="FI133" i="22"/>
  <c r="FI134" i="22" s="1"/>
  <c r="FI131" i="22" s="1"/>
  <c r="O161" i="22"/>
  <c r="EQ108" i="22"/>
  <c r="EQ105" i="22" s="1"/>
  <c r="FB121" i="22" l="1"/>
  <c r="FB118" i="22" s="1"/>
  <c r="FC120" i="22" s="1"/>
  <c r="FJ132" i="22"/>
  <c r="FJ133" i="22"/>
  <c r="ER107" i="22"/>
  <c r="ER106" i="22"/>
  <c r="FC119" i="22" l="1"/>
  <c r="FC121" i="22" s="1"/>
  <c r="FC118" i="22" s="1"/>
  <c r="FD120" i="22" s="1"/>
  <c r="FJ134" i="22"/>
  <c r="FJ131" i="22" s="1"/>
  <c r="FK132" i="22" s="1"/>
  <c r="ER108" i="22"/>
  <c r="ER105" i="22" s="1"/>
  <c r="FD119" i="22" l="1"/>
  <c r="FD121" i="22" s="1"/>
  <c r="FD118" i="22" s="1"/>
  <c r="FK133" i="22"/>
  <c r="FK134" i="22" s="1"/>
  <c r="FK131" i="22" s="1"/>
  <c r="FL133" i="22" s="1"/>
  <c r="ES107" i="22"/>
  <c r="ES106" i="22"/>
  <c r="FL132" i="22" l="1"/>
  <c r="FL134" i="22" s="1"/>
  <c r="FL131" i="22" s="1"/>
  <c r="FE120" i="22"/>
  <c r="FE119" i="22"/>
  <c r="ES108" i="22"/>
  <c r="ES105" i="22" s="1"/>
  <c r="FM133" i="22" l="1"/>
  <c r="FM132" i="22"/>
  <c r="ET106" i="22"/>
  <c r="ET107" i="22"/>
  <c r="FE121" i="22"/>
  <c r="FE118" i="22" s="1"/>
  <c r="FM134" i="22" l="1"/>
  <c r="FM131" i="22" s="1"/>
  <c r="FN132" i="22" s="1"/>
  <c r="FF120" i="22"/>
  <c r="FF119" i="22"/>
  <c r="ET108" i="22"/>
  <c r="ET105" i="22" s="1"/>
  <c r="P162" i="22" l="1"/>
  <c r="FN133" i="22"/>
  <c r="P177" i="22" s="1"/>
  <c r="EU107" i="22"/>
  <c r="EU106" i="22"/>
  <c r="FF121" i="22"/>
  <c r="FF118" i="22" s="1"/>
  <c r="FN134" i="22" l="1"/>
  <c r="FN131" i="22" s="1"/>
  <c r="EU108" i="22"/>
  <c r="EU105" i="22" s="1"/>
  <c r="FG120" i="22"/>
  <c r="FG119" i="22"/>
  <c r="FO133" i="22" l="1"/>
  <c r="FO132" i="22"/>
  <c r="FG121" i="22"/>
  <c r="FG118" i="22" s="1"/>
  <c r="EV107" i="22"/>
  <c r="EV106" i="22"/>
  <c r="FO134" i="22" l="1"/>
  <c r="FO131" i="22" s="1"/>
  <c r="EV108" i="22"/>
  <c r="EV105" i="22" s="1"/>
  <c r="EW107" i="22" s="1"/>
  <c r="FH120" i="22"/>
  <c r="FH119" i="22"/>
  <c r="FP132" i="22" l="1"/>
  <c r="FP133" i="22"/>
  <c r="EW106" i="22"/>
  <c r="EW108" i="22" s="1"/>
  <c r="EW105" i="22" s="1"/>
  <c r="EX107" i="22" s="1"/>
  <c r="FH121" i="22"/>
  <c r="FH118" i="22" s="1"/>
  <c r="FI120" i="22" s="1"/>
  <c r="FP134" i="22" l="1"/>
  <c r="FP131" i="22" s="1"/>
  <c r="EX106" i="22"/>
  <c r="EX108" i="22" s="1"/>
  <c r="EX105" i="22" s="1"/>
  <c r="EY106" i="22" s="1"/>
  <c r="FI119" i="22"/>
  <c r="FI121" i="22" s="1"/>
  <c r="FI118" i="22" s="1"/>
  <c r="FQ132" i="22" l="1"/>
  <c r="FQ133" i="22"/>
  <c r="EY107" i="22"/>
  <c r="EY108" i="22" s="1"/>
  <c r="EY105" i="22" s="1"/>
  <c r="FJ120" i="22"/>
  <c r="FJ119" i="22"/>
  <c r="FQ134" i="22" l="1"/>
  <c r="FQ131" i="22" s="1"/>
  <c r="FR132" i="22" s="1"/>
  <c r="FJ121" i="22"/>
  <c r="FJ118" i="22" s="1"/>
  <c r="FK119" i="22" s="1"/>
  <c r="EZ106" i="22"/>
  <c r="EZ107" i="22"/>
  <c r="FR133" i="22" l="1"/>
  <c r="FR134" i="22" s="1"/>
  <c r="FR131" i="22" s="1"/>
  <c r="FK120" i="22"/>
  <c r="FK121" i="22" s="1"/>
  <c r="FK118" i="22" s="1"/>
  <c r="FL120" i="22" s="1"/>
  <c r="EZ108" i="22"/>
  <c r="EZ105" i="22" s="1"/>
  <c r="FS133" i="22" l="1"/>
  <c r="FS132" i="22"/>
  <c r="FL119" i="22"/>
  <c r="FL121" i="22" s="1"/>
  <c r="FL118" i="22" s="1"/>
  <c r="FM120" i="22" s="1"/>
  <c r="FA107" i="22"/>
  <c r="FA106" i="22"/>
  <c r="FS134" i="22" l="1"/>
  <c r="FS131" i="22" s="1"/>
  <c r="FT133" i="22" s="1"/>
  <c r="FM119" i="22"/>
  <c r="FM121" i="22" s="1"/>
  <c r="FM118" i="22" s="1"/>
  <c r="FN120" i="22" s="1"/>
  <c r="P176" i="22" s="1"/>
  <c r="FA108" i="22"/>
  <c r="FA105" i="22" s="1"/>
  <c r="FB107" i="22" s="1"/>
  <c r="O175" i="22" s="1"/>
  <c r="FT132" i="22" l="1"/>
  <c r="FT134" i="22" s="1"/>
  <c r="FT131" i="22" s="1"/>
  <c r="FB106" i="22"/>
  <c r="O160" i="22" s="1"/>
  <c r="FN119" i="22"/>
  <c r="FN121" i="22" s="1"/>
  <c r="FN118" i="22" s="1"/>
  <c r="FB108" i="22" l="1"/>
  <c r="FB105" i="22" s="1"/>
  <c r="FC107" i="22" s="1"/>
  <c r="FU133" i="22"/>
  <c r="FU132" i="22"/>
  <c r="P161" i="22"/>
  <c r="FO119" i="22"/>
  <c r="FO120" i="22"/>
  <c r="FC106" i="22" l="1"/>
  <c r="FC108" i="22" s="1"/>
  <c r="FC105" i="22" s="1"/>
  <c r="FU134" i="22"/>
  <c r="FU131" i="22" s="1"/>
  <c r="FO121" i="22"/>
  <c r="FO118" i="22" s="1"/>
  <c r="FV132" i="22" l="1"/>
  <c r="FV133" i="22"/>
  <c r="FP119" i="22"/>
  <c r="FP120" i="22"/>
  <c r="FD107" i="22"/>
  <c r="FD106" i="22"/>
  <c r="FV134" i="22" l="1"/>
  <c r="FV131" i="22" s="1"/>
  <c r="FD108" i="22"/>
  <c r="FD105" i="22" s="1"/>
  <c r="FP121" i="22"/>
  <c r="FP118" i="22" s="1"/>
  <c r="FW132" i="22" l="1"/>
  <c r="FW133" i="22"/>
  <c r="FQ120" i="22"/>
  <c r="FQ119" i="22"/>
  <c r="FE107" i="22"/>
  <c r="FE106" i="22"/>
  <c r="FW134" i="22" l="1"/>
  <c r="FW131" i="22" s="1"/>
  <c r="FE108" i="22"/>
  <c r="FE105" i="22" s="1"/>
  <c r="FQ121" i="22"/>
  <c r="FQ118" i="22" s="1"/>
  <c r="FX133" i="22" l="1"/>
  <c r="FX132" i="22"/>
  <c r="FR120" i="22"/>
  <c r="FR119" i="22"/>
  <c r="FF107" i="22"/>
  <c r="FF106" i="22"/>
  <c r="FX134" i="22" l="1"/>
  <c r="FX131" i="22" s="1"/>
  <c r="FF108" i="22"/>
  <c r="FF105" i="22" s="1"/>
  <c r="FR121" i="22"/>
  <c r="FR118" i="22" s="1"/>
  <c r="FY133" i="22" l="1"/>
  <c r="FY132" i="22"/>
  <c r="FS120" i="22"/>
  <c r="FS119" i="22"/>
  <c r="FG107" i="22"/>
  <c r="FG106" i="22"/>
  <c r="FY134" i="22" l="1"/>
  <c r="FY131" i="22" s="1"/>
  <c r="FG108" i="22"/>
  <c r="FG105" i="22" s="1"/>
  <c r="FS121" i="22"/>
  <c r="FS118" i="22" s="1"/>
  <c r="FZ133" i="22" l="1"/>
  <c r="Q177" i="22" s="1"/>
  <c r="B177" i="22" s="1"/>
  <c r="FZ132" i="22"/>
  <c r="FT119" i="22"/>
  <c r="FT120" i="22"/>
  <c r="FH106" i="22"/>
  <c r="FH107" i="22"/>
  <c r="FZ134" i="22" l="1"/>
  <c r="FZ131" i="22" s="1"/>
  <c r="Q162" i="22"/>
  <c r="B162" i="22" s="1"/>
  <c r="FH108" i="22"/>
  <c r="FH105" i="22" s="1"/>
  <c r="FI106" i="22" s="1"/>
  <c r="FT121" i="22"/>
  <c r="FT118" i="22" s="1"/>
  <c r="FI107" i="22" l="1"/>
  <c r="FI108" i="22" s="1"/>
  <c r="FI105" i="22" s="1"/>
  <c r="FU120" i="22"/>
  <c r="FU119" i="22"/>
  <c r="FU121" i="22" l="1"/>
  <c r="FU118" i="22" s="1"/>
  <c r="FV120" i="22" s="1"/>
  <c r="FJ107" i="22"/>
  <c r="FJ106" i="22"/>
  <c r="FJ108" i="22" l="1"/>
  <c r="FJ105" i="22" s="1"/>
  <c r="FK107" i="22" s="1"/>
  <c r="FV119" i="22"/>
  <c r="FV121" i="22" s="1"/>
  <c r="FV118" i="22" s="1"/>
  <c r="FK106" i="22" l="1"/>
  <c r="FK108" i="22" s="1"/>
  <c r="FK105" i="22" s="1"/>
  <c r="FW120" i="22"/>
  <c r="FW119" i="22"/>
  <c r="FW121" i="22" l="1"/>
  <c r="FW118" i="22" s="1"/>
  <c r="FX120" i="22" s="1"/>
  <c r="FL107" i="22"/>
  <c r="FL106" i="22"/>
  <c r="FL108" i="22" l="1"/>
  <c r="FL105" i="22" s="1"/>
  <c r="FM106" i="22" s="1"/>
  <c r="FX119" i="22"/>
  <c r="FX121" i="22" s="1"/>
  <c r="FX118" i="22" s="1"/>
  <c r="FY120" i="22" s="1"/>
  <c r="FM107" i="22" l="1"/>
  <c r="FM108" i="22" s="1"/>
  <c r="FM105" i="22" s="1"/>
  <c r="FY119" i="22"/>
  <c r="FY121" i="22" s="1"/>
  <c r="FY118" i="22" s="1"/>
  <c r="FZ120" i="22" s="1"/>
  <c r="Q176" i="22" s="1"/>
  <c r="B176" i="22" s="1"/>
  <c r="FZ119" i="22" l="1"/>
  <c r="FZ121" i="22" s="1"/>
  <c r="FZ118" i="22" s="1"/>
  <c r="FN107" i="22"/>
  <c r="P175" i="22" s="1"/>
  <c r="FN106" i="22"/>
  <c r="Q161" i="22" l="1"/>
  <c r="B161" i="22" s="1"/>
  <c r="FN108" i="22"/>
  <c r="FN105" i="22" s="1"/>
  <c r="P160" i="22"/>
  <c r="FO107" i="22" l="1"/>
  <c r="FO106" i="22"/>
  <c r="FO108" i="22" l="1"/>
  <c r="FO105" i="22" s="1"/>
  <c r="FP107" i="22" l="1"/>
  <c r="FP106" i="22"/>
  <c r="FP108" i="22" l="1"/>
  <c r="FP105" i="22" s="1"/>
  <c r="FQ106" i="22" l="1"/>
  <c r="FQ107" i="22"/>
  <c r="FQ108" i="22" l="1"/>
  <c r="FQ105" i="22" s="1"/>
  <c r="FR107" i="22" l="1"/>
  <c r="FR106" i="22"/>
  <c r="FR108" i="22" l="1"/>
  <c r="FR105" i="22" s="1"/>
  <c r="FS107" i="22" l="1"/>
  <c r="FS106" i="22"/>
  <c r="FS108" i="22" l="1"/>
  <c r="FS105" i="22" s="1"/>
  <c r="FT106" i="22" l="1"/>
  <c r="FT107" i="22"/>
  <c r="FT108" i="22" l="1"/>
  <c r="FT105" i="22" s="1"/>
  <c r="FU107" i="22" l="1"/>
  <c r="FU106" i="22"/>
  <c r="FU108" i="22" l="1"/>
  <c r="FU105" i="22" s="1"/>
  <c r="FV107" i="22" s="1"/>
  <c r="FV106" i="22" l="1"/>
  <c r="FV108" i="22" s="1"/>
  <c r="FV105" i="22" s="1"/>
  <c r="FW106" i="22" l="1"/>
  <c r="FW107" i="22"/>
  <c r="FW108" i="22" l="1"/>
  <c r="FW105" i="22" s="1"/>
  <c r="FX106" i="22" l="1"/>
  <c r="FX107" i="22"/>
  <c r="FX108" i="22" l="1"/>
  <c r="FX105" i="22" s="1"/>
  <c r="FY107" i="22" l="1"/>
  <c r="FY106" i="22"/>
  <c r="FY108" i="22" l="1"/>
  <c r="FY105" i="22" s="1"/>
  <c r="FZ106" i="22" l="1"/>
  <c r="FZ107" i="22"/>
  <c r="Q175" i="22" s="1"/>
  <c r="FZ108" i="22" l="1"/>
  <c r="FZ105" i="22" s="1"/>
  <c r="Q160" i="22"/>
  <c r="B175" i="22"/>
  <c r="B160" i="22" l="1"/>
  <c r="B138" i="22" l="1"/>
  <c r="M11" i="31"/>
  <c r="L70" i="18"/>
  <c r="J6" i="38" l="1"/>
  <c r="M13" i="15"/>
  <c r="U9" i="38" s="1"/>
  <c r="N9" i="34"/>
  <c r="N10" i="34" s="1"/>
  <c r="N16" i="34" s="1"/>
  <c r="N19" i="34" s="1"/>
  <c r="B141" i="22"/>
  <c r="B144" i="22"/>
  <c r="DL144" i="22" s="1"/>
  <c r="L58" i="14" l="1"/>
  <c r="R31" i="38" s="1"/>
  <c r="M31" i="13"/>
  <c r="L49" i="14"/>
  <c r="R21" i="38" s="1"/>
  <c r="DM146" i="22"/>
  <c r="DM145" i="22"/>
  <c r="L44" i="14"/>
  <c r="R16" i="38" s="1"/>
  <c r="M20" i="13"/>
  <c r="K53" i="21"/>
  <c r="F14" i="38" l="1"/>
  <c r="F16" i="38"/>
  <c r="K37" i="21"/>
  <c r="K60" i="21" s="1"/>
  <c r="F21" i="38"/>
  <c r="DM147" i="22"/>
  <c r="DM144" i="22" l="1"/>
  <c r="DN145" i="22" l="1"/>
  <c r="DN146" i="22"/>
  <c r="DN147" i="22" l="1"/>
  <c r="DN144" i="22" l="1"/>
  <c r="DO145" i="22" l="1"/>
  <c r="DO146" i="22"/>
  <c r="DO147" i="22" l="1"/>
  <c r="DO144" i="22" l="1"/>
  <c r="DP146" i="22" l="1"/>
  <c r="DP145" i="22"/>
  <c r="DP147" i="22" l="1"/>
  <c r="DP144" i="22" l="1"/>
  <c r="DQ145" i="22" l="1"/>
  <c r="DQ146" i="22"/>
  <c r="DQ147" i="22" l="1"/>
  <c r="DQ144" i="22" l="1"/>
  <c r="DR146" i="22" l="1"/>
  <c r="DR145" i="22"/>
  <c r="B146" i="22" l="1"/>
  <c r="L178" i="22"/>
  <c r="DR147" i="22"/>
  <c r="L163" i="22"/>
  <c r="B147" i="22" l="1"/>
  <c r="DR144" i="22"/>
  <c r="L164" i="22"/>
  <c r="L165" i="22"/>
  <c r="M29" i="13" s="1"/>
  <c r="M34" i="13" s="1"/>
  <c r="M36" i="13" s="1"/>
  <c r="M38" i="13" s="1"/>
  <c r="L180" i="22"/>
  <c r="L179" i="22"/>
  <c r="M42" i="13" l="1"/>
  <c r="M11" i="15"/>
  <c r="U7" i="38" s="1"/>
  <c r="M12" i="15"/>
  <c r="U8" i="38" s="1"/>
  <c r="L48" i="14"/>
  <c r="R20" i="38" s="1"/>
  <c r="DS145" i="22"/>
  <c r="DS146" i="22"/>
  <c r="F20" i="38" l="1"/>
  <c r="DS147" i="22"/>
  <c r="DS144" i="22" s="1"/>
  <c r="K34" i="21"/>
  <c r="B48" i="14"/>
  <c r="L50" i="14"/>
  <c r="R22" i="38" s="1"/>
  <c r="M14" i="15"/>
  <c r="U10" i="38" s="1"/>
  <c r="F22" i="38" l="1"/>
  <c r="C18" i="15"/>
  <c r="U14" i="38" s="1"/>
  <c r="C17" i="15"/>
  <c r="U13" i="38" s="1"/>
  <c r="K35" i="21"/>
  <c r="K58" i="21" s="1"/>
  <c r="L51" i="14"/>
  <c r="K57" i="21"/>
  <c r="DT145" i="22"/>
  <c r="DT146" i="22"/>
  <c r="L46" i="14" l="1"/>
  <c r="R18" i="38" s="1"/>
  <c r="R23" i="38"/>
  <c r="K36" i="21"/>
  <c r="K59" i="21" s="1"/>
  <c r="F23" i="38"/>
  <c r="DT147" i="22"/>
  <c r="DT144" i="22" s="1"/>
  <c r="L53" i="14" l="1"/>
  <c r="R26" i="38" s="1"/>
  <c r="R24" i="38"/>
  <c r="F18" i="38"/>
  <c r="F24" i="38" s="1"/>
  <c r="F26" i="38" s="1"/>
  <c r="DU146" i="22"/>
  <c r="DU145" i="22"/>
  <c r="B53" i="14" l="1"/>
  <c r="K40" i="21"/>
  <c r="K63" i="21" s="1"/>
  <c r="K65" i="21" s="1"/>
  <c r="DU147" i="22"/>
  <c r="DU144" i="22" s="1"/>
  <c r="K42" i="21" l="1"/>
  <c r="DV145" i="22"/>
  <c r="DV146" i="22"/>
  <c r="DV147" i="22" l="1"/>
  <c r="DV144" i="22" s="1"/>
  <c r="DW146" i="22" l="1"/>
  <c r="DW145" i="22"/>
  <c r="DW147" i="22" l="1"/>
  <c r="DW144" i="22" s="1"/>
  <c r="DX145" i="22" l="1"/>
  <c r="DX146" i="22"/>
  <c r="DX147" i="22" l="1"/>
  <c r="DX144" i="22" s="1"/>
  <c r="DY146" i="22" l="1"/>
  <c r="DY145" i="22"/>
  <c r="DY147" i="22" l="1"/>
  <c r="DY144" i="22" s="1"/>
  <c r="DZ145" i="22" s="1"/>
  <c r="DZ146" i="22" l="1"/>
  <c r="DZ147" i="22" s="1"/>
  <c r="DZ144" i="22" s="1"/>
  <c r="EA146" i="22" l="1"/>
  <c r="EA145" i="22"/>
  <c r="EA147" i="22" l="1"/>
  <c r="EA144" i="22" s="1"/>
  <c r="EB145" i="22" s="1"/>
  <c r="EB146" i="22" l="1"/>
  <c r="EB147" i="22" s="1"/>
  <c r="EB144" i="22" s="1"/>
  <c r="EC146" i="22" l="1"/>
  <c r="EC145" i="22"/>
  <c r="EC147" i="22" l="1"/>
  <c r="EC144" i="22" s="1"/>
  <c r="ED145" i="22" s="1"/>
  <c r="ED146" i="22" l="1"/>
  <c r="M178" i="22" s="1"/>
  <c r="M179" i="22" s="1"/>
  <c r="M163" i="22"/>
  <c r="ED147" i="22" l="1"/>
  <c r="ED144" i="22" s="1"/>
  <c r="EE146" i="22" s="1"/>
  <c r="M180" i="22"/>
  <c r="M164" i="22"/>
  <c r="M165" i="22"/>
  <c r="EE145" i="22" l="1"/>
  <c r="EE147" i="22" s="1"/>
  <c r="EE144" i="22" s="1"/>
  <c r="EF145" i="22" l="1"/>
  <c r="EF146" i="22"/>
  <c r="EF147" i="22" l="1"/>
  <c r="EF144" i="22" s="1"/>
  <c r="EG146" i="22" l="1"/>
  <c r="EG145" i="22"/>
  <c r="EG147" i="22" l="1"/>
  <c r="EG144" i="22" s="1"/>
  <c r="EH145" i="22" l="1"/>
  <c r="EH146" i="22"/>
  <c r="EH147" i="22" l="1"/>
  <c r="EH144" i="22" s="1"/>
  <c r="EI146" i="22" l="1"/>
  <c r="EI145" i="22"/>
  <c r="EI147" i="22" l="1"/>
  <c r="EI144" i="22" s="1"/>
  <c r="EJ145" i="22" l="1"/>
  <c r="EJ146" i="22"/>
  <c r="EJ147" i="22" l="1"/>
  <c r="EJ144" i="22" s="1"/>
  <c r="EK146" i="22" l="1"/>
  <c r="EK145" i="22"/>
  <c r="EK147" i="22" l="1"/>
  <c r="EK144" i="22" s="1"/>
  <c r="EL145" i="22" s="1"/>
  <c r="EL146" i="22" l="1"/>
  <c r="EL147" i="22" s="1"/>
  <c r="EL144" i="22" s="1"/>
  <c r="EM146" i="22" l="1"/>
  <c r="EM145" i="22"/>
  <c r="EM147" i="22" l="1"/>
  <c r="EM144" i="22" s="1"/>
  <c r="EN146" i="22" s="1"/>
  <c r="EN145" i="22" l="1"/>
  <c r="EN147" i="22" s="1"/>
  <c r="EN144" i="22" s="1"/>
  <c r="EO146" i="22" s="1"/>
  <c r="EO145" i="22" l="1"/>
  <c r="EO147" i="22" s="1"/>
  <c r="EO144" i="22" s="1"/>
  <c r="EP145" i="22" s="1"/>
  <c r="EP146" i="22" l="1"/>
  <c r="N178" i="22" s="1"/>
  <c r="N179" i="22" s="1"/>
  <c r="B145" i="22"/>
  <c r="N163" i="22"/>
  <c r="N180" i="22" l="1"/>
  <c r="EP147" i="22"/>
  <c r="EP144" i="22" s="1"/>
  <c r="EQ145" i="22" s="1"/>
  <c r="N164" i="22"/>
  <c r="N165" i="22"/>
  <c r="EQ146" i="22" l="1"/>
  <c r="EQ147" i="22" s="1"/>
  <c r="EQ144" i="22" s="1"/>
  <c r="ER145" i="22" l="1"/>
  <c r="ER146" i="22"/>
  <c r="ER147" i="22" l="1"/>
  <c r="ER144" i="22" s="1"/>
  <c r="ES146" i="22" l="1"/>
  <c r="ES145" i="22"/>
  <c r="ES147" i="22" l="1"/>
  <c r="ES144" i="22" s="1"/>
  <c r="ET146" i="22" l="1"/>
  <c r="ET145" i="22"/>
  <c r="ET147" i="22" l="1"/>
  <c r="ET144" i="22" s="1"/>
  <c r="EU146" i="22" l="1"/>
  <c r="EU145" i="22"/>
  <c r="EU147" i="22" l="1"/>
  <c r="EU144" i="22" s="1"/>
  <c r="EV145" i="22" l="1"/>
  <c r="EV146" i="22"/>
  <c r="EV147" i="22" l="1"/>
  <c r="EV144" i="22" s="1"/>
  <c r="EW146" i="22" l="1"/>
  <c r="EW145" i="22"/>
  <c r="EW147" i="22" l="1"/>
  <c r="EW144" i="22" s="1"/>
  <c r="EX145" i="22" s="1"/>
  <c r="EX146" i="22" l="1"/>
  <c r="EX147" i="22" s="1"/>
  <c r="EX144" i="22" s="1"/>
  <c r="EY145" i="22" l="1"/>
  <c r="EY146" i="22"/>
  <c r="EY147" i="22" l="1"/>
  <c r="EY144" i="22" s="1"/>
  <c r="EZ146" i="22" l="1"/>
  <c r="EZ145" i="22"/>
  <c r="EZ147" i="22" l="1"/>
  <c r="EZ144" i="22" s="1"/>
  <c r="FA145" i="22" l="1"/>
  <c r="FA146" i="22"/>
  <c r="FA147" i="22" l="1"/>
  <c r="FA144" i="22" s="1"/>
  <c r="FB145" i="22" l="1"/>
  <c r="FB146" i="22"/>
  <c r="O178" i="22" s="1"/>
  <c r="O179" i="22" l="1"/>
  <c r="O180" i="22"/>
  <c r="FB147" i="22"/>
  <c r="FB144" i="22" s="1"/>
  <c r="O163" i="22"/>
  <c r="FC145" i="22" l="1"/>
  <c r="FC146" i="22"/>
  <c r="O164" i="22"/>
  <c r="O165" i="22"/>
  <c r="FC147" i="22" l="1"/>
  <c r="FC144" i="22" s="1"/>
  <c r="FD146" i="22" l="1"/>
  <c r="FD145" i="22"/>
  <c r="FD147" i="22" l="1"/>
  <c r="FD144" i="22" s="1"/>
  <c r="FE145" i="22" l="1"/>
  <c r="FE146" i="22"/>
  <c r="FE147" i="22" l="1"/>
  <c r="FE144" i="22" s="1"/>
  <c r="FF146" i="22" l="1"/>
  <c r="FF145" i="22"/>
  <c r="FF147" i="22" l="1"/>
  <c r="FF144" i="22" s="1"/>
  <c r="FG145" i="22" l="1"/>
  <c r="FG146" i="22"/>
  <c r="FG147" i="22" l="1"/>
  <c r="FG144" i="22" s="1"/>
  <c r="FH146" i="22" l="1"/>
  <c r="FH145" i="22"/>
  <c r="FH147" i="22" l="1"/>
  <c r="FH144" i="22" s="1"/>
  <c r="FI145" i="22" s="1"/>
  <c r="FI146" i="22" l="1"/>
  <c r="FI147" i="22" s="1"/>
  <c r="FI144" i="22" s="1"/>
  <c r="FJ146" i="22" s="1"/>
  <c r="FJ145" i="22" l="1"/>
  <c r="FJ147" i="22" s="1"/>
  <c r="FJ144" i="22" s="1"/>
  <c r="FK145" i="22" l="1"/>
  <c r="FK146" i="22"/>
  <c r="FK147" i="22" l="1"/>
  <c r="FK144" i="22" s="1"/>
  <c r="FL146" i="22" s="1"/>
  <c r="FL145" i="22" l="1"/>
  <c r="FL147" i="22" s="1"/>
  <c r="FL144" i="22" s="1"/>
  <c r="FM145" i="22" s="1"/>
  <c r="FM146" i="22" l="1"/>
  <c r="FM147" i="22" s="1"/>
  <c r="FM144" i="22" s="1"/>
  <c r="FN146" i="22" l="1"/>
  <c r="P178" i="22" s="1"/>
  <c r="FN145" i="22"/>
  <c r="P180" i="22" l="1"/>
  <c r="P179" i="22"/>
  <c r="FN147" i="22"/>
  <c r="FN144" i="22" s="1"/>
  <c r="P163" i="22"/>
  <c r="P164" i="22" l="1"/>
  <c r="P165" i="22"/>
  <c r="FO145" i="22"/>
  <c r="FO146" i="22"/>
  <c r="FO147" i="22" l="1"/>
  <c r="FO144" i="22" s="1"/>
  <c r="FP146" i="22" l="1"/>
  <c r="FP145" i="22"/>
  <c r="FP147" i="22" l="1"/>
  <c r="FP144" i="22" s="1"/>
  <c r="FQ146" i="22" s="1"/>
  <c r="FQ145" i="22" l="1"/>
  <c r="FQ147" i="22" s="1"/>
  <c r="FQ144" i="22" s="1"/>
  <c r="FR145" i="22" s="1"/>
  <c r="FR146" i="22" l="1"/>
  <c r="FR147" i="22" s="1"/>
  <c r="FR144" i="22" s="1"/>
  <c r="FS146" i="22" l="1"/>
  <c r="FS145" i="22"/>
  <c r="FS147" i="22" l="1"/>
  <c r="FS144" i="22" s="1"/>
  <c r="FT145" i="22" l="1"/>
  <c r="FT146" i="22"/>
  <c r="FT147" i="22" l="1"/>
  <c r="FT144" i="22" s="1"/>
  <c r="FU146" i="22" l="1"/>
  <c r="FU145" i="22"/>
  <c r="FU147" i="22" l="1"/>
  <c r="FU144" i="22" s="1"/>
  <c r="FV145" i="22" l="1"/>
  <c r="FV146" i="22"/>
  <c r="FV147" i="22" l="1"/>
  <c r="FV144" i="22" s="1"/>
  <c r="FW145" i="22" l="1"/>
  <c r="FW146" i="22"/>
  <c r="FW147" i="22" l="1"/>
  <c r="FW144" i="22" s="1"/>
  <c r="FX145" i="22" s="1"/>
  <c r="FX146" i="22" l="1"/>
  <c r="FX147" i="22" s="1"/>
  <c r="FX144" i="22" s="1"/>
  <c r="FY145" i="22" l="1"/>
  <c r="FY146" i="22"/>
  <c r="FY147" i="22" l="1"/>
  <c r="FY144" i="22" s="1"/>
  <c r="FZ146" i="22" s="1"/>
  <c r="Q178" i="22" s="1"/>
  <c r="FZ145" i="22" l="1"/>
  <c r="FZ147" i="22" s="1"/>
  <c r="FZ144" i="22" s="1"/>
  <c r="Q179" i="22"/>
  <c r="Q180" i="22"/>
  <c r="B178" i="22"/>
  <c r="B179" i="22" l="1"/>
  <c r="Q163" i="22"/>
  <c r="Q165" i="22" s="1"/>
  <c r="Q164" i="22" l="1"/>
  <c r="B163" i="22"/>
  <c r="B164" i="22" l="1"/>
</calcChain>
</file>

<file path=xl/comments1.xml><?xml version="1.0" encoding="utf-8"?>
<comments xmlns="http://schemas.openxmlformats.org/spreadsheetml/2006/main">
  <authors>
    <author>Mauricio Custode</author>
  </authors>
  <commentList>
    <comment ref="A37" authorId="0" shapeId="0">
      <text>
        <r>
          <rPr>
            <b/>
            <sz val="9"/>
            <color indexed="81"/>
            <rFont val="Tahoma"/>
            <family val="2"/>
          </rPr>
          <t>Roberto Custode:</t>
        </r>
        <r>
          <rPr>
            <sz val="9"/>
            <color indexed="81"/>
            <rFont val="Tahoma"/>
            <family val="2"/>
          </rPr>
          <t xml:space="preserve">
Empresa Considerada de Alto riesgo. Verificar si se requiere presencia de Medico Ocupacional.</t>
        </r>
      </text>
    </comment>
  </commentList>
</comments>
</file>

<file path=xl/comments2.xml><?xml version="1.0" encoding="utf-8"?>
<comments xmlns="http://schemas.openxmlformats.org/spreadsheetml/2006/main">
  <authors>
    <author>Personal</author>
  </authors>
  <commentList>
    <comment ref="G21" authorId="0" shapeId="0">
      <text>
        <r>
          <rPr>
            <b/>
            <sz val="9"/>
            <color indexed="81"/>
            <rFont val="Tahoma"/>
            <family val="2"/>
          </rPr>
          <t>Roberto Custode:</t>
        </r>
        <r>
          <rPr>
            <sz val="9"/>
            <color indexed="81"/>
            <rFont val="Tahoma"/>
            <family val="2"/>
          </rPr>
          <t xml:space="preserve">
No se consideran, dado el caso de adquisición de los inmuebles actuales.</t>
        </r>
      </text>
    </comment>
  </commentList>
</comments>
</file>

<file path=xl/comments3.xml><?xml version="1.0" encoding="utf-8"?>
<comments xmlns="http://schemas.openxmlformats.org/spreadsheetml/2006/main">
  <authors>
    <author>Roberto Custode</author>
  </authors>
  <commentList>
    <comment ref="C12" authorId="0" shapeId="0">
      <text>
        <r>
          <rPr>
            <b/>
            <sz val="9"/>
            <color indexed="81"/>
            <rFont val="Tahoma"/>
            <family val="2"/>
          </rPr>
          <t>Roberto Custode:</t>
        </r>
        <r>
          <rPr>
            <sz val="9"/>
            <color indexed="81"/>
            <rFont val="Tahoma"/>
            <family val="2"/>
          </rPr>
          <t xml:space="preserve">
Se estima que el 7% de la flota de livianos es de uso intensivo y revisión semestral.</t>
        </r>
      </text>
    </comment>
  </commentList>
</comments>
</file>

<file path=xl/comments4.xml><?xml version="1.0" encoding="utf-8"?>
<comments xmlns="http://schemas.openxmlformats.org/spreadsheetml/2006/main">
  <authors>
    <author>Roberto Custode</author>
  </authors>
  <commentList>
    <comment ref="B50" authorId="0" shapeId="0">
      <text>
        <r>
          <rPr>
            <b/>
            <sz val="9"/>
            <color indexed="81"/>
            <rFont val="Tahoma"/>
            <family val="2"/>
          </rPr>
          <t>Roberto Custode:</t>
        </r>
        <r>
          <rPr>
            <sz val="9"/>
            <color indexed="81"/>
            <rFont val="Tahoma"/>
            <family val="2"/>
          </rPr>
          <t xml:space="preserve">
Favor verificar estos porcentajes.</t>
        </r>
      </text>
    </comment>
  </commentList>
</comments>
</file>

<file path=xl/sharedStrings.xml><?xml version="1.0" encoding="utf-8"?>
<sst xmlns="http://schemas.openxmlformats.org/spreadsheetml/2006/main" count="1746" uniqueCount="685">
  <si>
    <t>Año 1</t>
  </si>
  <si>
    <t>Año 2</t>
  </si>
  <si>
    <t>Año 3</t>
  </si>
  <si>
    <t>Año 4</t>
  </si>
  <si>
    <t>Año 5</t>
  </si>
  <si>
    <t>Año 6</t>
  </si>
  <si>
    <t>Año 7</t>
  </si>
  <si>
    <t>Año 8</t>
  </si>
  <si>
    <t>Año 9</t>
  </si>
  <si>
    <t>Año 10</t>
  </si>
  <si>
    <t>Pesados</t>
  </si>
  <si>
    <t>Motos y otros</t>
  </si>
  <si>
    <t>Crecimiento (%):</t>
  </si>
  <si>
    <t>Revisiones efectivas (%):</t>
  </si>
  <si>
    <t>Revisiones efectivas (unidades):</t>
  </si>
  <si>
    <t>Captación de la demanda</t>
  </si>
  <si>
    <t>Venta de servicio (1era. revisión)</t>
  </si>
  <si>
    <t>Tarifa neta ($):</t>
  </si>
  <si>
    <t>Ingresos:</t>
  </si>
  <si>
    <t>Venta de servicio (2da. revisión)</t>
  </si>
  <si>
    <t>Venta de servicio (3era. revisión)</t>
  </si>
  <si>
    <t>Venta de servicio (4ta. revisión)</t>
  </si>
  <si>
    <t>INGRESOS OPERATIVOS</t>
  </si>
  <si>
    <t>1era. Revisión</t>
  </si>
  <si>
    <t>2da. Revisión</t>
  </si>
  <si>
    <t>3era. Revisión</t>
  </si>
  <si>
    <t>Cuarta Revisión</t>
  </si>
  <si>
    <t>Demanda</t>
  </si>
  <si>
    <t>EGRESOS OPERATIVOS</t>
  </si>
  <si>
    <t>Líneas</t>
  </si>
  <si>
    <t>Días al año</t>
  </si>
  <si>
    <t>Total</t>
  </si>
  <si>
    <t>Conductores</t>
  </si>
  <si>
    <t>Conductores por línea</t>
  </si>
  <si>
    <t>Total conductores</t>
  </si>
  <si>
    <t>Sueldo mensual</t>
  </si>
  <si>
    <t>Total mensual</t>
  </si>
  <si>
    <t>Total anual</t>
  </si>
  <si>
    <t>Revisores por línea</t>
  </si>
  <si>
    <t>Total revisores</t>
  </si>
  <si>
    <t>Jefe de estación</t>
  </si>
  <si>
    <t>Cantidad necesaria</t>
  </si>
  <si>
    <t>Administrativos</t>
  </si>
  <si>
    <t>Conserje</t>
  </si>
  <si>
    <t>Seguridad</t>
  </si>
  <si>
    <t>Gastos generales</t>
  </si>
  <si>
    <t>Comunicaciones</t>
  </si>
  <si>
    <t>Suministros</t>
  </si>
  <si>
    <t>Telefonía</t>
  </si>
  <si>
    <t>Uniformes</t>
  </si>
  <si>
    <t>Calibración de máquinas</t>
  </si>
  <si>
    <t>Insumos</t>
  </si>
  <si>
    <t>Alimentación</t>
  </si>
  <si>
    <t>Central:</t>
  </si>
  <si>
    <t>Técnicos de Sistemas</t>
  </si>
  <si>
    <t>Marketing</t>
  </si>
  <si>
    <t>Otros</t>
  </si>
  <si>
    <t>Contabilidad</t>
  </si>
  <si>
    <t>Call Center</t>
  </si>
  <si>
    <t>Jurídico</t>
  </si>
  <si>
    <t>RR.HH</t>
  </si>
  <si>
    <t>Seguros</t>
  </si>
  <si>
    <t>Hosting</t>
  </si>
  <si>
    <t>Alquiler de oficina</t>
  </si>
  <si>
    <t>Viajes</t>
  </si>
  <si>
    <t>Auditoría</t>
  </si>
  <si>
    <t>PLAN DE INVERSION</t>
  </si>
  <si>
    <t>Valor unitario</t>
  </si>
  <si>
    <t>Valor total</t>
  </si>
  <si>
    <t>Unidad</t>
  </si>
  <si>
    <t>Cantidad</t>
  </si>
  <si>
    <t>(US$)</t>
  </si>
  <si>
    <t>%</t>
  </si>
  <si>
    <t>Subtotal</t>
  </si>
  <si>
    <t>Estación</t>
  </si>
  <si>
    <t>UPS + Generador</t>
  </si>
  <si>
    <t>Computadoras de máquinas</t>
  </si>
  <si>
    <t>Computadoras de administración</t>
  </si>
  <si>
    <t>Servidor central</t>
  </si>
  <si>
    <t>Software</t>
  </si>
  <si>
    <t>Nave</t>
  </si>
  <si>
    <t>m2</t>
  </si>
  <si>
    <t>Instalaciones administrativas</t>
  </si>
  <si>
    <t>Señalización</t>
  </si>
  <si>
    <t>Cerramiento</t>
  </si>
  <si>
    <t>Jardines</t>
  </si>
  <si>
    <t>Pavimento</t>
  </si>
  <si>
    <t>Maquinaria común + instalaciones</t>
  </si>
  <si>
    <t>Mobiliario</t>
  </si>
  <si>
    <t>Vehículos</t>
  </si>
  <si>
    <t>Capital de trabajo:</t>
  </si>
  <si>
    <t>Año 11</t>
  </si>
  <si>
    <t>Año 12</t>
  </si>
  <si>
    <t>Año 13</t>
  </si>
  <si>
    <t>Año 14</t>
  </si>
  <si>
    <t>Año 15</t>
  </si>
  <si>
    <t>Unidades</t>
  </si>
  <si>
    <t>Costo unitario</t>
  </si>
  <si>
    <t>Costo por línea</t>
  </si>
  <si>
    <t>FLUJO DE CAJA</t>
  </si>
  <si>
    <t>Inversiones</t>
  </si>
  <si>
    <t>Ventas</t>
  </si>
  <si>
    <t>Gastos operativos</t>
  </si>
  <si>
    <t>Utilidad operacional</t>
  </si>
  <si>
    <t>Flujo operacional</t>
  </si>
  <si>
    <t>Ingresos operacionales</t>
  </si>
  <si>
    <t>Ingresos no operacionales</t>
  </si>
  <si>
    <t>Egresos no operacionales</t>
  </si>
  <si>
    <t>Flujo no operacional</t>
  </si>
  <si>
    <t>Flujo neto generado</t>
  </si>
  <si>
    <t>Saldo inicial</t>
  </si>
  <si>
    <t>Saldo final</t>
  </si>
  <si>
    <t>Gastos no operativos</t>
  </si>
  <si>
    <t>Utilidad neta</t>
  </si>
  <si>
    <t>ESTADO DE RESULTADOS</t>
  </si>
  <si>
    <t>EVALUACION FINANCIERA</t>
  </si>
  <si>
    <t>Inversión</t>
  </si>
  <si>
    <t>Egresos operacionales</t>
  </si>
  <si>
    <t>Valor residual</t>
  </si>
  <si>
    <t>Flujo neto</t>
  </si>
  <si>
    <t>TIR</t>
  </si>
  <si>
    <t>VAN ($)</t>
  </si>
  <si>
    <t>Año 0</t>
  </si>
  <si>
    <t>Inversiones:</t>
  </si>
  <si>
    <t>Reposiciones:</t>
  </si>
  <si>
    <t>DEPRECIACIONES</t>
  </si>
  <si>
    <t>10 años</t>
  </si>
  <si>
    <t>5 años</t>
  </si>
  <si>
    <t>15% Trabajadores</t>
  </si>
  <si>
    <t>25% Impuesto a la renta</t>
  </si>
  <si>
    <t>Gastos pre-operativos:</t>
  </si>
  <si>
    <t>Permisos</t>
  </si>
  <si>
    <t>Estudios</t>
  </si>
  <si>
    <t>Varios</t>
  </si>
  <si>
    <t>Publicidad</t>
  </si>
  <si>
    <t>Mes</t>
  </si>
  <si>
    <t>Sueldo (Contador)</t>
  </si>
  <si>
    <t>Sueldo (Fiscalizador de obras civiles)</t>
  </si>
  <si>
    <t>Agua, Luz y Teléfono</t>
  </si>
  <si>
    <t>INFLACION</t>
  </si>
  <si>
    <t>PROYECTO REVISION VEHICULAR</t>
  </si>
  <si>
    <t>Tarifa</t>
  </si>
  <si>
    <t>Servipagos</t>
  </si>
  <si>
    <t>(Gto Financiero)</t>
  </si>
  <si>
    <t>Bruta</t>
  </si>
  <si>
    <t>Sin IVA</t>
  </si>
  <si>
    <t>Livianos</t>
  </si>
  <si>
    <t>Tipo de</t>
  </si>
  <si>
    <t>Vehículo</t>
  </si>
  <si>
    <t>Neta</t>
  </si>
  <si>
    <t>INVERSIONES Y REPOSICIONES</t>
  </si>
  <si>
    <t>Laptops Directores</t>
  </si>
  <si>
    <t>Impresoras</t>
  </si>
  <si>
    <t>PC's</t>
  </si>
  <si>
    <t>Software de base</t>
  </si>
  <si>
    <t>Parametrización SW por Proyecto</t>
  </si>
  <si>
    <t>Software para la central</t>
  </si>
  <si>
    <t>Software control de inventario</t>
  </si>
  <si>
    <t>Equipamiento de oficinas</t>
  </si>
  <si>
    <t>Capacitación general</t>
  </si>
  <si>
    <t>Gerente General</t>
  </si>
  <si>
    <t>Sueldo (Gerente General)</t>
  </si>
  <si>
    <t>Instalaciones + Adecuaciones</t>
  </si>
  <si>
    <t>Asistente de Gerente General</t>
  </si>
  <si>
    <t>Gerente Financiero</t>
  </si>
  <si>
    <t>Gerente de Sistemas</t>
  </si>
  <si>
    <t>Gerente de Mantenimiento</t>
  </si>
  <si>
    <t>Sueldo (Asistente Gerente General)</t>
  </si>
  <si>
    <t>Sueldo (Gerente de Sistemas)</t>
  </si>
  <si>
    <t>Sueldo (Gerente de Operaciones)</t>
  </si>
  <si>
    <t>Tasa de descuento</t>
  </si>
  <si>
    <t>Buses</t>
  </si>
  <si>
    <t>Demanda estimada</t>
  </si>
  <si>
    <t>Revisión</t>
  </si>
  <si>
    <t>1era revisión</t>
  </si>
  <si>
    <t>Costo</t>
  </si>
  <si>
    <t>Cant. (100%)</t>
  </si>
  <si>
    <t>2da revisión</t>
  </si>
  <si>
    <t>Cant. (30%)</t>
  </si>
  <si>
    <t>3era revisión</t>
  </si>
  <si>
    <t>Cant. (10%)</t>
  </si>
  <si>
    <t>Precio (50%)</t>
  </si>
  <si>
    <t xml:space="preserve">Precio </t>
  </si>
  <si>
    <t xml:space="preserve"> </t>
  </si>
  <si>
    <t>4ta revisión</t>
  </si>
  <si>
    <t>Cant. (2%)</t>
  </si>
  <si>
    <t>Precio (100%)</t>
  </si>
  <si>
    <t>Total Sin Capital de Trabajo</t>
  </si>
  <si>
    <t>Total Con Capital de trabajo</t>
  </si>
  <si>
    <t xml:space="preserve">  </t>
  </si>
  <si>
    <t>Tarifa*</t>
  </si>
  <si>
    <t>Revisiones (unidades):</t>
  </si>
  <si>
    <t>Taxis (Semestral)</t>
  </si>
  <si>
    <t>Pesados (Semestral)</t>
  </si>
  <si>
    <t>Revisiones</t>
  </si>
  <si>
    <t>Exonerados</t>
  </si>
  <si>
    <t>Exonerados (Sin Revisión)</t>
  </si>
  <si>
    <t>Inspectores</t>
  </si>
  <si>
    <t>Supervisor</t>
  </si>
  <si>
    <t>Viaticos</t>
  </si>
  <si>
    <t>Contabilidad (Asistente)</t>
  </si>
  <si>
    <t>Gerente de Técnico</t>
  </si>
  <si>
    <t>Liviano</t>
  </si>
  <si>
    <t>Universal</t>
  </si>
  <si>
    <t>Tarifa**</t>
  </si>
  <si>
    <t>Fideicomiso</t>
  </si>
  <si>
    <t>Inflación (Gastos)</t>
  </si>
  <si>
    <t>Inflación (Ingresos)</t>
  </si>
  <si>
    <t>Gastos</t>
  </si>
  <si>
    <t>Tecnologico</t>
  </si>
  <si>
    <t>Socio Técnologico (Años)</t>
  </si>
  <si>
    <t>Vehiculos Exonerados (Crecimiento)</t>
  </si>
  <si>
    <t>Personal</t>
  </si>
  <si>
    <t>Uniforme</t>
  </si>
  <si>
    <t>calibración (líneas)</t>
  </si>
  <si>
    <t>G. generales</t>
  </si>
  <si>
    <t>Depreciación</t>
  </si>
  <si>
    <t>Alimentación (Viáticos</t>
  </si>
  <si>
    <t>Técnologico</t>
  </si>
  <si>
    <t>1era Revisión</t>
  </si>
  <si>
    <t>Total (1era revisión)</t>
  </si>
  <si>
    <t>3era Revisión</t>
  </si>
  <si>
    <t>4ta Revisión</t>
  </si>
  <si>
    <t>Total (4ta revisión)</t>
  </si>
  <si>
    <t>Socios Técnologico</t>
  </si>
  <si>
    <t>Exonerados (Carros Nuevos)</t>
  </si>
  <si>
    <t>Totales</t>
  </si>
  <si>
    <t>Interés (Préstamos)</t>
  </si>
  <si>
    <t>Monto</t>
  </si>
  <si>
    <t>Tasa</t>
  </si>
  <si>
    <t>Tiempo</t>
  </si>
  <si>
    <t>Pagos</t>
  </si>
  <si>
    <t>Saldo  Final</t>
  </si>
  <si>
    <t xml:space="preserve">Interés </t>
  </si>
  <si>
    <t>Aporte a Capital</t>
  </si>
  <si>
    <t>Mes 1</t>
  </si>
  <si>
    <t>Mes 2</t>
  </si>
  <si>
    <t>Mes 3</t>
  </si>
  <si>
    <t>Mes 4</t>
  </si>
  <si>
    <t>Mes 5</t>
  </si>
  <si>
    <t>Mes 6</t>
  </si>
  <si>
    <t>Mes 7</t>
  </si>
  <si>
    <t>Mes 8</t>
  </si>
  <si>
    <t>Mes 9</t>
  </si>
  <si>
    <t>Mes 10</t>
  </si>
  <si>
    <t>Mes 11</t>
  </si>
  <si>
    <t>Mes 12</t>
  </si>
  <si>
    <t>Mes 13</t>
  </si>
  <si>
    <t>Mes 14</t>
  </si>
  <si>
    <t>Mes 15</t>
  </si>
  <si>
    <t>Mes 16</t>
  </si>
  <si>
    <t>Mes 17</t>
  </si>
  <si>
    <t>Mes 18</t>
  </si>
  <si>
    <t>Mes 19</t>
  </si>
  <si>
    <t>Mes 20</t>
  </si>
  <si>
    <t>Mes 21</t>
  </si>
  <si>
    <t>Mes 22</t>
  </si>
  <si>
    <t>Mes 23</t>
  </si>
  <si>
    <t>Mes 24</t>
  </si>
  <si>
    <t>Mes 25</t>
  </si>
  <si>
    <t>Mes 26</t>
  </si>
  <si>
    <t>Mes 27</t>
  </si>
  <si>
    <t>Mes 28</t>
  </si>
  <si>
    <t>Mes 29</t>
  </si>
  <si>
    <t>Mes 30</t>
  </si>
  <si>
    <t>Mes 31</t>
  </si>
  <si>
    <t>Mes 32</t>
  </si>
  <si>
    <t>Mes 33</t>
  </si>
  <si>
    <t>Mes 34</t>
  </si>
  <si>
    <t>Mes 35</t>
  </si>
  <si>
    <t>Mes 36</t>
  </si>
  <si>
    <t>Mes 37</t>
  </si>
  <si>
    <t>Mes 38</t>
  </si>
  <si>
    <t>Mes 39</t>
  </si>
  <si>
    <t>Mes 40</t>
  </si>
  <si>
    <t>Mes 41</t>
  </si>
  <si>
    <t>Mes 42</t>
  </si>
  <si>
    <t>Mes 43</t>
  </si>
  <si>
    <t>Mes 44</t>
  </si>
  <si>
    <t>Mes 45</t>
  </si>
  <si>
    <t>Mes 46</t>
  </si>
  <si>
    <t>Mes 47</t>
  </si>
  <si>
    <t>Mes 48</t>
  </si>
  <si>
    <t>Mes 49</t>
  </si>
  <si>
    <t>Mes 50</t>
  </si>
  <si>
    <t>Mes 51</t>
  </si>
  <si>
    <t>Mes 52</t>
  </si>
  <si>
    <t>Mes 53</t>
  </si>
  <si>
    <t>Mes 54</t>
  </si>
  <si>
    <t>Mes 55</t>
  </si>
  <si>
    <t>Mes 56</t>
  </si>
  <si>
    <t>Mes 57</t>
  </si>
  <si>
    <t>Mes 58</t>
  </si>
  <si>
    <t>Mes 59</t>
  </si>
  <si>
    <t>Mes 60</t>
  </si>
  <si>
    <t>Mes 61</t>
  </si>
  <si>
    <t>Mes 62</t>
  </si>
  <si>
    <t>Mes 63</t>
  </si>
  <si>
    <t>Mes 64</t>
  </si>
  <si>
    <t>Mes 65</t>
  </si>
  <si>
    <t>Mes 66</t>
  </si>
  <si>
    <t>Mes 67</t>
  </si>
  <si>
    <t>Mes 68</t>
  </si>
  <si>
    <t>Mes 69</t>
  </si>
  <si>
    <t>Mes 70</t>
  </si>
  <si>
    <t>Mes 71</t>
  </si>
  <si>
    <t>Mes 72</t>
  </si>
  <si>
    <t>Mes 73</t>
  </si>
  <si>
    <t>Mes 74</t>
  </si>
  <si>
    <t>Mes 75</t>
  </si>
  <si>
    <t>Mes 76</t>
  </si>
  <si>
    <t>Mes 77</t>
  </si>
  <si>
    <t>Mes 78</t>
  </si>
  <si>
    <t>Mes 79</t>
  </si>
  <si>
    <t>Mes 80</t>
  </si>
  <si>
    <t>Mes 81</t>
  </si>
  <si>
    <t>Mes 82</t>
  </si>
  <si>
    <t>Mes 83</t>
  </si>
  <si>
    <t>Mes 84</t>
  </si>
  <si>
    <t>Mes 85</t>
  </si>
  <si>
    <t>Mes 86</t>
  </si>
  <si>
    <t>Mes 87</t>
  </si>
  <si>
    <t>Mes 88</t>
  </si>
  <si>
    <t>Mes 89</t>
  </si>
  <si>
    <t>Mes 90</t>
  </si>
  <si>
    <t>Mes 91</t>
  </si>
  <si>
    <t>Mes 92</t>
  </si>
  <si>
    <t>Mes 93</t>
  </si>
  <si>
    <t>Mes 94</t>
  </si>
  <si>
    <t>Mes 95</t>
  </si>
  <si>
    <t>Mes 96</t>
  </si>
  <si>
    <t>Mes 97</t>
  </si>
  <si>
    <t>Mes 98</t>
  </si>
  <si>
    <t>Mes 99</t>
  </si>
  <si>
    <t>Mes 100</t>
  </si>
  <si>
    <t>Mes 101</t>
  </si>
  <si>
    <t>Mes 102</t>
  </si>
  <si>
    <t>Mes 103</t>
  </si>
  <si>
    <t>Mes 104</t>
  </si>
  <si>
    <t>Mes 105</t>
  </si>
  <si>
    <t>Mes 106</t>
  </si>
  <si>
    <t>Mes 107</t>
  </si>
  <si>
    <t>Mes 108</t>
  </si>
  <si>
    <t>Mes 109</t>
  </si>
  <si>
    <t>Mes 110</t>
  </si>
  <si>
    <t>Mes 111</t>
  </si>
  <si>
    <t>Mes 112</t>
  </si>
  <si>
    <t>Mes 113</t>
  </si>
  <si>
    <t>Mes 114</t>
  </si>
  <si>
    <t>Mes 115</t>
  </si>
  <si>
    <t>Mes 116</t>
  </si>
  <si>
    <t>Mes 117</t>
  </si>
  <si>
    <t>Mes 118</t>
  </si>
  <si>
    <t>Mes 119</t>
  </si>
  <si>
    <t>Total Inversiones y Reposiciones</t>
  </si>
  <si>
    <t>Préstamo (Inversión Inicial)</t>
  </si>
  <si>
    <t>Mes de Inicio</t>
  </si>
  <si>
    <t>Mes 121</t>
  </si>
  <si>
    <t>Mes 122</t>
  </si>
  <si>
    <t>Mes 123</t>
  </si>
  <si>
    <t>Mes 124</t>
  </si>
  <si>
    <t>Mes 125</t>
  </si>
  <si>
    <t>Mes 126</t>
  </si>
  <si>
    <t>Mes 127</t>
  </si>
  <si>
    <t>Mes 128</t>
  </si>
  <si>
    <t>Mes 129</t>
  </si>
  <si>
    <t>Mes 130</t>
  </si>
  <si>
    <t>Mes 131</t>
  </si>
  <si>
    <t>Mes 132</t>
  </si>
  <si>
    <t>Mes 133</t>
  </si>
  <si>
    <t>Mes 134</t>
  </si>
  <si>
    <t>Mes 135</t>
  </si>
  <si>
    <t>Mes 136</t>
  </si>
  <si>
    <t>Mes 137</t>
  </si>
  <si>
    <t>Mes 138</t>
  </si>
  <si>
    <t>Mes 139</t>
  </si>
  <si>
    <t>Mes 140</t>
  </si>
  <si>
    <t>Mes 141</t>
  </si>
  <si>
    <t>Mes 142</t>
  </si>
  <si>
    <t>Mes 143</t>
  </si>
  <si>
    <t>Mes 144</t>
  </si>
  <si>
    <t>Mes 145</t>
  </si>
  <si>
    <t>Mes 146</t>
  </si>
  <si>
    <t>Mes 147</t>
  </si>
  <si>
    <t>Mes 148</t>
  </si>
  <si>
    <t>Mes 149</t>
  </si>
  <si>
    <t>Mes 150</t>
  </si>
  <si>
    <t>Mes 151</t>
  </si>
  <si>
    <t>Mes 152</t>
  </si>
  <si>
    <t>Mes 153</t>
  </si>
  <si>
    <t>Mes 154</t>
  </si>
  <si>
    <t>Mes 155</t>
  </si>
  <si>
    <t>Mes 156</t>
  </si>
  <si>
    <t>Mes 157</t>
  </si>
  <si>
    <t>Mes 158</t>
  </si>
  <si>
    <t>Mes 159</t>
  </si>
  <si>
    <t>Mes 160</t>
  </si>
  <si>
    <t>Mes 161</t>
  </si>
  <si>
    <t>Mes 162</t>
  </si>
  <si>
    <t>Mes 163</t>
  </si>
  <si>
    <t>Mes 164</t>
  </si>
  <si>
    <t>Mes 165</t>
  </si>
  <si>
    <t>Mes 166</t>
  </si>
  <si>
    <t>Mes 167</t>
  </si>
  <si>
    <t>Mes 168</t>
  </si>
  <si>
    <t>Mes 169</t>
  </si>
  <si>
    <t>Mes 170</t>
  </si>
  <si>
    <t>Mes 171</t>
  </si>
  <si>
    <t>Mes 172</t>
  </si>
  <si>
    <t>Mes 173</t>
  </si>
  <si>
    <t>Mes 174</t>
  </si>
  <si>
    <t>Mes 175</t>
  </si>
  <si>
    <t>Mes 176</t>
  </si>
  <si>
    <t>Mes 177</t>
  </si>
  <si>
    <t>Mes 178</t>
  </si>
  <si>
    <t>Mes 179</t>
  </si>
  <si>
    <t>Mes 180</t>
  </si>
  <si>
    <t>Resumen Anual</t>
  </si>
  <si>
    <t>Anualidades</t>
  </si>
  <si>
    <t>Inversión Inicial</t>
  </si>
  <si>
    <t>Préstamo (Accionistas)</t>
  </si>
  <si>
    <t>Pagos (capital + Interés)</t>
  </si>
  <si>
    <t>AMORTIZACIONES</t>
  </si>
  <si>
    <t>Gastos (Tiempo de duración)</t>
  </si>
  <si>
    <t>DISTRIBUCIÓN DE LA TARIFA</t>
  </si>
  <si>
    <t>Conceptos</t>
  </si>
  <si>
    <t>Operador</t>
  </si>
  <si>
    <t xml:space="preserve">Calibración </t>
  </si>
  <si>
    <t>IR (25%)</t>
  </si>
  <si>
    <t>Trabajadores (15%)</t>
  </si>
  <si>
    <t>Distribución de la Tarifa promedio (Sin Iva)</t>
  </si>
  <si>
    <t xml:space="preserve">            por motivo que los ingresos permanecen fijos en el tiempo</t>
  </si>
  <si>
    <t>Tarifa Total</t>
  </si>
  <si>
    <t>Tarifa Bruta</t>
  </si>
  <si>
    <t>Tarifa    Sin Iva</t>
  </si>
  <si>
    <t>Préstamo (Inv. &amp; Rep  Año 1)</t>
  </si>
  <si>
    <t>Préstamo (Inv. &amp; Rep  Año 2)</t>
  </si>
  <si>
    <t>Préstamo (Inv. &amp; Rep  Año 3)</t>
  </si>
  <si>
    <t>Préstamo (Inv. &amp; Rep  Año 4)</t>
  </si>
  <si>
    <t>Préstamo (Inv. &amp; Rep  Año 5)</t>
  </si>
  <si>
    <t>Préstamo (Inv. &amp; Rep  Año 6)</t>
  </si>
  <si>
    <t>Préstamo (Inv. &amp; Rep  Año 7)</t>
  </si>
  <si>
    <t>Préstamo (Inv. &amp; Rep  Año 8)</t>
  </si>
  <si>
    <t>Préstamo (Inv. &amp; Rep  Año 9)</t>
  </si>
  <si>
    <t>Préstamo (Inv. &amp; Rep  Año 10)</t>
  </si>
  <si>
    <t>PROYECTO TOTAL (OPERADOR)</t>
  </si>
  <si>
    <t>Interes (Préstamos)</t>
  </si>
  <si>
    <t>Tarifa Promedio ponderado</t>
  </si>
  <si>
    <t>Costos</t>
  </si>
  <si>
    <t>Tiempo (mes)</t>
  </si>
  <si>
    <t>Distribución del Ingreso  (Sin Iva)</t>
  </si>
  <si>
    <t>Gastos Generales</t>
  </si>
  <si>
    <t>Recuperación de la inversión</t>
  </si>
  <si>
    <t>Socios</t>
  </si>
  <si>
    <t>Impuestos (Rentas y Trabajadores)</t>
  </si>
  <si>
    <t xml:space="preserve">Distribución de la tarifa por grupos </t>
  </si>
  <si>
    <t xml:space="preserve">Distribución de la utilidades por grupos </t>
  </si>
  <si>
    <t>Ingresos (USD)</t>
  </si>
  <si>
    <t>Total Ingresos</t>
  </si>
  <si>
    <t>Total Tarifa</t>
  </si>
  <si>
    <t>Utilidades (Operador)</t>
  </si>
  <si>
    <t>% Participación</t>
  </si>
  <si>
    <t>Tarifa    Con Iva</t>
  </si>
  <si>
    <t>Iva Pagado</t>
  </si>
  <si>
    <t>Inversión Inicial / Reposiciones</t>
  </si>
  <si>
    <t>Iva Cobrado</t>
  </si>
  <si>
    <t>Saldos</t>
  </si>
  <si>
    <t>Crédito Triburario</t>
  </si>
  <si>
    <t>Saldo a pagar</t>
  </si>
  <si>
    <t>Gastos Pre-operativos</t>
  </si>
  <si>
    <t>Amortización de Gastos Preoperativos</t>
  </si>
  <si>
    <t>Total con I. Inicial</t>
  </si>
  <si>
    <t>Total Sin I. Inicial</t>
  </si>
  <si>
    <t>Accionista Financia Inv. Inicial</t>
  </si>
  <si>
    <t>Intereses</t>
  </si>
  <si>
    <t>Crecimiento</t>
  </si>
  <si>
    <t>Tasa de Interés (Préstamo)</t>
  </si>
  <si>
    <t>Valor residual del Proyecto</t>
  </si>
  <si>
    <t xml:space="preserve">Activos </t>
  </si>
  <si>
    <t>Depreciación Acumulada</t>
  </si>
  <si>
    <t>Activos fijos Bruto</t>
  </si>
  <si>
    <t>Activos fijos Neto</t>
  </si>
  <si>
    <t xml:space="preserve">Primera revisión </t>
  </si>
  <si>
    <t xml:space="preserve">Segunda revisión </t>
  </si>
  <si>
    <t xml:space="preserve">Tercera revisión </t>
  </si>
  <si>
    <t xml:space="preserve">Cuarta revisión </t>
  </si>
  <si>
    <t>Considerar el IVA en el Flujo</t>
  </si>
  <si>
    <t>T/ACTIVOS</t>
  </si>
  <si>
    <t>PASIVO CORRIENTE</t>
  </si>
  <si>
    <t>T/ACTIVOS - T/PASIVO CORR.</t>
  </si>
  <si>
    <t>CAPITAL</t>
  </si>
  <si>
    <t>TOTAL POR LIQUIDAR=&gt;&gt;</t>
  </si>
  <si>
    <t>Impuestos (varios)</t>
  </si>
  <si>
    <t>Impuestos Varios</t>
  </si>
  <si>
    <t>Base IR.</t>
  </si>
  <si>
    <t>Base Supercía</t>
  </si>
  <si>
    <t>Base Municipio</t>
  </si>
  <si>
    <t>Impuestos a Pagar</t>
  </si>
  <si>
    <t>IMPTO. a la Renta  x Pagar</t>
  </si>
  <si>
    <t>Contrib.Supercía 1X1000</t>
  </si>
  <si>
    <t>IMPTOS. Municipales 1.5X1000</t>
  </si>
  <si>
    <t>Intereses y Multas</t>
  </si>
  <si>
    <t>Certificación y Auditoría ISO 9000</t>
  </si>
  <si>
    <t>Amortización de Gastos Pre-operativos</t>
  </si>
  <si>
    <t>CONDICIONES</t>
  </si>
  <si>
    <t>IVA</t>
  </si>
  <si>
    <t>IMPUESTOS VARIOS</t>
  </si>
  <si>
    <t>Excedente por IVA</t>
  </si>
  <si>
    <t xml:space="preserve">Provincias </t>
  </si>
  <si>
    <t>Ciudad</t>
  </si>
  <si>
    <t>Machala</t>
  </si>
  <si>
    <t>Loja</t>
  </si>
  <si>
    <t>Quevedo</t>
  </si>
  <si>
    <t>Babahoyo</t>
  </si>
  <si>
    <t>Manta</t>
  </si>
  <si>
    <t>Portoviejo</t>
  </si>
  <si>
    <t>Jipijapa</t>
  </si>
  <si>
    <t>Chone</t>
  </si>
  <si>
    <t>El Carmen</t>
  </si>
  <si>
    <t>Bahía</t>
  </si>
  <si>
    <t>Piñas</t>
  </si>
  <si>
    <t>Zaruma</t>
  </si>
  <si>
    <t>Alamor</t>
  </si>
  <si>
    <t>Zamora</t>
  </si>
  <si>
    <t>Sta. Elena</t>
  </si>
  <si>
    <t>Huaquillas</t>
  </si>
  <si>
    <t>Vehiculos (2008)</t>
  </si>
  <si>
    <t>Revisiones (2009)</t>
  </si>
  <si>
    <t>Revisiones (2010)</t>
  </si>
  <si>
    <t xml:space="preserve">Revisiones    </t>
  </si>
  <si>
    <t>Estaciones Fijas</t>
  </si>
  <si>
    <t>Manabí (100% Port. Manta, 50% Jipijapa)</t>
  </si>
  <si>
    <t>Machala (100% Machala,50% Huaquillas)</t>
  </si>
  <si>
    <t>Quevedo (100% Quevedo)</t>
  </si>
  <si>
    <t>Babahoyo (100%)</t>
  </si>
  <si>
    <t>Loja (100% Loja, 50% Zamora)</t>
  </si>
  <si>
    <t>Estaciones Moviles</t>
  </si>
  <si>
    <t>Manabí 1 (50% Jipijapa,100% Chone, 100% Carmen, 100% Bahia)</t>
  </si>
  <si>
    <t>Sur 2 (50%Huaquillas, 100% Piñas, 100% Alamor, 100% Zaruma,50% Zamora)</t>
  </si>
  <si>
    <t>Sta. Elena (100%)</t>
  </si>
  <si>
    <t>Comprobaciòn</t>
  </si>
  <si>
    <t>Lineas</t>
  </si>
  <si>
    <t xml:space="preserve">Livianos </t>
  </si>
  <si>
    <t>Productividad</t>
  </si>
  <si>
    <t>Terrenos</t>
  </si>
  <si>
    <t>Líneas Fijas</t>
  </si>
  <si>
    <t>Pesado</t>
  </si>
  <si>
    <r>
      <t xml:space="preserve">   </t>
    </r>
    <r>
      <rPr>
        <b/>
        <u/>
        <sz val="10"/>
        <rFont val="Arial Narrow"/>
        <family val="2"/>
      </rPr>
      <t>Nota: C</t>
    </r>
    <r>
      <rPr>
        <sz val="10"/>
        <rFont val="Arial Narrow"/>
        <family val="2"/>
      </rPr>
      <t xml:space="preserve">abe indicar que esta distribución aumentaría en los rubros de gastos y disminuye en los rubros de CTG y Operador </t>
    </r>
  </si>
  <si>
    <t>Socio Tecnológico</t>
  </si>
  <si>
    <t>SI</t>
  </si>
  <si>
    <t>NO</t>
  </si>
  <si>
    <t>Capacidad Disponible</t>
  </si>
  <si>
    <r>
      <t>Iva por pagar mes de Diciembre</t>
    </r>
    <r>
      <rPr>
        <vertAlign val="superscript"/>
        <sz val="10"/>
        <color indexed="10"/>
        <rFont val="Arial Narrow"/>
        <family val="2"/>
      </rPr>
      <t xml:space="preserve"> </t>
    </r>
  </si>
  <si>
    <t>Monto (Base IVA)</t>
  </si>
  <si>
    <t>Amortización Gastos Pre-operativo</t>
  </si>
  <si>
    <t>(+) Valores efecto Contable</t>
  </si>
  <si>
    <t>(-) Valores efecto Contable</t>
  </si>
  <si>
    <t>CALCULO DE LA CAPACIDAD</t>
  </si>
  <si>
    <t>Horas de trabajo L-V</t>
  </si>
  <si>
    <t>Semanas de trabajo</t>
  </si>
  <si>
    <t xml:space="preserve">de 8 a 18h </t>
  </si>
  <si>
    <t>Horas de trabajo S y D</t>
  </si>
  <si>
    <t>de 8 a 14h</t>
  </si>
  <si>
    <t>No. de secciones l. fija</t>
  </si>
  <si>
    <t>Productividad anual linea fija livianos</t>
  </si>
  <si>
    <t>Productividad anual linea fija pesados</t>
  </si>
  <si>
    <t>Tiempo revisión livianos fija (min)</t>
  </si>
  <si>
    <t>Tiempo revisión pesados fija (min)</t>
  </si>
  <si>
    <t>Tiempo revisión universal fija (min)</t>
  </si>
  <si>
    <t>Productividad anual linea fija universal</t>
  </si>
  <si>
    <t>Capacidad fijas</t>
  </si>
  <si>
    <t>Bajo condiciones de calendarización mensual</t>
  </si>
  <si>
    <t>Días feriados anuales</t>
  </si>
  <si>
    <t>La idea es poner las móviles todos los fines de mes donde las fijas para apoyar los 4 últimos días de cada mes</t>
  </si>
  <si>
    <t>También aumentar a 12 horas de atención diaria la última semana de cada mes</t>
  </si>
  <si>
    <t>Total Con Capital de trabajo, desembolso e IVA</t>
  </si>
  <si>
    <t>Maquinaria liviana 4X4</t>
  </si>
  <si>
    <t xml:space="preserve">Linea Livianos </t>
  </si>
  <si>
    <t>Línea Livianos 4x4</t>
  </si>
  <si>
    <t>Universal 4x4</t>
  </si>
  <si>
    <t xml:space="preserve">Universal </t>
  </si>
  <si>
    <t>FIJAS</t>
  </si>
  <si>
    <t>Universal movil</t>
  </si>
  <si>
    <t>Revisiones 2018</t>
  </si>
  <si>
    <t>Revisiones 2019</t>
  </si>
  <si>
    <t>Revisiones 2020</t>
  </si>
  <si>
    <t>Revisiones 2021</t>
  </si>
  <si>
    <t>Revisiones 2022</t>
  </si>
  <si>
    <t>Revisiones 2023</t>
  </si>
  <si>
    <t>Revisiones 2024</t>
  </si>
  <si>
    <t>Crecimiento del parque</t>
  </si>
  <si>
    <t>Motocicletas</t>
  </si>
  <si>
    <t>Vehículos Pesados</t>
  </si>
  <si>
    <t>Motos</t>
  </si>
  <si>
    <t>Tiempo revisión motos fija (min)</t>
  </si>
  <si>
    <t>Productividad anual linea fija motos</t>
  </si>
  <si>
    <t>Maquinaria motos</t>
  </si>
  <si>
    <t>SOBRE TARIFA NETA</t>
  </si>
  <si>
    <t>Taxis/busetas</t>
  </si>
  <si>
    <t>Capital de trabajo, desembolso e IVA</t>
  </si>
  <si>
    <t>Mes 120</t>
  </si>
  <si>
    <t>2da Revisión</t>
  </si>
  <si>
    <t>Total (2da revisión)</t>
  </si>
  <si>
    <t>3ra Revisión</t>
  </si>
  <si>
    <t>Total (3ra revisión)</t>
  </si>
  <si>
    <t>Total Ingresos operacionales</t>
  </si>
  <si>
    <t>Total Egresos operacionales</t>
  </si>
  <si>
    <t>Contrib.2X1000</t>
  </si>
  <si>
    <t>Conductor</t>
  </si>
  <si>
    <t>Inspector</t>
  </si>
  <si>
    <t>Calibración de máquinas fijas</t>
  </si>
  <si>
    <t>Calibración de máquinas moviles</t>
  </si>
  <si>
    <t>Central</t>
  </si>
  <si>
    <t>Alquiler de Suelo</t>
  </si>
  <si>
    <t>Total Egresos no operacionales</t>
  </si>
  <si>
    <t>Total Ingresos no operacionales</t>
  </si>
  <si>
    <t>Total Central</t>
  </si>
  <si>
    <t>GASTOS</t>
  </si>
  <si>
    <t>INGRESOS</t>
  </si>
  <si>
    <t>DEPRECIACION</t>
  </si>
  <si>
    <t>AMORTIZACION</t>
  </si>
  <si>
    <t>PYG</t>
  </si>
  <si>
    <t>Reposiciones</t>
  </si>
  <si>
    <t>EVALUACION</t>
  </si>
  <si>
    <t>Total Gastos</t>
  </si>
  <si>
    <t>Total Depreciación</t>
  </si>
  <si>
    <t>Revisiones 2025</t>
  </si>
  <si>
    <t>Revisiones 2026</t>
  </si>
  <si>
    <t>Inflación 2016 (Estimada)</t>
  </si>
  <si>
    <t>Canon GAD</t>
  </si>
  <si>
    <t>Gestor de recaudo</t>
  </si>
  <si>
    <t>(Tarifa por transacción)</t>
  </si>
  <si>
    <t>Gastos (Socios y Gestor de recaudo)</t>
  </si>
  <si>
    <t>Gestor de Recaudo</t>
  </si>
  <si>
    <t>Total Bruto:</t>
  </si>
  <si>
    <t>EGRESOS x mes</t>
  </si>
  <si>
    <t>Total Gastos (Socios y G. de Recaudo)</t>
  </si>
  <si>
    <t>Recaudo tarifario</t>
  </si>
  <si>
    <t>Participación para socio tecnológico sobre tarifa neta</t>
  </si>
  <si>
    <t>Area nave líneas livianas m2</t>
  </si>
  <si>
    <t>Area nave líneas pesadas o universales m2</t>
  </si>
  <si>
    <t>Area nave líneas motos m2</t>
  </si>
  <si>
    <t>Gestor de pago</t>
  </si>
  <si>
    <t>INGRESOS PROYECTADOS GAD</t>
  </si>
  <si>
    <t>Valor real a pagar de IVA</t>
  </si>
  <si>
    <t>Retención 70%</t>
  </si>
  <si>
    <t>Acreditación ISO 17020</t>
  </si>
  <si>
    <t>Auditoría ISO 17020</t>
  </si>
  <si>
    <t>Medico Ocupacional</t>
  </si>
  <si>
    <t>Base Otros</t>
  </si>
  <si>
    <t>Revisiones 2027</t>
  </si>
  <si>
    <t>Total estaciones La Paz</t>
  </si>
  <si>
    <t>Tarifa neta (1era revisión)</t>
  </si>
  <si>
    <t>Tarifa neta (3era revisión)</t>
  </si>
  <si>
    <t>Participación GAM</t>
  </si>
  <si>
    <t>Utilidades a Trabajadores</t>
  </si>
  <si>
    <t>Impuesto a la renta</t>
  </si>
  <si>
    <t>Acreditación y Auditoría ISO 17020</t>
  </si>
  <si>
    <t>Externalizaciones</t>
  </si>
  <si>
    <t>Exonerados (Vehículos Nuevos)</t>
  </si>
  <si>
    <t>Maquinaria pesados</t>
  </si>
  <si>
    <t>Captación Demanda sobre base castigada</t>
  </si>
  <si>
    <t>MDMQ</t>
  </si>
  <si>
    <t>Canon del MDMQ</t>
  </si>
  <si>
    <t>Canon del MDMQ sobre tarifa neta</t>
  </si>
  <si>
    <t>Canon MDMQ</t>
  </si>
  <si>
    <t>DETALLE DE LA TARIFA ESTIMADA A 2018 (1era. Revisión)</t>
  </si>
  <si>
    <t>DETALLE DE LA TARIFA ESTIMADA A 2018 (3era. Revisión)</t>
  </si>
  <si>
    <t>Estaciones MDMQ</t>
  </si>
  <si>
    <t>22 h al 50% Y 48 h al 100%</t>
  </si>
  <si>
    <t>Sueldo Base</t>
  </si>
  <si>
    <t>valor h</t>
  </si>
  <si>
    <t>valor 50%</t>
  </si>
  <si>
    <t>Valor 100%</t>
  </si>
  <si>
    <t>Valor HE</t>
  </si>
  <si>
    <t>Compra de infraestructura actual con terrenos</t>
  </si>
  <si>
    <t>Total Estaciones MDMQ</t>
  </si>
  <si>
    <t>TASAS 2017</t>
  </si>
  <si>
    <t>IPC 3,5%</t>
  </si>
  <si>
    <t>TASAS 2018</t>
  </si>
  <si>
    <t>Revisiones 2028</t>
  </si>
  <si>
    <t>Vehiculos (2017)</t>
  </si>
  <si>
    <t>parque 2017</t>
  </si>
  <si>
    <t>Arancel, IVA e Internación</t>
  </si>
  <si>
    <t>Taxis y furgonetas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</si>
</sst>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 * #,##0.00_ ;_ * \-#,##0.00_ ;_ * &quot;-&quot;??_ ;_ @_ "/>
    <numFmt numFmtId="164" formatCode="&quot;$&quot;\ #,##0_);[Red]\(&quot;$&quot;\ #,##0\)"/>
    <numFmt numFmtId="165" formatCode="_(* #,##0.00_);_(* \(#,##0.00\);_(* &quot;-&quot;??_);_(@_)"/>
    <numFmt numFmtId="166" formatCode="#,##0.00_ ;\-#,##0.00\ "/>
    <numFmt numFmtId="167" formatCode="#,##0_ ;\-#,##0\ "/>
    <numFmt numFmtId="168" formatCode="_ * #,##0_ ;_ * \-#,##0_ ;_ * &quot;-&quot;??_ ;_ @_ "/>
    <numFmt numFmtId="169" formatCode="0.0%"/>
    <numFmt numFmtId="170" formatCode="#,##0.0\ _€;\-#,##0.0\ _€"/>
    <numFmt numFmtId="171" formatCode="0.000%"/>
  </numFmts>
  <fonts count="3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u/>
      <sz val="10"/>
      <name val="Arial Narrow"/>
      <family val="2"/>
    </font>
    <font>
      <b/>
      <sz val="12"/>
      <name val="Arial Narrow"/>
      <family val="2"/>
    </font>
    <font>
      <b/>
      <sz val="11"/>
      <name val="Arial Narrow"/>
      <family val="2"/>
    </font>
    <font>
      <sz val="10"/>
      <color indexed="10"/>
      <name val="Arial Narrow"/>
      <family val="2"/>
    </font>
    <font>
      <u/>
      <sz val="10"/>
      <name val="Arial Narrow"/>
      <family val="2"/>
    </font>
    <font>
      <vertAlign val="superscript"/>
      <sz val="10"/>
      <color indexed="10"/>
      <name val="Arial Narrow"/>
      <family val="2"/>
    </font>
    <font>
      <b/>
      <sz val="8"/>
      <name val="Arial Narrow"/>
      <family val="2"/>
    </font>
    <font>
      <b/>
      <u/>
      <sz val="8"/>
      <name val="Arial Narrow"/>
      <family val="2"/>
    </font>
    <font>
      <b/>
      <i/>
      <sz val="10"/>
      <color indexed="14"/>
      <name val="Arial Narrow"/>
      <family val="2"/>
    </font>
    <font>
      <sz val="10"/>
      <color theme="0"/>
      <name val="Arial Narrow"/>
      <family val="2"/>
    </font>
    <font>
      <b/>
      <sz val="10"/>
      <color rgb="FFFF0000"/>
      <name val="Arial Narrow"/>
      <family val="2"/>
    </font>
    <font>
      <sz val="10"/>
      <color rgb="FFFF0000"/>
      <name val="Arial Narrow"/>
      <family val="2"/>
    </font>
    <font>
      <b/>
      <sz val="10"/>
      <color theme="0"/>
      <name val="Arial Narrow"/>
      <family val="2"/>
    </font>
    <font>
      <u/>
      <sz val="10"/>
      <color rgb="FFFF0000"/>
      <name val="Arial Narrow"/>
      <family val="2"/>
    </font>
    <font>
      <b/>
      <i/>
      <sz val="10"/>
      <name val="Arial Narrow"/>
      <family val="2"/>
    </font>
    <font>
      <b/>
      <sz val="11"/>
      <color theme="1" tint="4.9989318521683403E-2"/>
      <name val="Arial Narrow"/>
      <family val="2"/>
    </font>
    <font>
      <b/>
      <u/>
      <sz val="10"/>
      <color theme="0"/>
      <name val="Arial Narrow"/>
      <family val="2"/>
    </font>
    <font>
      <b/>
      <sz val="10"/>
      <color indexed="10"/>
      <name val="Arial Narrow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1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darkGrid">
        <fgColor indexed="9"/>
        <bgColor indexed="43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54">
    <xf numFmtId="0" fontId="0" fillId="0" borderId="0" xfId="0"/>
    <xf numFmtId="0" fontId="2" fillId="0" borderId="0" xfId="0" applyFont="1"/>
    <xf numFmtId="0" fontId="5" fillId="0" borderId="0" xfId="0" applyFont="1"/>
    <xf numFmtId="0" fontId="1" fillId="0" borderId="1" xfId="0" applyFont="1" applyBorder="1"/>
    <xf numFmtId="0" fontId="1" fillId="0" borderId="2" xfId="0" applyFont="1" applyBorder="1"/>
    <xf numFmtId="3" fontId="5" fillId="0" borderId="3" xfId="0" applyNumberFormat="1" applyFont="1" applyBorder="1"/>
    <xf numFmtId="3" fontId="5" fillId="0" borderId="4" xfId="0" applyNumberFormat="1" applyFont="1" applyBorder="1"/>
    <xf numFmtId="3" fontId="5" fillId="0" borderId="5" xfId="0" applyNumberFormat="1" applyFont="1" applyBorder="1"/>
    <xf numFmtId="4" fontId="5" fillId="0" borderId="3" xfId="0" applyNumberFormat="1" applyFont="1" applyBorder="1"/>
    <xf numFmtId="4" fontId="5" fillId="0" borderId="4" xfId="0" applyNumberFormat="1" applyFont="1" applyBorder="1"/>
    <xf numFmtId="4" fontId="5" fillId="0" borderId="5" xfId="0" applyNumberFormat="1" applyFont="1" applyBorder="1"/>
    <xf numFmtId="0" fontId="2" fillId="5" borderId="6" xfId="0" applyFont="1" applyFill="1" applyBorder="1" applyAlignment="1">
      <alignment horizontal="center"/>
    </xf>
    <xf numFmtId="4" fontId="5" fillId="0" borderId="1" xfId="0" applyNumberFormat="1" applyFont="1" applyBorder="1"/>
    <xf numFmtId="4" fontId="5" fillId="0" borderId="2" xfId="0" applyNumberFormat="1" applyFont="1" applyBorder="1"/>
    <xf numFmtId="4" fontId="5" fillId="0" borderId="7" xfId="0" applyNumberFormat="1" applyFont="1" applyBorder="1"/>
    <xf numFmtId="3" fontId="2" fillId="5" borderId="6" xfId="0" applyNumberFormat="1" applyFont="1" applyFill="1" applyBorder="1"/>
    <xf numFmtId="3" fontId="5" fillId="0" borderId="0" xfId="0" applyNumberFormat="1" applyFont="1" applyBorder="1"/>
    <xf numFmtId="3" fontId="5" fillId="0" borderId="8" xfId="0" applyNumberFormat="1" applyFont="1" applyBorder="1"/>
    <xf numFmtId="3" fontId="5" fillId="0" borderId="9" xfId="0" applyNumberFormat="1" applyFont="1" applyBorder="1"/>
    <xf numFmtId="3" fontId="4" fillId="0" borderId="3" xfId="0" applyNumberFormat="1" applyFont="1" applyBorder="1"/>
    <xf numFmtId="3" fontId="4" fillId="0" borderId="4" xfId="0" applyNumberFormat="1" applyFont="1" applyBorder="1"/>
    <xf numFmtId="0" fontId="1" fillId="0" borderId="7" xfId="0" applyFont="1" applyBorder="1"/>
    <xf numFmtId="0" fontId="2" fillId="5" borderId="1" xfId="0" applyFont="1" applyFill="1" applyBorder="1" applyAlignment="1">
      <alignment horizontal="center"/>
    </xf>
    <xf numFmtId="0" fontId="18" fillId="6" borderId="0" xfId="0" applyFont="1" applyFill="1"/>
    <xf numFmtId="0" fontId="7" fillId="6" borderId="0" xfId="0" applyFont="1" applyFill="1"/>
    <xf numFmtId="3" fontId="7" fillId="6" borderId="0" xfId="0" applyNumberFormat="1" applyFont="1" applyFill="1"/>
    <xf numFmtId="0" fontId="8" fillId="6" borderId="0" xfId="0" applyFont="1" applyFill="1"/>
    <xf numFmtId="3" fontId="8" fillId="6" borderId="0" xfId="0" applyNumberFormat="1" applyFont="1" applyFill="1"/>
    <xf numFmtId="0" fontId="8" fillId="6" borderId="0" xfId="0" applyFont="1" applyFill="1" applyAlignment="1">
      <alignment horizontal="right"/>
    </xf>
    <xf numFmtId="0" fontId="8" fillId="6" borderId="0" xfId="0" applyFont="1" applyFill="1" applyAlignment="1">
      <alignment horizontal="center" vertical="center" wrapText="1"/>
    </xf>
    <xf numFmtId="0" fontId="8" fillId="7" borderId="13" xfId="0" applyFont="1" applyFill="1" applyBorder="1" applyAlignment="1">
      <alignment horizontal="center" vertical="center" wrapText="1"/>
    </xf>
    <xf numFmtId="0" fontId="10" fillId="0" borderId="0" xfId="0" applyFont="1"/>
    <xf numFmtId="0" fontId="7" fillId="0" borderId="0" xfId="0" applyFont="1"/>
    <xf numFmtId="0" fontId="11" fillId="0" borderId="0" xfId="0" applyFont="1"/>
    <xf numFmtId="0" fontId="9" fillId="0" borderId="0" xfId="0" applyFont="1" applyAlignment="1">
      <alignment horizontal="right"/>
    </xf>
    <xf numFmtId="0" fontId="9" fillId="0" borderId="0" xfId="0" applyFont="1" applyAlignment="1">
      <alignment horizontal="center"/>
    </xf>
    <xf numFmtId="0" fontId="9" fillId="0" borderId="0" xfId="0" applyFont="1"/>
    <xf numFmtId="9" fontId="7" fillId="0" borderId="0" xfId="2" applyFont="1"/>
    <xf numFmtId="0" fontId="8" fillId="0" borderId="0" xfId="0" applyFont="1" applyAlignment="1">
      <alignment horizontal="center"/>
    </xf>
    <xf numFmtId="37" fontId="7" fillId="0" borderId="0" xfId="0" applyNumberFormat="1" applyFont="1" applyAlignment="1">
      <alignment horizontal="right"/>
    </xf>
    <xf numFmtId="37" fontId="7" fillId="0" borderId="0" xfId="0" applyNumberFormat="1" applyFont="1"/>
    <xf numFmtId="37" fontId="8" fillId="0" borderId="0" xfId="0" applyNumberFormat="1" applyFont="1" applyAlignment="1">
      <alignment horizontal="right"/>
    </xf>
    <xf numFmtId="37" fontId="8" fillId="0" borderId="0" xfId="0" applyNumberFormat="1" applyFont="1"/>
    <xf numFmtId="0" fontId="8" fillId="0" borderId="0" xfId="0" applyFont="1"/>
    <xf numFmtId="39" fontId="7" fillId="0" borderId="0" xfId="0" applyNumberFormat="1" applyFont="1"/>
    <xf numFmtId="0" fontId="8" fillId="0" borderId="0" xfId="0" applyFont="1" applyAlignment="1">
      <alignment horizontal="right"/>
    </xf>
    <xf numFmtId="0" fontId="13" fillId="0" borderId="0" xfId="0" applyFont="1"/>
    <xf numFmtId="0" fontId="20" fillId="0" borderId="0" xfId="0" applyFont="1"/>
    <xf numFmtId="167" fontId="7" fillId="0" borderId="0" xfId="0" applyNumberFormat="1" applyFont="1" applyFill="1"/>
    <xf numFmtId="0" fontId="18" fillId="0" borderId="0" xfId="0" applyFont="1"/>
    <xf numFmtId="0" fontId="7" fillId="3" borderId="0" xfId="0" applyFont="1" applyFill="1"/>
    <xf numFmtId="167" fontId="7" fillId="0" borderId="0" xfId="0" applyNumberFormat="1" applyFont="1"/>
    <xf numFmtId="0" fontId="21" fillId="0" borderId="0" xfId="0" applyFont="1" applyAlignment="1">
      <alignment horizontal="right"/>
    </xf>
    <xf numFmtId="0" fontId="8" fillId="0" borderId="0" xfId="0" applyFont="1" applyAlignment="1">
      <alignment horizontal="center" vertical="center" wrapText="1"/>
    </xf>
    <xf numFmtId="0" fontId="8" fillId="8" borderId="0" xfId="0" applyFont="1" applyFill="1" applyAlignment="1">
      <alignment horizontal="center" vertical="center" wrapText="1"/>
    </xf>
    <xf numFmtId="9" fontId="8" fillId="0" borderId="0" xfId="0" applyNumberFormat="1" applyFont="1" applyAlignment="1">
      <alignment horizontal="right"/>
    </xf>
    <xf numFmtId="10" fontId="8" fillId="0" borderId="0" xfId="0" applyNumberFormat="1" applyFont="1" applyAlignment="1">
      <alignment horizontal="right" vertical="center" wrapText="1"/>
    </xf>
    <xf numFmtId="10" fontId="7" fillId="0" borderId="0" xfId="0" applyNumberFormat="1" applyFont="1"/>
    <xf numFmtId="3" fontId="7" fillId="0" borderId="0" xfId="0" applyNumberFormat="1" applyFont="1"/>
    <xf numFmtId="3" fontId="8" fillId="0" borderId="0" xfId="0" applyNumberFormat="1" applyFont="1"/>
    <xf numFmtId="0" fontId="7" fillId="0" borderId="0" xfId="0" applyFont="1" applyAlignment="1">
      <alignment horizontal="center"/>
    </xf>
    <xf numFmtId="9" fontId="8" fillId="0" borderId="0" xfId="2" applyFont="1"/>
    <xf numFmtId="167" fontId="8" fillId="0" borderId="0" xfId="0" applyNumberFormat="1" applyFont="1"/>
    <xf numFmtId="0" fontId="8" fillId="0" borderId="6" xfId="0" applyFont="1" applyBorder="1" applyAlignment="1">
      <alignment horizontal="center"/>
    </xf>
    <xf numFmtId="0" fontId="7" fillId="0" borderId="6" xfId="0" applyFont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167" fontId="7" fillId="2" borderId="0" xfId="0" applyNumberFormat="1" applyFont="1" applyFill="1"/>
    <xf numFmtId="167" fontId="7" fillId="3" borderId="0" xfId="0" applyNumberFormat="1" applyFont="1" applyFill="1"/>
    <xf numFmtId="167" fontId="9" fillId="0" borderId="0" xfId="0" applyNumberFormat="1" applyFont="1"/>
    <xf numFmtId="0" fontId="7" fillId="9" borderId="0" xfId="0" applyFont="1" applyFill="1"/>
    <xf numFmtId="168" fontId="7" fillId="0" borderId="0" xfId="1" applyNumberFormat="1" applyFont="1"/>
    <xf numFmtId="168" fontId="8" fillId="0" borderId="0" xfId="1" applyNumberFormat="1" applyFont="1"/>
    <xf numFmtId="0" fontId="9" fillId="0" borderId="0" xfId="0" applyFont="1" applyFill="1" applyBorder="1"/>
    <xf numFmtId="168" fontId="7" fillId="0" borderId="0" xfId="1" applyNumberFormat="1" applyFont="1" applyBorder="1"/>
    <xf numFmtId="168" fontId="8" fillId="0" borderId="0" xfId="0" applyNumberFormat="1" applyFont="1"/>
    <xf numFmtId="0" fontId="7" fillId="0" borderId="0" xfId="0" applyFont="1" applyFill="1" applyBorder="1"/>
    <xf numFmtId="168" fontId="7" fillId="0" borderId="0" xfId="0" applyNumberFormat="1" applyFont="1"/>
    <xf numFmtId="168" fontId="8" fillId="0" borderId="0" xfId="1" applyNumberFormat="1" applyFont="1" applyFill="1" applyBorder="1"/>
    <xf numFmtId="168" fontId="12" fillId="0" borderId="0" xfId="1" applyNumberFormat="1" applyFont="1"/>
    <xf numFmtId="9" fontId="12" fillId="0" borderId="0" xfId="2" applyFont="1" applyAlignment="1">
      <alignment horizontal="right"/>
    </xf>
    <xf numFmtId="0" fontId="8" fillId="0" borderId="0" xfId="0" applyFont="1" applyFill="1" applyAlignment="1">
      <alignment horizontal="left"/>
    </xf>
    <xf numFmtId="37" fontId="12" fillId="0" borderId="0" xfId="0" applyNumberFormat="1" applyFont="1" applyAlignment="1">
      <alignment horizontal="right"/>
    </xf>
    <xf numFmtId="37" fontId="7" fillId="0" borderId="0" xfId="0" applyNumberFormat="1" applyFont="1" applyAlignment="1">
      <alignment horizontal="center"/>
    </xf>
    <xf numFmtId="0" fontId="7" fillId="4" borderId="0" xfId="0" applyFont="1" applyFill="1"/>
    <xf numFmtId="9" fontId="12" fillId="4" borderId="0" xfId="2" applyFont="1" applyFill="1" applyAlignment="1">
      <alignment horizontal="right"/>
    </xf>
    <xf numFmtId="37" fontId="7" fillId="0" borderId="0" xfId="0" applyNumberFormat="1" applyFont="1" applyFill="1" applyAlignment="1">
      <alignment horizontal="right"/>
    </xf>
    <xf numFmtId="10" fontId="7" fillId="4" borderId="0" xfId="0" applyNumberFormat="1" applyFont="1" applyFill="1" applyAlignment="1">
      <alignment horizontal="right"/>
    </xf>
    <xf numFmtId="9" fontId="7" fillId="0" borderId="0" xfId="2" applyFont="1" applyFill="1" applyAlignment="1">
      <alignment horizontal="right"/>
    </xf>
    <xf numFmtId="37" fontId="7" fillId="4" borderId="0" xfId="0" applyNumberFormat="1" applyFont="1" applyFill="1" applyAlignment="1">
      <alignment horizontal="right"/>
    </xf>
    <xf numFmtId="37" fontId="17" fillId="0" borderId="0" xfId="0" applyNumberFormat="1" applyFont="1" applyFill="1" applyAlignment="1">
      <alignment horizontal="right"/>
    </xf>
    <xf numFmtId="0" fontId="8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right" vertical="center" wrapText="1"/>
    </xf>
    <xf numFmtId="3" fontId="7" fillId="0" borderId="6" xfId="0" applyNumberFormat="1" applyFont="1" applyBorder="1"/>
    <xf numFmtId="3" fontId="8" fillId="0" borderId="6" xfId="0" applyNumberFormat="1" applyFont="1" applyBorder="1"/>
    <xf numFmtId="0" fontId="7" fillId="0" borderId="0" xfId="0" applyFont="1" applyAlignment="1">
      <alignment horizontal="left"/>
    </xf>
    <xf numFmtId="2" fontId="8" fillId="0" borderId="6" xfId="0" applyNumberFormat="1" applyFont="1" applyBorder="1"/>
    <xf numFmtId="0" fontId="7" fillId="0" borderId="6" xfId="0" applyFont="1" applyBorder="1"/>
    <xf numFmtId="37" fontId="7" fillId="0" borderId="6" xfId="0" applyNumberFormat="1" applyFont="1" applyBorder="1" applyAlignment="1">
      <alignment horizontal="right"/>
    </xf>
    <xf numFmtId="37" fontId="7" fillId="0" borderId="6" xfId="0" applyNumberFormat="1" applyFont="1" applyBorder="1"/>
    <xf numFmtId="0" fontId="8" fillId="0" borderId="2" xfId="0" applyFont="1" applyFill="1" applyBorder="1" applyAlignment="1">
      <alignment horizontal="right"/>
    </xf>
    <xf numFmtId="37" fontId="8" fillId="0" borderId="6" xfId="0" applyNumberFormat="1" applyFont="1" applyBorder="1"/>
    <xf numFmtId="0" fontId="8" fillId="0" borderId="0" xfId="0" applyFont="1" applyFill="1" applyBorder="1" applyAlignment="1">
      <alignment horizontal="right"/>
    </xf>
    <xf numFmtId="37" fontId="8" fillId="0" borderId="0" xfId="0" applyNumberFormat="1" applyFont="1" applyBorder="1"/>
    <xf numFmtId="39" fontId="8" fillId="0" borderId="0" xfId="0" applyNumberFormat="1" applyFont="1" applyBorder="1"/>
    <xf numFmtId="39" fontId="7" fillId="0" borderId="6" xfId="0" applyNumberFormat="1" applyFont="1" applyBorder="1" applyAlignment="1">
      <alignment horizontal="right"/>
    </xf>
    <xf numFmtId="39" fontId="8" fillId="0" borderId="6" xfId="0" applyNumberFormat="1" applyFont="1" applyBorder="1"/>
    <xf numFmtId="0" fontId="7" fillId="0" borderId="1" xfId="0" applyFont="1" applyFill="1" applyBorder="1" applyAlignment="1">
      <alignment horizontal="left"/>
    </xf>
    <xf numFmtId="39" fontId="7" fillId="0" borderId="1" xfId="0" applyNumberFormat="1" applyFont="1" applyBorder="1"/>
    <xf numFmtId="9" fontId="7" fillId="0" borderId="1" xfId="2" applyNumberFormat="1" applyFont="1" applyBorder="1"/>
    <xf numFmtId="0" fontId="7" fillId="0" borderId="2" xfId="0" applyFont="1" applyFill="1" applyBorder="1" applyAlignment="1">
      <alignment horizontal="left"/>
    </xf>
    <xf numFmtId="39" fontId="7" fillId="0" borderId="2" xfId="0" applyNumberFormat="1" applyFont="1" applyBorder="1"/>
    <xf numFmtId="9" fontId="7" fillId="0" borderId="2" xfId="2" applyNumberFormat="1" applyFont="1" applyBorder="1"/>
    <xf numFmtId="0" fontId="7" fillId="0" borderId="7" xfId="0" applyFont="1" applyFill="1" applyBorder="1" applyAlignment="1">
      <alignment horizontal="left"/>
    </xf>
    <xf numFmtId="39" fontId="7" fillId="0" borderId="7" xfId="0" applyNumberFormat="1" applyFont="1" applyBorder="1"/>
    <xf numFmtId="9" fontId="7" fillId="0" borderId="7" xfId="2" applyNumberFormat="1" applyFont="1" applyBorder="1"/>
    <xf numFmtId="9" fontId="8" fillId="0" borderId="0" xfId="2" applyNumberFormat="1" applyFont="1" applyBorder="1"/>
    <xf numFmtId="39" fontId="7" fillId="0" borderId="0" xfId="0" applyNumberFormat="1" applyFont="1" applyBorder="1"/>
    <xf numFmtId="9" fontId="8" fillId="0" borderId="6" xfId="2" applyFont="1" applyBorder="1"/>
    <xf numFmtId="0" fontId="22" fillId="0" borderId="0" xfId="0" applyFont="1"/>
    <xf numFmtId="0" fontId="8" fillId="6" borderId="1" xfId="0" applyFont="1" applyFill="1" applyBorder="1" applyAlignment="1">
      <alignment horizontal="center"/>
    </xf>
    <xf numFmtId="0" fontId="8" fillId="6" borderId="7" xfId="0" applyFont="1" applyFill="1" applyBorder="1" applyAlignment="1">
      <alignment horizontal="center"/>
    </xf>
    <xf numFmtId="9" fontId="19" fillId="6" borderId="7" xfId="2" applyFont="1" applyFill="1" applyBorder="1" applyAlignment="1">
      <alignment horizontal="center"/>
    </xf>
    <xf numFmtId="0" fontId="8" fillId="6" borderId="12" xfId="0" applyFont="1" applyFill="1" applyBorder="1" applyAlignment="1">
      <alignment horizontal="center"/>
    </xf>
    <xf numFmtId="10" fontId="19" fillId="6" borderId="7" xfId="0" applyNumberFormat="1" applyFont="1" applyFill="1" applyBorder="1" applyAlignment="1">
      <alignment horizontal="center"/>
    </xf>
    <xf numFmtId="0" fontId="7" fillId="6" borderId="7" xfId="0" applyFont="1" applyFill="1" applyBorder="1" applyAlignment="1">
      <alignment horizontal="left"/>
    </xf>
    <xf numFmtId="166" fontId="7" fillId="6" borderId="6" xfId="0" applyNumberFormat="1" applyFont="1" applyFill="1" applyBorder="1" applyAlignment="1">
      <alignment horizontal="center"/>
    </xf>
    <xf numFmtId="166" fontId="8" fillId="6" borderId="6" xfId="0" applyNumberFormat="1" applyFont="1" applyFill="1" applyBorder="1" applyAlignment="1">
      <alignment horizontal="center"/>
    </xf>
    <xf numFmtId="166" fontId="7" fillId="6" borderId="7" xfId="0" applyNumberFormat="1" applyFont="1" applyFill="1" applyBorder="1" applyAlignment="1">
      <alignment horizontal="center"/>
    </xf>
    <xf numFmtId="10" fontId="7" fillId="6" borderId="0" xfId="2" applyNumberFormat="1" applyFont="1" applyFill="1"/>
    <xf numFmtId="10" fontId="7" fillId="6" borderId="0" xfId="0" applyNumberFormat="1" applyFont="1" applyFill="1"/>
    <xf numFmtId="0" fontId="7" fillId="6" borderId="6" xfId="0" applyFont="1" applyFill="1" applyBorder="1" applyAlignment="1">
      <alignment horizontal="left"/>
    </xf>
    <xf numFmtId="0" fontId="7" fillId="6" borderId="14" xfId="0" applyFont="1" applyFill="1" applyBorder="1" applyAlignment="1">
      <alignment horizontal="left"/>
    </xf>
    <xf numFmtId="0" fontId="8" fillId="6" borderId="9" xfId="0" applyFont="1" applyFill="1" applyBorder="1" applyAlignment="1"/>
    <xf numFmtId="0" fontId="7" fillId="6" borderId="9" xfId="0" applyFont="1" applyFill="1" applyBorder="1" applyAlignment="1"/>
    <xf numFmtId="0" fontId="7" fillId="6" borderId="0" xfId="0" applyFont="1" applyFill="1" applyBorder="1" applyAlignment="1"/>
    <xf numFmtId="0" fontId="9" fillId="6" borderId="0" xfId="0" applyFont="1" applyFill="1" applyBorder="1" applyAlignment="1">
      <alignment horizontal="left"/>
    </xf>
    <xf numFmtId="0" fontId="7" fillId="6" borderId="0" xfId="0" applyFont="1" applyFill="1" applyBorder="1" applyAlignment="1">
      <alignment horizontal="left"/>
    </xf>
    <xf numFmtId="166" fontId="7" fillId="6" borderId="0" xfId="0" applyNumberFormat="1" applyFont="1" applyFill="1" applyBorder="1" applyAlignment="1">
      <alignment horizontal="center"/>
    </xf>
    <xf numFmtId="4" fontId="7" fillId="6" borderId="0" xfId="0" applyNumberFormat="1" applyFont="1" applyFill="1"/>
    <xf numFmtId="0" fontId="20" fillId="6" borderId="0" xfId="0" applyFont="1" applyFill="1"/>
    <xf numFmtId="10" fontId="8" fillId="6" borderId="12" xfId="0" applyNumberFormat="1" applyFont="1" applyFill="1" applyBorder="1" applyAlignment="1">
      <alignment horizontal="center"/>
    </xf>
    <xf numFmtId="166" fontId="12" fillId="6" borderId="7" xfId="0" applyNumberFormat="1" applyFont="1" applyFill="1" applyBorder="1" applyAlignment="1">
      <alignment horizontal="center"/>
    </xf>
    <xf numFmtId="166" fontId="8" fillId="6" borderId="7" xfId="0" applyNumberFormat="1" applyFont="1" applyFill="1" applyBorder="1" applyAlignment="1">
      <alignment horizontal="center"/>
    </xf>
    <xf numFmtId="9" fontId="7" fillId="6" borderId="0" xfId="2" applyFont="1" applyFill="1"/>
    <xf numFmtId="0" fontId="7" fillId="6" borderId="0" xfId="0" applyFont="1" applyFill="1" applyBorder="1"/>
    <xf numFmtId="0" fontId="9" fillId="6" borderId="0" xfId="0" applyFont="1" applyFill="1"/>
    <xf numFmtId="166" fontId="7" fillId="6" borderId="0" xfId="0" applyNumberFormat="1" applyFont="1" applyFill="1"/>
    <xf numFmtId="0" fontId="10" fillId="6" borderId="0" xfId="0" applyFont="1" applyFill="1"/>
    <xf numFmtId="0" fontId="11" fillId="6" borderId="0" xfId="0" applyFont="1" applyFill="1"/>
    <xf numFmtId="169" fontId="7" fillId="6" borderId="0" xfId="2" applyNumberFormat="1" applyFont="1" applyFill="1"/>
    <xf numFmtId="9" fontId="20" fillId="6" borderId="0" xfId="0" applyNumberFormat="1" applyFont="1" applyFill="1"/>
    <xf numFmtId="166" fontId="20" fillId="6" borderId="0" xfId="0" applyNumberFormat="1" applyFont="1" applyFill="1" applyAlignment="1">
      <alignment horizontal="center"/>
    </xf>
    <xf numFmtId="10" fontId="20" fillId="6" borderId="0" xfId="2" applyNumberFormat="1" applyFont="1" applyFill="1" applyAlignment="1">
      <alignment horizontal="center"/>
    </xf>
    <xf numFmtId="9" fontId="20" fillId="6" borderId="0" xfId="2" applyFont="1" applyFill="1" applyAlignment="1">
      <alignment horizontal="center"/>
    </xf>
    <xf numFmtId="0" fontId="13" fillId="6" borderId="0" xfId="0" applyFont="1" applyFill="1"/>
    <xf numFmtId="167" fontId="12" fillId="6" borderId="0" xfId="0" applyNumberFormat="1" applyFont="1" applyFill="1"/>
    <xf numFmtId="167" fontId="7" fillId="6" borderId="0" xfId="0" applyNumberFormat="1" applyFont="1" applyFill="1"/>
    <xf numFmtId="167" fontId="8" fillId="6" borderId="0" xfId="0" applyNumberFormat="1" applyFont="1" applyFill="1"/>
    <xf numFmtId="9" fontId="12" fillId="6" borderId="0" xfId="2" applyFont="1" applyFill="1"/>
    <xf numFmtId="9" fontId="20" fillId="6" borderId="0" xfId="2" applyFont="1" applyFill="1"/>
    <xf numFmtId="0" fontId="9" fillId="6" borderId="0" xfId="0" applyFont="1" applyFill="1" applyAlignment="1">
      <alignment horizontal="right"/>
    </xf>
    <xf numFmtId="0" fontId="9" fillId="6" borderId="0" xfId="0" applyFont="1" applyFill="1" applyAlignment="1">
      <alignment horizontal="center"/>
    </xf>
    <xf numFmtId="0" fontId="9" fillId="6" borderId="0" xfId="0" quotePrefix="1" applyFont="1" applyFill="1" applyAlignment="1">
      <alignment horizontal="center"/>
    </xf>
    <xf numFmtId="37" fontId="7" fillId="6" borderId="0" xfId="0" applyNumberFormat="1" applyFont="1" applyFill="1" applyAlignment="1">
      <alignment horizontal="right"/>
    </xf>
    <xf numFmtId="37" fontId="20" fillId="6" borderId="0" xfId="0" applyNumberFormat="1" applyFont="1" applyFill="1"/>
    <xf numFmtId="37" fontId="12" fillId="6" borderId="0" xfId="0" applyNumberFormat="1" applyFont="1" applyFill="1"/>
    <xf numFmtId="37" fontId="7" fillId="6" borderId="0" xfId="0" applyNumberFormat="1" applyFont="1" applyFill="1"/>
    <xf numFmtId="39" fontId="8" fillId="6" borderId="0" xfId="0" applyNumberFormat="1" applyFont="1" applyFill="1" applyAlignment="1">
      <alignment horizontal="right"/>
    </xf>
    <xf numFmtId="37" fontId="8" fillId="6" borderId="0" xfId="0" applyNumberFormat="1" applyFont="1" applyFill="1" applyAlignment="1">
      <alignment horizontal="right"/>
    </xf>
    <xf numFmtId="37" fontId="8" fillId="6" borderId="0" xfId="0" applyNumberFormat="1" applyFont="1" applyFill="1"/>
    <xf numFmtId="170" fontId="8" fillId="6" borderId="0" xfId="0" applyNumberFormat="1" applyFont="1" applyFill="1" applyAlignment="1">
      <alignment horizontal="right"/>
    </xf>
    <xf numFmtId="39" fontId="8" fillId="6" borderId="0" xfId="0" applyNumberFormat="1" applyFont="1" applyFill="1" applyAlignment="1">
      <alignment horizontal="center"/>
    </xf>
    <xf numFmtId="37" fontId="9" fillId="6" borderId="0" xfId="0" applyNumberFormat="1" applyFont="1" applyFill="1"/>
    <xf numFmtId="37" fontId="9" fillId="6" borderId="0" xfId="0" applyNumberFormat="1" applyFont="1" applyFill="1" applyAlignment="1">
      <alignment horizontal="right"/>
    </xf>
    <xf numFmtId="39" fontId="7" fillId="6" borderId="0" xfId="0" applyNumberFormat="1" applyFont="1" applyFill="1"/>
    <xf numFmtId="43" fontId="7" fillId="6" borderId="0" xfId="1" applyFont="1" applyFill="1"/>
    <xf numFmtId="165" fontId="7" fillId="6" borderId="0" xfId="1" applyNumberFormat="1" applyFont="1" applyFill="1"/>
    <xf numFmtId="43" fontId="8" fillId="6" borderId="15" xfId="1" applyFont="1" applyFill="1" applyBorder="1"/>
    <xf numFmtId="10" fontId="7" fillId="6" borderId="0" xfId="2" applyNumberFormat="1" applyFont="1" applyFill="1" applyAlignment="1">
      <alignment horizontal="center"/>
    </xf>
    <xf numFmtId="3" fontId="12" fillId="6" borderId="0" xfId="0" applyNumberFormat="1" applyFont="1" applyFill="1"/>
    <xf numFmtId="0" fontId="8" fillId="6" borderId="0" xfId="0" applyFont="1" applyFill="1" applyAlignment="1">
      <alignment horizontal="center"/>
    </xf>
    <xf numFmtId="3" fontId="15" fillId="6" borderId="0" xfId="0" applyNumberFormat="1" applyFont="1" applyFill="1" applyBorder="1" applyAlignment="1">
      <alignment horizontal="center" vertical="center" wrapText="1"/>
    </xf>
    <xf numFmtId="2" fontId="16" fillId="6" borderId="0" xfId="0" applyNumberFormat="1" applyFont="1" applyFill="1" applyBorder="1" applyAlignment="1">
      <alignment horizontal="center" vertical="center" wrapText="1"/>
    </xf>
    <xf numFmtId="3" fontId="16" fillId="6" borderId="0" xfId="0" applyNumberFormat="1" applyFont="1" applyFill="1" applyBorder="1" applyAlignment="1">
      <alignment horizontal="right"/>
    </xf>
    <xf numFmtId="0" fontId="20" fillId="6" borderId="0" xfId="0" applyFont="1" applyFill="1" applyAlignment="1">
      <alignment horizontal="center"/>
    </xf>
    <xf numFmtId="9" fontId="7" fillId="6" borderId="0" xfId="0" applyNumberFormat="1" applyFont="1" applyFill="1" applyAlignment="1">
      <alignment horizontal="center"/>
    </xf>
    <xf numFmtId="3" fontId="9" fillId="6" borderId="0" xfId="0" applyNumberFormat="1" applyFont="1" applyFill="1" applyBorder="1" applyAlignment="1">
      <alignment horizontal="right"/>
    </xf>
    <xf numFmtId="2" fontId="7" fillId="6" borderId="0" xfId="0" applyNumberFormat="1" applyFont="1" applyFill="1"/>
    <xf numFmtId="2" fontId="8" fillId="6" borderId="0" xfId="0" applyNumberFormat="1" applyFont="1" applyFill="1"/>
    <xf numFmtId="169" fontId="8" fillId="6" borderId="0" xfId="0" applyNumberFormat="1" applyFont="1" applyFill="1"/>
    <xf numFmtId="167" fontId="7" fillId="6" borderId="0" xfId="1" applyNumberFormat="1" applyFont="1" applyFill="1"/>
    <xf numFmtId="9" fontId="7" fillId="6" borderId="0" xfId="0" applyNumberFormat="1" applyFont="1" applyFill="1"/>
    <xf numFmtId="164" fontId="7" fillId="6" borderId="0" xfId="0" applyNumberFormat="1" applyFont="1" applyFill="1"/>
    <xf numFmtId="164" fontId="8" fillId="6" borderId="0" xfId="0" applyNumberFormat="1" applyFont="1" applyFill="1"/>
    <xf numFmtId="0" fontId="8" fillId="7" borderId="6" xfId="0" applyFont="1" applyFill="1" applyBorder="1" applyAlignment="1">
      <alignment horizontal="center" vertical="center" wrapText="1"/>
    </xf>
    <xf numFmtId="0" fontId="7" fillId="6" borderId="0" xfId="0" applyFont="1" applyFill="1" applyAlignment="1">
      <alignment horizontal="center"/>
    </xf>
    <xf numFmtId="0" fontId="8" fillId="7" borderId="14" xfId="0" applyFont="1" applyFill="1" applyBorder="1" applyAlignment="1">
      <alignment horizontal="center" vertical="center" wrapText="1"/>
    </xf>
    <xf numFmtId="170" fontId="12" fillId="6" borderId="0" xfId="0" applyNumberFormat="1" applyFont="1" applyFill="1"/>
    <xf numFmtId="9" fontId="19" fillId="6" borderId="7" xfId="0" applyNumberFormat="1" applyFont="1" applyFill="1" applyBorder="1" applyAlignment="1">
      <alignment horizontal="center" vertical="center" wrapText="1"/>
    </xf>
    <xf numFmtId="171" fontId="20" fillId="6" borderId="0" xfId="2" applyNumberFormat="1" applyFont="1" applyFill="1" applyAlignment="1">
      <alignment horizontal="right"/>
    </xf>
    <xf numFmtId="0" fontId="8" fillId="6" borderId="0" xfId="0" applyFont="1" applyFill="1" applyAlignment="1">
      <alignment horizontal="center"/>
    </xf>
    <xf numFmtId="0" fontId="8" fillId="6" borderId="10" xfId="0" applyFont="1" applyFill="1" applyBorder="1" applyAlignment="1">
      <alignment horizontal="center"/>
    </xf>
    <xf numFmtId="0" fontId="8" fillId="6" borderId="9" xfId="0" applyFont="1" applyFill="1" applyBorder="1" applyAlignment="1">
      <alignment horizontal="center"/>
    </xf>
    <xf numFmtId="0" fontId="7" fillId="6" borderId="0" xfId="0" applyFont="1" applyFill="1" applyAlignment="1">
      <alignment horizontal="left"/>
    </xf>
    <xf numFmtId="0" fontId="7" fillId="9" borderId="6" xfId="0" applyFont="1" applyFill="1" applyBorder="1"/>
    <xf numFmtId="0" fontId="8" fillId="6" borderId="0" xfId="0" applyFont="1" applyFill="1" applyAlignment="1">
      <alignment horizontal="center"/>
    </xf>
    <xf numFmtId="10" fontId="7" fillId="6" borderId="6" xfId="2" applyNumberFormat="1" applyFont="1" applyFill="1" applyBorder="1" applyAlignment="1">
      <alignment horizontal="center"/>
    </xf>
    <xf numFmtId="0" fontId="7" fillId="6" borderId="0" xfId="0" applyFont="1" applyFill="1" applyAlignment="1">
      <alignment horizontal="center" vertical="center"/>
    </xf>
    <xf numFmtId="0" fontId="9" fillId="6" borderId="0" xfId="0" applyFont="1" applyFill="1" applyAlignment="1">
      <alignment horizontal="center" vertical="center"/>
    </xf>
    <xf numFmtId="10" fontId="20" fillId="6" borderId="0" xfId="2" applyNumberFormat="1" applyFont="1" applyFill="1" applyAlignment="1">
      <alignment horizontal="right"/>
    </xf>
    <xf numFmtId="3" fontId="7" fillId="6" borderId="0" xfId="0" applyNumberFormat="1" applyFont="1" applyFill="1" applyAlignment="1">
      <alignment horizontal="center"/>
    </xf>
    <xf numFmtId="0" fontId="7" fillId="12" borderId="0" xfId="0" applyFont="1" applyFill="1"/>
    <xf numFmtId="0" fontId="7" fillId="13" borderId="0" xfId="0" applyFont="1" applyFill="1"/>
    <xf numFmtId="0" fontId="7" fillId="14" borderId="0" xfId="0" applyFont="1" applyFill="1"/>
    <xf numFmtId="0" fontId="7" fillId="0" borderId="0" xfId="0" applyFont="1" applyAlignment="1">
      <alignment horizontal="right"/>
    </xf>
    <xf numFmtId="4" fontId="8" fillId="6" borderId="0" xfId="0" applyNumberFormat="1" applyFont="1" applyFill="1"/>
    <xf numFmtId="168" fontId="8" fillId="0" borderId="0" xfId="1" applyNumberFormat="1" applyFont="1" applyBorder="1"/>
    <xf numFmtId="0" fontId="9" fillId="0" borderId="0" xfId="0" applyFont="1" applyFill="1" applyBorder="1" applyAlignment="1">
      <alignment horizontal="right"/>
    </xf>
    <xf numFmtId="0" fontId="18" fillId="6" borderId="0" xfId="0" applyFont="1" applyFill="1" applyAlignment="1">
      <alignment vertical="center"/>
    </xf>
    <xf numFmtId="0" fontId="8" fillId="6" borderId="0" xfId="0" applyFont="1" applyFill="1" applyAlignment="1">
      <alignment vertical="center"/>
    </xf>
    <xf numFmtId="0" fontId="8" fillId="7" borderId="6" xfId="0" applyFont="1" applyFill="1" applyBorder="1" applyAlignment="1">
      <alignment horizontal="center" vertical="center"/>
    </xf>
    <xf numFmtId="0" fontId="7" fillId="6" borderId="0" xfId="0" applyFont="1" applyFill="1" applyAlignment="1">
      <alignment vertical="center"/>
    </xf>
    <xf numFmtId="0" fontId="7" fillId="6" borderId="10" xfId="0" applyFont="1" applyFill="1" applyBorder="1" applyAlignment="1">
      <alignment vertical="center"/>
    </xf>
    <xf numFmtId="0" fontId="7" fillId="6" borderId="3" xfId="0" applyFont="1" applyFill="1" applyBorder="1" applyAlignment="1">
      <alignment vertical="center"/>
    </xf>
    <xf numFmtId="10" fontId="19" fillId="6" borderId="3" xfId="2" applyNumberFormat="1" applyFont="1" applyFill="1" applyBorder="1" applyAlignment="1">
      <alignment vertical="center"/>
    </xf>
    <xf numFmtId="0" fontId="7" fillId="11" borderId="2" xfId="0" applyFont="1" applyFill="1" applyBorder="1" applyAlignment="1">
      <alignment vertical="center"/>
    </xf>
    <xf numFmtId="3" fontId="7" fillId="9" borderId="4" xfId="0" applyNumberFormat="1" applyFont="1" applyFill="1" applyBorder="1" applyAlignment="1">
      <alignment vertical="center"/>
    </xf>
    <xf numFmtId="3" fontId="7" fillId="6" borderId="4" xfId="0" applyNumberFormat="1" applyFont="1" applyFill="1" applyBorder="1" applyAlignment="1">
      <alignment vertical="center"/>
    </xf>
    <xf numFmtId="0" fontId="8" fillId="6" borderId="0" xfId="0" applyFont="1" applyFill="1" applyAlignment="1">
      <alignment horizontal="right" vertical="center"/>
    </xf>
    <xf numFmtId="3" fontId="8" fillId="6" borderId="6" xfId="0" applyNumberFormat="1" applyFont="1" applyFill="1" applyBorder="1" applyAlignment="1">
      <alignment vertical="center"/>
    </xf>
    <xf numFmtId="3" fontId="8" fillId="7" borderId="6" xfId="0" applyNumberFormat="1" applyFont="1" applyFill="1" applyBorder="1" applyAlignment="1">
      <alignment vertical="center"/>
    </xf>
    <xf numFmtId="3" fontId="8" fillId="7" borderId="13" xfId="0" applyNumberFormat="1" applyFont="1" applyFill="1" applyBorder="1" applyAlignment="1">
      <alignment vertical="center"/>
    </xf>
    <xf numFmtId="0" fontId="7" fillId="6" borderId="1" xfId="0" applyFont="1" applyFill="1" applyBorder="1" applyAlignment="1">
      <alignment horizontal="center" vertical="center"/>
    </xf>
    <xf numFmtId="3" fontId="7" fillId="6" borderId="2" xfId="0" applyNumberFormat="1" applyFont="1" applyFill="1" applyBorder="1" applyAlignment="1">
      <alignment vertical="center"/>
    </xf>
    <xf numFmtId="0" fontId="8" fillId="7" borderId="6" xfId="0" applyFont="1" applyFill="1" applyBorder="1" applyAlignment="1">
      <alignment vertical="center"/>
    </xf>
    <xf numFmtId="0" fontId="7" fillId="6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23" fillId="6" borderId="0" xfId="0" applyFont="1" applyFill="1" applyAlignment="1">
      <alignment vertical="center"/>
    </xf>
    <xf numFmtId="0" fontId="7" fillId="9" borderId="0" xfId="0" applyFont="1" applyFill="1" applyAlignment="1">
      <alignment vertical="center"/>
    </xf>
    <xf numFmtId="0" fontId="7" fillId="9" borderId="0" xfId="0" applyFont="1" applyFill="1" applyAlignment="1">
      <alignment horizontal="center" vertical="center"/>
    </xf>
    <xf numFmtId="0" fontId="8" fillId="6" borderId="0" xfId="0" applyFont="1" applyFill="1" applyAlignment="1">
      <alignment horizontal="center"/>
    </xf>
    <xf numFmtId="4" fontId="12" fillId="6" borderId="0" xfId="0" applyNumberFormat="1" applyFont="1" applyFill="1"/>
    <xf numFmtId="0" fontId="19" fillId="6" borderId="0" xfId="0" applyFont="1" applyFill="1"/>
    <xf numFmtId="167" fontId="7" fillId="6" borderId="0" xfId="0" applyNumberFormat="1" applyFont="1" applyFill="1" applyAlignment="1">
      <alignment horizontal="center"/>
    </xf>
    <xf numFmtId="167" fontId="8" fillId="6" borderId="0" xfId="0" applyNumberFormat="1" applyFont="1" applyFill="1" applyAlignment="1">
      <alignment horizontal="center"/>
    </xf>
    <xf numFmtId="167" fontId="7" fillId="14" borderId="0" xfId="0" applyNumberFormat="1" applyFont="1" applyFill="1" applyAlignment="1">
      <alignment horizontal="center"/>
    </xf>
    <xf numFmtId="167" fontId="7" fillId="13" borderId="0" xfId="0" applyNumberFormat="1" applyFont="1" applyFill="1" applyAlignment="1">
      <alignment horizontal="center"/>
    </xf>
    <xf numFmtId="167" fontId="7" fillId="12" borderId="0" xfId="0" applyNumberFormat="1" applyFont="1" applyFill="1" applyAlignment="1">
      <alignment horizontal="center"/>
    </xf>
    <xf numFmtId="37" fontId="8" fillId="6" borderId="0" xfId="0" applyNumberFormat="1" applyFont="1" applyFill="1" applyAlignment="1">
      <alignment horizontal="center"/>
    </xf>
    <xf numFmtId="10" fontId="7" fillId="0" borderId="0" xfId="2" applyNumberFormat="1" applyFont="1"/>
    <xf numFmtId="0" fontId="25" fillId="6" borderId="0" xfId="0" applyFont="1" applyFill="1"/>
    <xf numFmtId="0" fontId="21" fillId="6" borderId="0" xfId="0" applyFont="1" applyFill="1" applyAlignment="1">
      <alignment horizontal="right"/>
    </xf>
    <xf numFmtId="9" fontId="18" fillId="6" borderId="0" xfId="2" applyFont="1" applyFill="1"/>
    <xf numFmtId="167" fontId="18" fillId="6" borderId="0" xfId="0" applyNumberFormat="1" applyFont="1" applyFill="1"/>
    <xf numFmtId="0" fontId="7" fillId="0" borderId="0" xfId="0" applyFont="1" applyAlignment="1">
      <alignment horizontal="center"/>
    </xf>
    <xf numFmtId="0" fontId="8" fillId="0" borderId="0" xfId="0" applyFont="1" applyFill="1" applyAlignment="1">
      <alignment horizontal="center"/>
    </xf>
    <xf numFmtId="166" fontId="8" fillId="6" borderId="0" xfId="0" applyNumberFormat="1" applyFont="1" applyFill="1"/>
    <xf numFmtId="166" fontId="26" fillId="6" borderId="0" xfId="0" applyNumberFormat="1" applyFont="1" applyFill="1"/>
    <xf numFmtId="3" fontId="27" fillId="6" borderId="0" xfId="0" applyNumberFormat="1" applyFont="1" applyFill="1"/>
    <xf numFmtId="3" fontId="27" fillId="6" borderId="0" xfId="0" applyNumberFormat="1" applyFont="1" applyFill="1" applyAlignment="1">
      <alignment horizontal="center"/>
    </xf>
    <xf numFmtId="3" fontId="27" fillId="6" borderId="0" xfId="0" applyNumberFormat="1" applyFont="1" applyFill="1" applyBorder="1" applyAlignment="1">
      <alignment horizontal="center"/>
    </xf>
    <xf numFmtId="3" fontId="27" fillId="6" borderId="0" xfId="0" applyNumberFormat="1" applyFont="1" applyFill="1" applyBorder="1"/>
    <xf numFmtId="3" fontId="28" fillId="6" borderId="0" xfId="0" applyNumberFormat="1" applyFont="1" applyFill="1"/>
    <xf numFmtId="3" fontId="28" fillId="6" borderId="0" xfId="0" applyNumberFormat="1" applyFont="1" applyFill="1" applyBorder="1"/>
    <xf numFmtId="3" fontId="28" fillId="6" borderId="11" xfId="0" applyNumberFormat="1" applyFont="1" applyFill="1" applyBorder="1"/>
    <xf numFmtId="3" fontId="28" fillId="6" borderId="4" xfId="0" applyNumberFormat="1" applyFont="1" applyFill="1" applyBorder="1"/>
    <xf numFmtId="3" fontId="28" fillId="6" borderId="11" xfId="0" applyNumberFormat="1" applyFont="1" applyFill="1" applyBorder="1" applyAlignment="1">
      <alignment horizontal="center"/>
    </xf>
    <xf numFmtId="3" fontId="28" fillId="6" borderId="0" xfId="0" applyNumberFormat="1" applyFont="1" applyFill="1" applyBorder="1" applyAlignment="1">
      <alignment horizontal="center"/>
    </xf>
    <xf numFmtId="3" fontId="28" fillId="6" borderId="4" xfId="0" applyNumberFormat="1" applyFont="1" applyFill="1" applyBorder="1" applyAlignment="1">
      <alignment horizontal="center"/>
    </xf>
    <xf numFmtId="3" fontId="27" fillId="6" borderId="11" xfId="0" applyNumberFormat="1" applyFont="1" applyFill="1" applyBorder="1"/>
    <xf numFmtId="3" fontId="27" fillId="6" borderId="4" xfId="0" applyNumberFormat="1" applyFont="1" applyFill="1" applyBorder="1"/>
    <xf numFmtId="9" fontId="27" fillId="6" borderId="4" xfId="2" applyFont="1" applyFill="1" applyBorder="1"/>
    <xf numFmtId="9" fontId="27" fillId="6" borderId="0" xfId="2" applyFont="1" applyFill="1" applyBorder="1"/>
    <xf numFmtId="3" fontId="27" fillId="6" borderId="12" xfId="0" applyNumberFormat="1" applyFont="1" applyFill="1" applyBorder="1"/>
    <xf numFmtId="3" fontId="27" fillId="6" borderId="5" xfId="0" applyNumberFormat="1" applyFont="1" applyFill="1" applyBorder="1"/>
    <xf numFmtId="10" fontId="27" fillId="6" borderId="4" xfId="2" applyNumberFormat="1" applyFont="1" applyFill="1" applyBorder="1"/>
    <xf numFmtId="10" fontId="29" fillId="6" borderId="0" xfId="2" applyNumberFormat="1" applyFont="1" applyFill="1" applyBorder="1"/>
    <xf numFmtId="3" fontId="27" fillId="6" borderId="8" xfId="0" applyNumberFormat="1" applyFont="1" applyFill="1" applyBorder="1"/>
    <xf numFmtId="3" fontId="28" fillId="6" borderId="11" xfId="0" applyNumberFormat="1" applyFont="1" applyFill="1" applyBorder="1" applyAlignment="1">
      <alignment horizontal="center"/>
    </xf>
    <xf numFmtId="3" fontId="28" fillId="6" borderId="0" xfId="0" applyNumberFormat="1" applyFont="1" applyFill="1" applyBorder="1" applyAlignment="1">
      <alignment horizontal="center"/>
    </xf>
    <xf numFmtId="3" fontId="28" fillId="6" borderId="4" xfId="0" applyNumberFormat="1" applyFont="1" applyFill="1" applyBorder="1" applyAlignment="1">
      <alignment horizontal="center"/>
    </xf>
    <xf numFmtId="168" fontId="7" fillId="0" borderId="0" xfId="1" applyNumberFormat="1" applyFont="1" applyFill="1"/>
    <xf numFmtId="169" fontId="7" fillId="0" borderId="11" xfId="2" applyNumberFormat="1" applyFont="1" applyFill="1" applyBorder="1" applyAlignment="1">
      <alignment horizontal="right"/>
    </xf>
    <xf numFmtId="0" fontId="7" fillId="0" borderId="0" xfId="0" applyFont="1" applyBorder="1"/>
    <xf numFmtId="3" fontId="28" fillId="6" borderId="12" xfId="0" applyNumberFormat="1" applyFont="1" applyFill="1" applyBorder="1"/>
    <xf numFmtId="3" fontId="28" fillId="6" borderId="5" xfId="0" applyNumberFormat="1" applyFont="1" applyFill="1" applyBorder="1"/>
    <xf numFmtId="43" fontId="7" fillId="0" borderId="0" xfId="1" applyFont="1"/>
    <xf numFmtId="43" fontId="7" fillId="0" borderId="0" xfId="0" applyNumberFormat="1" applyFont="1"/>
    <xf numFmtId="37" fontId="7" fillId="6" borderId="0" xfId="0" applyNumberFormat="1" applyFont="1" applyFill="1" applyAlignment="1">
      <alignment horizontal="center"/>
    </xf>
    <xf numFmtId="0" fontId="7" fillId="6" borderId="6" xfId="0" applyFont="1" applyFill="1" applyBorder="1" applyAlignment="1">
      <alignment horizontal="center" vertical="center" wrapText="1"/>
    </xf>
    <xf numFmtId="3" fontId="8" fillId="6" borderId="6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/>
    </xf>
    <xf numFmtId="0" fontId="13" fillId="6" borderId="0" xfId="0" applyFont="1" applyFill="1" applyBorder="1"/>
    <xf numFmtId="9" fontId="7" fillId="0" borderId="0" xfId="1" applyNumberFormat="1" applyFont="1"/>
    <xf numFmtId="166" fontId="7" fillId="9" borderId="0" xfId="0" applyNumberFormat="1" applyFont="1" applyFill="1"/>
    <xf numFmtId="3" fontId="7" fillId="9" borderId="0" xfId="0" applyNumberFormat="1" applyFont="1" applyFill="1"/>
    <xf numFmtId="37" fontId="7" fillId="9" borderId="0" xfId="0" applyNumberFormat="1" applyFont="1" applyFill="1" applyAlignment="1">
      <alignment horizontal="right"/>
    </xf>
    <xf numFmtId="37" fontId="12" fillId="9" borderId="0" xfId="0" applyNumberFormat="1" applyFont="1" applyFill="1"/>
    <xf numFmtId="37" fontId="7" fillId="9" borderId="0" xfId="0" applyNumberFormat="1" applyFont="1" applyFill="1"/>
    <xf numFmtId="39" fontId="8" fillId="9" borderId="0" xfId="0" applyNumberFormat="1" applyFont="1" applyFill="1" applyAlignment="1">
      <alignment horizontal="right"/>
    </xf>
    <xf numFmtId="0" fontId="8" fillId="6" borderId="6" xfId="0" applyFont="1" applyFill="1" applyBorder="1" applyAlignment="1">
      <alignment horizontal="center"/>
    </xf>
    <xf numFmtId="166" fontId="12" fillId="6" borderId="6" xfId="0" applyNumberFormat="1" applyFont="1" applyFill="1" applyBorder="1" applyAlignment="1">
      <alignment horizontal="center"/>
    </xf>
    <xf numFmtId="2" fontId="7" fillId="6" borderId="6" xfId="0" applyNumberFormat="1" applyFont="1" applyFill="1" applyBorder="1"/>
    <xf numFmtId="0" fontId="7" fillId="6" borderId="6" xfId="0" applyFont="1" applyFill="1" applyBorder="1"/>
    <xf numFmtId="0" fontId="24" fillId="10" borderId="14" xfId="0" applyFont="1" applyFill="1" applyBorder="1" applyAlignment="1">
      <alignment horizontal="center" vertical="center"/>
    </xf>
    <xf numFmtId="0" fontId="24" fillId="10" borderId="16" xfId="0" applyFont="1" applyFill="1" applyBorder="1" applyAlignment="1">
      <alignment horizontal="center" vertical="center"/>
    </xf>
    <xf numFmtId="0" fontId="24" fillId="10" borderId="13" xfId="0" applyFont="1" applyFill="1" applyBorder="1" applyAlignment="1">
      <alignment horizontal="center" vertical="center"/>
    </xf>
    <xf numFmtId="3" fontId="8" fillId="7" borderId="6" xfId="0" applyNumberFormat="1" applyFont="1" applyFill="1" applyBorder="1" applyAlignment="1">
      <alignment horizontal="center" vertical="center"/>
    </xf>
    <xf numFmtId="0" fontId="8" fillId="8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6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0" fontId="8" fillId="6" borderId="1" xfId="0" applyFont="1" applyFill="1" applyBorder="1" applyAlignment="1">
      <alignment horizontal="center" wrapText="1"/>
    </xf>
    <xf numFmtId="0" fontId="8" fillId="6" borderId="2" xfId="0" applyFont="1" applyFill="1" applyBorder="1" applyAlignment="1">
      <alignment horizontal="center" wrapText="1"/>
    </xf>
    <xf numFmtId="0" fontId="8" fillId="6" borderId="10" xfId="0" applyFont="1" applyFill="1" applyBorder="1" applyAlignment="1">
      <alignment horizontal="center"/>
    </xf>
    <xf numFmtId="0" fontId="8" fillId="6" borderId="11" xfId="0" applyFont="1" applyFill="1" applyBorder="1" applyAlignment="1">
      <alignment horizontal="center"/>
    </xf>
    <xf numFmtId="0" fontId="8" fillId="6" borderId="1" xfId="0" applyFont="1" applyFill="1" applyBorder="1" applyAlignment="1">
      <alignment horizontal="center"/>
    </xf>
    <xf numFmtId="0" fontId="8" fillId="6" borderId="2" xfId="0" applyFont="1" applyFill="1" applyBorder="1" applyAlignment="1">
      <alignment horizontal="center"/>
    </xf>
    <xf numFmtId="0" fontId="8" fillId="6" borderId="12" xfId="0" applyFont="1" applyFill="1" applyBorder="1" applyAlignment="1">
      <alignment horizontal="center"/>
    </xf>
    <xf numFmtId="0" fontId="8" fillId="6" borderId="8" xfId="0" applyFont="1" applyFill="1" applyBorder="1" applyAlignment="1">
      <alignment horizontal="center"/>
    </xf>
    <xf numFmtId="0" fontId="8" fillId="6" borderId="3" xfId="0" applyFont="1" applyFill="1" applyBorder="1" applyAlignment="1">
      <alignment horizontal="center"/>
    </xf>
    <xf numFmtId="0" fontId="8" fillId="6" borderId="4" xfId="0" applyFont="1" applyFill="1" applyBorder="1" applyAlignment="1">
      <alignment horizontal="center"/>
    </xf>
    <xf numFmtId="0" fontId="8" fillId="6" borderId="5" xfId="0" applyFont="1" applyFill="1" applyBorder="1" applyAlignment="1">
      <alignment horizontal="center"/>
    </xf>
    <xf numFmtId="0" fontId="8" fillId="6" borderId="3" xfId="0" applyFont="1" applyFill="1" applyBorder="1" applyAlignment="1">
      <alignment horizontal="center" vertical="center" wrapText="1"/>
    </xf>
    <xf numFmtId="0" fontId="8" fillId="6" borderId="4" xfId="0" applyFont="1" applyFill="1" applyBorder="1" applyAlignment="1">
      <alignment horizontal="center" vertical="center" wrapText="1"/>
    </xf>
    <xf numFmtId="0" fontId="8" fillId="6" borderId="5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 wrapText="1"/>
    </xf>
    <xf numFmtId="0" fontId="8" fillId="6" borderId="7" xfId="0" applyFont="1" applyFill="1" applyBorder="1" applyAlignment="1">
      <alignment horizontal="center" vertical="center" wrapText="1"/>
    </xf>
    <xf numFmtId="0" fontId="8" fillId="6" borderId="10" xfId="0" applyFont="1" applyFill="1" applyBorder="1" applyAlignment="1">
      <alignment horizontal="center" vertical="center" wrapText="1"/>
    </xf>
    <xf numFmtId="0" fontId="8" fillId="6" borderId="11" xfId="0" applyFont="1" applyFill="1" applyBorder="1" applyAlignment="1">
      <alignment horizontal="center" vertical="center" wrapText="1"/>
    </xf>
    <xf numFmtId="0" fontId="8" fillId="6" borderId="12" xfId="0" applyFont="1" applyFill="1" applyBorder="1" applyAlignment="1">
      <alignment horizontal="center" vertical="center" wrapText="1"/>
    </xf>
    <xf numFmtId="0" fontId="8" fillId="6" borderId="9" xfId="0" applyFont="1" applyFill="1" applyBorder="1" applyAlignment="1">
      <alignment horizontal="center"/>
    </xf>
    <xf numFmtId="0" fontId="8" fillId="6" borderId="16" xfId="0" applyFont="1" applyFill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6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8" fillId="0" borderId="14" xfId="0" applyFont="1" applyFill="1" applyBorder="1" applyAlignment="1">
      <alignment horizontal="center"/>
    </xf>
    <xf numFmtId="0" fontId="8" fillId="0" borderId="16" xfId="0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2" fillId="5" borderId="14" xfId="0" applyFont="1" applyFill="1" applyBorder="1" applyAlignment="1">
      <alignment horizontal="center"/>
    </xf>
    <xf numFmtId="0" fontId="2" fillId="5" borderId="13" xfId="0" applyFont="1" applyFill="1" applyBorder="1" applyAlignment="1">
      <alignment horizontal="center"/>
    </xf>
    <xf numFmtId="0" fontId="6" fillId="5" borderId="14" xfId="0" applyFont="1" applyFill="1" applyBorder="1" applyAlignment="1">
      <alignment horizontal="center"/>
    </xf>
    <xf numFmtId="0" fontId="6" fillId="5" borderId="16" xfId="0" applyFont="1" applyFill="1" applyBorder="1" applyAlignment="1">
      <alignment horizontal="center"/>
    </xf>
    <xf numFmtId="0" fontId="6" fillId="5" borderId="13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3" fontId="28" fillId="6" borderId="10" xfId="0" applyNumberFormat="1" applyFont="1" applyFill="1" applyBorder="1" applyAlignment="1">
      <alignment horizontal="center"/>
    </xf>
    <xf numFmtId="3" fontId="28" fillId="6" borderId="3" xfId="0" applyNumberFormat="1" applyFont="1" applyFill="1" applyBorder="1" applyAlignment="1">
      <alignment horizontal="center"/>
    </xf>
    <xf numFmtId="3" fontId="28" fillId="6" borderId="9" xfId="0" applyNumberFormat="1" applyFont="1" applyFill="1" applyBorder="1" applyAlignment="1">
      <alignment horizontal="center"/>
    </xf>
    <xf numFmtId="3" fontId="28" fillId="6" borderId="11" xfId="0" applyNumberFormat="1" applyFont="1" applyFill="1" applyBorder="1" applyAlignment="1">
      <alignment horizontal="center"/>
    </xf>
    <xf numFmtId="3" fontId="28" fillId="6" borderId="0" xfId="0" applyNumberFormat="1" applyFont="1" applyFill="1" applyBorder="1" applyAlignment="1">
      <alignment horizontal="center"/>
    </xf>
    <xf numFmtId="3" fontId="28" fillId="6" borderId="4" xfId="0" applyNumberFormat="1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1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theme="6" tint="0.59996337778862885"/>
        </patternFill>
      </fill>
    </dxf>
    <dxf>
      <fill>
        <patternFill>
          <bgColor rgb="FFFFC000"/>
        </patternFill>
      </fill>
    </dxf>
    <dxf>
      <fill>
        <patternFill>
          <bgColor theme="6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145676</xdr:rowOff>
    </xdr:from>
    <xdr:to>
      <xdr:col>1</xdr:col>
      <xdr:colOff>781050</xdr:colOff>
      <xdr:row>3</xdr:row>
      <xdr:rowOff>44824</xdr:rowOff>
    </xdr:to>
    <xdr:sp macro="" textlink="">
      <xdr:nvSpPr>
        <xdr:cNvPr id="2" name="Rectangle 3"/>
        <xdr:cNvSpPr>
          <a:spLocks noChangeArrowheads="1"/>
        </xdr:cNvSpPr>
      </xdr:nvSpPr>
      <xdr:spPr bwMode="auto">
        <a:xfrm>
          <a:off x="0" y="145676"/>
          <a:ext cx="2828925" cy="451598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89645</xdr:rowOff>
    </xdr:from>
    <xdr:to>
      <xdr:col>3</xdr:col>
      <xdr:colOff>458932</xdr:colOff>
      <xdr:row>3</xdr:row>
      <xdr:rowOff>67234</xdr:rowOff>
    </xdr:to>
    <xdr:sp macro="" textlink="">
      <xdr:nvSpPr>
        <xdr:cNvPr id="2051" name="Rectangle 3"/>
        <xdr:cNvSpPr>
          <a:spLocks noChangeArrowheads="1"/>
        </xdr:cNvSpPr>
      </xdr:nvSpPr>
      <xdr:spPr bwMode="auto">
        <a:xfrm>
          <a:off x="0" y="89645"/>
          <a:ext cx="2935432" cy="531771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112057</xdr:rowOff>
    </xdr:from>
    <xdr:to>
      <xdr:col>2</xdr:col>
      <xdr:colOff>0</xdr:colOff>
      <xdr:row>3</xdr:row>
      <xdr:rowOff>67234</xdr:rowOff>
    </xdr:to>
    <xdr:sp macro="" textlink="">
      <xdr:nvSpPr>
        <xdr:cNvPr id="9219" name="Rectangle 3"/>
        <xdr:cNvSpPr>
          <a:spLocks noChangeArrowheads="1"/>
        </xdr:cNvSpPr>
      </xdr:nvSpPr>
      <xdr:spPr bwMode="auto">
        <a:xfrm>
          <a:off x="0" y="112057"/>
          <a:ext cx="3543300" cy="526677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89646</xdr:rowOff>
    </xdr:from>
    <xdr:to>
      <xdr:col>2</xdr:col>
      <xdr:colOff>0</xdr:colOff>
      <xdr:row>3</xdr:row>
      <xdr:rowOff>100852</xdr:rowOff>
    </xdr:to>
    <xdr:sp macro="" textlink="">
      <xdr:nvSpPr>
        <xdr:cNvPr id="8195" name="Rectangle 3"/>
        <xdr:cNvSpPr>
          <a:spLocks noChangeArrowheads="1"/>
        </xdr:cNvSpPr>
      </xdr:nvSpPr>
      <xdr:spPr bwMode="auto">
        <a:xfrm>
          <a:off x="0" y="89646"/>
          <a:ext cx="2756647" cy="560294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89646</xdr:rowOff>
    </xdr:from>
    <xdr:to>
      <xdr:col>1</xdr:col>
      <xdr:colOff>381000</xdr:colOff>
      <xdr:row>3</xdr:row>
      <xdr:rowOff>100852</xdr:rowOff>
    </xdr:to>
    <xdr:sp macro="" textlink="">
      <xdr:nvSpPr>
        <xdr:cNvPr id="10244" name="Rectangle 4"/>
        <xdr:cNvSpPr>
          <a:spLocks noChangeArrowheads="1"/>
        </xdr:cNvSpPr>
      </xdr:nvSpPr>
      <xdr:spPr bwMode="auto">
        <a:xfrm>
          <a:off x="0" y="89646"/>
          <a:ext cx="2362200" cy="496981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89646</xdr:rowOff>
    </xdr:from>
    <xdr:to>
      <xdr:col>1</xdr:col>
      <xdr:colOff>800100</xdr:colOff>
      <xdr:row>3</xdr:row>
      <xdr:rowOff>100852</xdr:rowOff>
    </xdr:to>
    <xdr:sp macro="" textlink="">
      <xdr:nvSpPr>
        <xdr:cNvPr id="2" name="Rectangle 4"/>
        <xdr:cNvSpPr>
          <a:spLocks noChangeArrowheads="1"/>
        </xdr:cNvSpPr>
      </xdr:nvSpPr>
      <xdr:spPr bwMode="auto">
        <a:xfrm>
          <a:off x="0" y="89646"/>
          <a:ext cx="2781300" cy="496981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123264</xdr:rowOff>
    </xdr:from>
    <xdr:to>
      <xdr:col>1</xdr:col>
      <xdr:colOff>0</xdr:colOff>
      <xdr:row>3</xdr:row>
      <xdr:rowOff>67235</xdr:rowOff>
    </xdr:to>
    <xdr:sp macro="" textlink="">
      <xdr:nvSpPr>
        <xdr:cNvPr id="2" name="Rectangle 4"/>
        <xdr:cNvSpPr>
          <a:spLocks noChangeArrowheads="1"/>
        </xdr:cNvSpPr>
      </xdr:nvSpPr>
      <xdr:spPr bwMode="auto">
        <a:xfrm>
          <a:off x="0" y="123264"/>
          <a:ext cx="2263588" cy="414618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innerShdw blurRad="63500" dist="50800" dir="13500000">
            <a:prstClr val="black">
              <a:alpha val="50000"/>
            </a:prstClr>
          </a:innerShdw>
        </a:effec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145676</xdr:rowOff>
    </xdr:from>
    <xdr:to>
      <xdr:col>2</xdr:col>
      <xdr:colOff>510886</xdr:colOff>
      <xdr:row>3</xdr:row>
      <xdr:rowOff>44824</xdr:rowOff>
    </xdr:to>
    <xdr:sp macro="" textlink="">
      <xdr:nvSpPr>
        <xdr:cNvPr id="7171" name="Rectangle 3"/>
        <xdr:cNvSpPr>
          <a:spLocks noChangeArrowheads="1"/>
        </xdr:cNvSpPr>
      </xdr:nvSpPr>
      <xdr:spPr bwMode="auto">
        <a:xfrm>
          <a:off x="0" y="145676"/>
          <a:ext cx="2874818" cy="45333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89645</xdr:rowOff>
    </xdr:from>
    <xdr:to>
      <xdr:col>2</xdr:col>
      <xdr:colOff>0</xdr:colOff>
      <xdr:row>3</xdr:row>
      <xdr:rowOff>89646</xdr:rowOff>
    </xdr:to>
    <xdr:sp macro="" textlink="">
      <xdr:nvSpPr>
        <xdr:cNvPr id="6157" name="Rectangle 13"/>
        <xdr:cNvSpPr>
          <a:spLocks noChangeArrowheads="1"/>
        </xdr:cNvSpPr>
      </xdr:nvSpPr>
      <xdr:spPr bwMode="auto">
        <a:xfrm>
          <a:off x="0" y="89645"/>
          <a:ext cx="2767853" cy="549089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138951</xdr:rowOff>
    </xdr:from>
    <xdr:to>
      <xdr:col>2</xdr:col>
      <xdr:colOff>19050</xdr:colOff>
      <xdr:row>3</xdr:row>
      <xdr:rowOff>105334</xdr:rowOff>
    </xdr:to>
    <xdr:sp macro="" textlink="">
      <xdr:nvSpPr>
        <xdr:cNvPr id="2" name="Rectangle 3"/>
        <xdr:cNvSpPr>
          <a:spLocks noChangeArrowheads="1"/>
        </xdr:cNvSpPr>
      </xdr:nvSpPr>
      <xdr:spPr bwMode="auto">
        <a:xfrm>
          <a:off x="19050" y="138951"/>
          <a:ext cx="2743200" cy="537883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89645</xdr:rowOff>
    </xdr:from>
    <xdr:to>
      <xdr:col>2</xdr:col>
      <xdr:colOff>0</xdr:colOff>
      <xdr:row>3</xdr:row>
      <xdr:rowOff>78440</xdr:rowOff>
    </xdr:to>
    <xdr:sp macro="" textlink="">
      <xdr:nvSpPr>
        <xdr:cNvPr id="11267" name="Rectangle 3"/>
        <xdr:cNvSpPr>
          <a:spLocks noChangeArrowheads="1"/>
        </xdr:cNvSpPr>
      </xdr:nvSpPr>
      <xdr:spPr bwMode="auto">
        <a:xfrm>
          <a:off x="0" y="89645"/>
          <a:ext cx="2857500" cy="537883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100851</xdr:rowOff>
    </xdr:from>
    <xdr:to>
      <xdr:col>2</xdr:col>
      <xdr:colOff>0</xdr:colOff>
      <xdr:row>3</xdr:row>
      <xdr:rowOff>67234</xdr:rowOff>
    </xdr:to>
    <xdr:sp macro="" textlink="">
      <xdr:nvSpPr>
        <xdr:cNvPr id="13315" name="Rectangle 3"/>
        <xdr:cNvSpPr>
          <a:spLocks noChangeArrowheads="1"/>
        </xdr:cNvSpPr>
      </xdr:nvSpPr>
      <xdr:spPr bwMode="auto">
        <a:xfrm>
          <a:off x="0" y="100851"/>
          <a:ext cx="2745441" cy="515471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87964</xdr:rowOff>
    </xdr:from>
    <xdr:to>
      <xdr:col>2</xdr:col>
      <xdr:colOff>114300</xdr:colOff>
      <xdr:row>3</xdr:row>
      <xdr:rowOff>76759</xdr:rowOff>
    </xdr:to>
    <xdr:sp macro="" textlink="">
      <xdr:nvSpPr>
        <xdr:cNvPr id="2" name="Rectangle 7"/>
        <xdr:cNvSpPr>
          <a:spLocks noChangeArrowheads="1"/>
        </xdr:cNvSpPr>
      </xdr:nvSpPr>
      <xdr:spPr bwMode="auto">
        <a:xfrm>
          <a:off x="0" y="87964"/>
          <a:ext cx="2524125" cy="56029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78439</xdr:rowOff>
    </xdr:from>
    <xdr:to>
      <xdr:col>2</xdr:col>
      <xdr:colOff>514350</xdr:colOff>
      <xdr:row>3</xdr:row>
      <xdr:rowOff>67234</xdr:rowOff>
    </xdr:to>
    <xdr:sp macro="" textlink="">
      <xdr:nvSpPr>
        <xdr:cNvPr id="2" name="Rectangle 7"/>
        <xdr:cNvSpPr>
          <a:spLocks noChangeArrowheads="1"/>
        </xdr:cNvSpPr>
      </xdr:nvSpPr>
      <xdr:spPr bwMode="auto">
        <a:xfrm>
          <a:off x="0" y="78439"/>
          <a:ext cx="2800350" cy="54124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87964</xdr:rowOff>
    </xdr:from>
    <xdr:to>
      <xdr:col>2</xdr:col>
      <xdr:colOff>161925</xdr:colOff>
      <xdr:row>3</xdr:row>
      <xdr:rowOff>76759</xdr:rowOff>
    </xdr:to>
    <xdr:sp macro="" textlink="">
      <xdr:nvSpPr>
        <xdr:cNvPr id="1031" name="Rectangle 7"/>
        <xdr:cNvSpPr>
          <a:spLocks noChangeArrowheads="1"/>
        </xdr:cNvSpPr>
      </xdr:nvSpPr>
      <xdr:spPr bwMode="auto">
        <a:xfrm>
          <a:off x="0" y="87964"/>
          <a:ext cx="2724150" cy="56029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3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4.x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P150"/>
  <sheetViews>
    <sheetView topLeftCell="A13" zoomScaleNormal="100" workbookViewId="0">
      <selection activeCell="B23" sqref="B23"/>
    </sheetView>
  </sheetViews>
  <sheetFormatPr baseColWidth="10" defaultColWidth="11.42578125" defaultRowHeight="12.75" x14ac:dyDescent="0.2"/>
  <cols>
    <col min="1" max="1" width="36.42578125" style="24" bestFit="1" customWidth="1"/>
    <col min="2" max="2" width="12.28515625" style="24" customWidth="1"/>
    <col min="3" max="16384" width="11.42578125" style="24"/>
  </cols>
  <sheetData>
    <row r="2" spans="1:16" ht="15.75" x14ac:dyDescent="0.25">
      <c r="A2" s="147" t="s">
        <v>140</v>
      </c>
    </row>
    <row r="3" spans="1:16" ht="16.5" x14ac:dyDescent="0.3">
      <c r="A3" s="148" t="s">
        <v>504</v>
      </c>
    </row>
    <row r="5" spans="1:16" x14ac:dyDescent="0.2">
      <c r="B5" s="146"/>
      <c r="C5" s="146"/>
      <c r="D5" s="146"/>
      <c r="E5" s="146"/>
      <c r="F5" s="146"/>
      <c r="G5" s="146"/>
      <c r="H5" s="146"/>
      <c r="I5" s="146"/>
      <c r="J5" s="146"/>
      <c r="K5" s="146"/>
      <c r="L5" s="146"/>
      <c r="M5" s="146"/>
      <c r="N5" s="146"/>
      <c r="O5" s="146"/>
      <c r="P5" s="146"/>
    </row>
    <row r="6" spans="1:16" x14ac:dyDescent="0.2">
      <c r="A6" s="24" t="s">
        <v>638</v>
      </c>
      <c r="B6" s="153">
        <v>0</v>
      </c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  <c r="N6" s="146"/>
      <c r="O6" s="146"/>
      <c r="P6" s="146"/>
    </row>
    <row r="7" spans="1:16" x14ac:dyDescent="0.2">
      <c r="A7" s="24" t="s">
        <v>473</v>
      </c>
      <c r="B7" s="151" t="s">
        <v>550</v>
      </c>
      <c r="C7" s="146"/>
      <c r="D7" s="146"/>
      <c r="E7" s="146"/>
      <c r="F7" s="146"/>
      <c r="G7" s="146"/>
      <c r="H7" s="146"/>
      <c r="I7" s="146"/>
      <c r="J7" s="146"/>
      <c r="K7" s="146"/>
      <c r="L7" s="146"/>
      <c r="M7" s="146"/>
      <c r="N7" s="146"/>
      <c r="O7" s="146"/>
      <c r="P7" s="146"/>
    </row>
    <row r="8" spans="1:16" x14ac:dyDescent="0.2">
      <c r="A8" s="24" t="s">
        <v>477</v>
      </c>
      <c r="B8" s="151" t="s">
        <v>550</v>
      </c>
      <c r="C8" s="146"/>
      <c r="D8" s="146"/>
      <c r="E8" s="146"/>
      <c r="F8" s="146"/>
      <c r="G8" s="146"/>
      <c r="H8" s="146"/>
      <c r="I8" s="146"/>
      <c r="J8" s="146"/>
      <c r="K8" s="146"/>
      <c r="L8" s="146"/>
      <c r="M8" s="146"/>
      <c r="N8" s="146"/>
      <c r="O8" s="146"/>
      <c r="P8" s="146"/>
    </row>
    <row r="9" spans="1:16" x14ac:dyDescent="0.2">
      <c r="A9" s="24" t="s">
        <v>486</v>
      </c>
      <c r="B9" s="151" t="s">
        <v>549</v>
      </c>
      <c r="C9" s="146"/>
      <c r="D9" s="146"/>
      <c r="E9" s="146"/>
      <c r="F9" s="146"/>
      <c r="G9" s="146"/>
      <c r="H9" s="146"/>
      <c r="I9" s="146"/>
      <c r="J9" s="146"/>
      <c r="K9" s="146"/>
      <c r="L9" s="146"/>
      <c r="M9" s="146"/>
      <c r="N9" s="146"/>
      <c r="O9" s="146"/>
      <c r="P9" s="146"/>
    </row>
    <row r="10" spans="1:16" x14ac:dyDescent="0.2">
      <c r="B10" s="146"/>
      <c r="C10" s="146"/>
      <c r="D10" s="146"/>
      <c r="E10" s="146"/>
      <c r="F10" s="146"/>
      <c r="G10" s="146"/>
      <c r="H10" s="146"/>
      <c r="I10" s="146"/>
      <c r="J10" s="146"/>
      <c r="K10" s="146"/>
      <c r="L10" s="146"/>
      <c r="M10" s="146"/>
      <c r="N10" s="146"/>
      <c r="O10" s="146"/>
      <c r="P10" s="146"/>
    </row>
    <row r="11" spans="1:16" x14ac:dyDescent="0.2">
      <c r="A11" s="24" t="s">
        <v>475</v>
      </c>
      <c r="B11" s="152">
        <v>7.0000000000000007E-2</v>
      </c>
      <c r="C11" s="146"/>
      <c r="D11" s="146"/>
      <c r="E11" s="146"/>
      <c r="F11" s="146"/>
      <c r="G11" s="146"/>
      <c r="H11" s="146"/>
      <c r="I11" s="146"/>
      <c r="J11" s="146"/>
      <c r="K11" s="146"/>
      <c r="L11" s="146"/>
      <c r="M11" s="146"/>
      <c r="N11" s="146"/>
      <c r="O11" s="146"/>
      <c r="P11" s="146"/>
    </row>
    <row r="12" spans="1:16" x14ac:dyDescent="0.2">
      <c r="A12" s="24" t="s">
        <v>661</v>
      </c>
      <c r="B12" s="153">
        <v>1</v>
      </c>
      <c r="C12" s="146"/>
      <c r="D12" s="146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</row>
    <row r="13" spans="1:16" x14ac:dyDescent="0.2">
      <c r="B13" s="146"/>
      <c r="C13" s="146"/>
      <c r="D13" s="146"/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</row>
    <row r="14" spans="1:16" x14ac:dyDescent="0.2">
      <c r="A14" s="24" t="s">
        <v>482</v>
      </c>
      <c r="B14" s="153">
        <v>1</v>
      </c>
      <c r="C14" s="146"/>
      <c r="D14" s="146"/>
      <c r="E14" s="146"/>
      <c r="F14" s="146"/>
      <c r="G14" s="146"/>
      <c r="H14" s="146"/>
      <c r="I14" s="146"/>
      <c r="J14" s="146"/>
      <c r="K14" s="146"/>
      <c r="L14" s="146"/>
      <c r="M14" s="146"/>
      <c r="N14" s="146"/>
      <c r="O14" s="146"/>
      <c r="P14" s="146"/>
    </row>
    <row r="15" spans="1:16" x14ac:dyDescent="0.2">
      <c r="A15" s="24" t="s">
        <v>483</v>
      </c>
      <c r="B15" s="153">
        <v>0.3</v>
      </c>
      <c r="C15" s="146"/>
      <c r="D15" s="146"/>
      <c r="E15" s="146"/>
      <c r="F15" s="146"/>
      <c r="G15" s="146"/>
      <c r="H15" s="146"/>
      <c r="I15" s="146"/>
      <c r="J15" s="146"/>
      <c r="K15" s="146"/>
      <c r="L15" s="146"/>
      <c r="M15" s="146"/>
      <c r="N15" s="146"/>
      <c r="O15" s="146"/>
      <c r="P15" s="146"/>
    </row>
    <row r="16" spans="1:16" x14ac:dyDescent="0.2">
      <c r="A16" s="24" t="s">
        <v>484</v>
      </c>
      <c r="B16" s="153">
        <v>0.1</v>
      </c>
      <c r="C16" s="146"/>
      <c r="D16" s="146"/>
      <c r="E16" s="146"/>
      <c r="F16" s="146"/>
      <c r="G16" s="146"/>
      <c r="H16" s="146"/>
      <c r="I16" s="146"/>
      <c r="J16" s="146"/>
      <c r="K16" s="146"/>
      <c r="L16" s="146"/>
      <c r="M16" s="146"/>
      <c r="N16" s="146"/>
      <c r="O16" s="146"/>
      <c r="P16" s="146"/>
    </row>
    <row r="17" spans="1:16" x14ac:dyDescent="0.2">
      <c r="A17" s="24" t="s">
        <v>485</v>
      </c>
      <c r="B17" s="153">
        <v>0.05</v>
      </c>
      <c r="C17" s="146"/>
      <c r="D17" s="146"/>
      <c r="E17" s="146"/>
      <c r="F17" s="146"/>
      <c r="G17" s="146"/>
      <c r="H17" s="146"/>
      <c r="I17" s="146"/>
      <c r="J17" s="146"/>
      <c r="K17" s="146"/>
      <c r="L17" s="146"/>
      <c r="M17" s="146"/>
      <c r="N17" s="146"/>
      <c r="O17" s="146"/>
      <c r="P17" s="146"/>
    </row>
    <row r="18" spans="1:16" x14ac:dyDescent="0.2">
      <c r="B18" s="146"/>
      <c r="C18" s="146"/>
      <c r="D18" s="146"/>
      <c r="E18" s="146"/>
      <c r="F18" s="146"/>
      <c r="G18" s="146"/>
      <c r="H18" s="146"/>
      <c r="I18" s="146"/>
      <c r="J18" s="146"/>
      <c r="K18" s="146"/>
      <c r="L18" s="146"/>
      <c r="M18" s="146"/>
      <c r="N18" s="146"/>
      <c r="O18" s="146"/>
      <c r="P18" s="146"/>
    </row>
    <row r="19" spans="1:16" x14ac:dyDescent="0.2">
      <c r="B19" s="146"/>
      <c r="C19" s="146"/>
      <c r="D19" s="146"/>
      <c r="E19" s="146"/>
      <c r="F19" s="146"/>
      <c r="G19" s="146"/>
      <c r="H19" s="146"/>
      <c r="I19" s="146"/>
      <c r="J19" s="146"/>
      <c r="K19" s="146"/>
      <c r="L19" s="146"/>
      <c r="M19" s="146"/>
      <c r="N19" s="146"/>
      <c r="O19" s="146"/>
      <c r="P19" s="146"/>
    </row>
    <row r="20" spans="1:16" x14ac:dyDescent="0.2">
      <c r="A20" s="24" t="s">
        <v>476</v>
      </c>
      <c r="B20" s="153">
        <v>0.12</v>
      </c>
      <c r="C20" s="146"/>
      <c r="D20" s="146"/>
      <c r="E20" s="146"/>
      <c r="F20" s="146"/>
      <c r="G20" s="146"/>
      <c r="H20" s="146"/>
      <c r="I20" s="146"/>
      <c r="J20" s="146"/>
      <c r="K20" s="146"/>
      <c r="L20" s="146"/>
      <c r="M20" s="146"/>
      <c r="N20" s="146"/>
      <c r="O20" s="146"/>
      <c r="P20" s="146"/>
    </row>
    <row r="21" spans="1:16" x14ac:dyDescent="0.2">
      <c r="B21" s="146"/>
      <c r="C21" s="146"/>
      <c r="D21" s="146"/>
      <c r="E21" s="146"/>
      <c r="F21" s="146"/>
      <c r="G21" s="146"/>
      <c r="H21" s="146"/>
      <c r="I21" s="146"/>
      <c r="J21" s="146"/>
      <c r="K21" s="146"/>
      <c r="L21" s="146"/>
      <c r="M21" s="146"/>
      <c r="N21" s="146"/>
      <c r="O21" s="146"/>
      <c r="P21" s="146"/>
    </row>
    <row r="22" spans="1:16" x14ac:dyDescent="0.2">
      <c r="A22" s="24" t="s">
        <v>663</v>
      </c>
      <c r="B22" s="153">
        <v>0.28000000000000003</v>
      </c>
      <c r="C22" s="146"/>
      <c r="D22" s="146"/>
      <c r="E22" s="146"/>
      <c r="F22" s="146"/>
      <c r="G22" s="146"/>
      <c r="H22" s="146"/>
      <c r="I22" s="146"/>
      <c r="J22" s="146"/>
      <c r="K22" s="146"/>
      <c r="L22" s="146"/>
      <c r="M22" s="146"/>
      <c r="N22" s="146"/>
      <c r="O22" s="146"/>
      <c r="P22" s="146"/>
    </row>
    <row r="23" spans="1:16" x14ac:dyDescent="0.2">
      <c r="A23" s="24" t="s">
        <v>664</v>
      </c>
      <c r="B23" s="152">
        <f>Tarifa!J6</f>
        <v>0.4355555555555557</v>
      </c>
      <c r="C23" s="146"/>
      <c r="D23" s="146"/>
      <c r="E23" s="146"/>
      <c r="F23" s="146"/>
      <c r="G23" s="146"/>
      <c r="H23" s="146"/>
      <c r="I23" s="146"/>
      <c r="J23" s="146"/>
      <c r="K23" s="146"/>
      <c r="L23" s="146"/>
      <c r="M23" s="146"/>
      <c r="N23" s="146"/>
      <c r="O23" s="146"/>
      <c r="P23" s="146"/>
    </row>
    <row r="24" spans="1:16" x14ac:dyDescent="0.2">
      <c r="B24" s="146"/>
      <c r="C24" s="146"/>
      <c r="D24" s="146"/>
      <c r="E24" s="146"/>
      <c r="F24" s="146"/>
      <c r="G24" s="146"/>
      <c r="H24" s="146"/>
      <c r="I24" s="146"/>
      <c r="J24" s="146"/>
      <c r="K24" s="146"/>
      <c r="L24" s="146"/>
      <c r="M24" s="146"/>
      <c r="N24" s="146"/>
      <c r="O24" s="146"/>
      <c r="P24" s="146"/>
    </row>
    <row r="25" spans="1:16" x14ac:dyDescent="0.2">
      <c r="B25" s="146"/>
      <c r="C25" s="146"/>
      <c r="D25" s="146"/>
      <c r="E25" s="146"/>
      <c r="F25" s="146"/>
      <c r="G25" s="146"/>
      <c r="H25" s="146"/>
      <c r="I25" s="146"/>
      <c r="J25" s="146"/>
      <c r="K25" s="146"/>
      <c r="L25" s="146"/>
      <c r="M25" s="146"/>
      <c r="N25" s="146"/>
      <c r="O25" s="146"/>
      <c r="P25" s="146"/>
    </row>
    <row r="26" spans="1:16" x14ac:dyDescent="0.2">
      <c r="A26" s="24" t="s">
        <v>544</v>
      </c>
      <c r="B26" s="257">
        <v>0</v>
      </c>
      <c r="C26" s="146"/>
      <c r="D26" s="146"/>
      <c r="E26" s="146"/>
      <c r="F26" s="146"/>
      <c r="G26" s="146"/>
      <c r="H26" s="146"/>
      <c r="I26" s="146"/>
      <c r="J26" s="146"/>
      <c r="K26" s="146"/>
      <c r="L26" s="146"/>
      <c r="M26" s="146"/>
      <c r="N26" s="146"/>
      <c r="O26" s="146"/>
      <c r="P26" s="146"/>
    </row>
    <row r="27" spans="1:16" x14ac:dyDescent="0.2">
      <c r="B27" s="146"/>
      <c r="C27" s="146"/>
      <c r="D27" s="146"/>
      <c r="E27" s="146"/>
      <c r="F27" s="146"/>
      <c r="G27" s="146"/>
      <c r="H27" s="146"/>
      <c r="I27" s="146"/>
      <c r="J27" s="146"/>
      <c r="K27" s="146"/>
      <c r="L27" s="146"/>
      <c r="M27" s="146"/>
      <c r="N27" s="146"/>
      <c r="O27" s="146"/>
      <c r="P27" s="146"/>
    </row>
    <row r="28" spans="1:16" x14ac:dyDescent="0.2">
      <c r="B28" s="146"/>
      <c r="C28" s="146"/>
      <c r="D28" s="146"/>
      <c r="E28" s="146"/>
      <c r="F28" s="146"/>
    </row>
    <row r="29" spans="1:16" x14ac:dyDescent="0.2">
      <c r="B29" s="146"/>
      <c r="C29" s="146"/>
      <c r="D29" s="146"/>
      <c r="E29" s="146"/>
      <c r="F29" s="146"/>
      <c r="G29" s="146"/>
      <c r="H29" s="146"/>
      <c r="I29" s="146"/>
      <c r="J29" s="146" t="s">
        <v>669</v>
      </c>
      <c r="K29" s="146"/>
      <c r="L29" s="146"/>
      <c r="M29" s="146"/>
    </row>
    <row r="30" spans="1:16" x14ac:dyDescent="0.2">
      <c r="A30" s="145" t="s">
        <v>635</v>
      </c>
      <c r="D30" s="146"/>
      <c r="E30" s="146"/>
      <c r="F30" s="146" t="s">
        <v>670</v>
      </c>
      <c r="G30" s="146" t="s">
        <v>671</v>
      </c>
      <c r="H30" s="146" t="s">
        <v>672</v>
      </c>
      <c r="I30" s="146" t="s">
        <v>673</v>
      </c>
      <c r="J30" s="146" t="s">
        <v>674</v>
      </c>
      <c r="K30" s="146"/>
      <c r="L30" s="146"/>
      <c r="M30" s="146"/>
    </row>
    <row r="31" spans="1:16" x14ac:dyDescent="0.2">
      <c r="D31" s="146"/>
      <c r="E31" s="146"/>
      <c r="F31" s="146"/>
      <c r="G31" s="146"/>
      <c r="H31" s="146"/>
      <c r="I31" s="146"/>
      <c r="J31" s="146"/>
      <c r="K31" s="146"/>
      <c r="L31" s="146"/>
      <c r="M31" s="146"/>
    </row>
    <row r="32" spans="1:16" x14ac:dyDescent="0.2">
      <c r="A32" s="154" t="s">
        <v>608</v>
      </c>
      <c r="B32" s="146">
        <f>+E32</f>
        <v>861</v>
      </c>
      <c r="C32" s="25">
        <f>+F32+J32</f>
        <v>615</v>
      </c>
      <c r="D32" s="146">
        <f>+C32*40%</f>
        <v>246</v>
      </c>
      <c r="E32" s="146">
        <f>+C32+D32</f>
        <v>861</v>
      </c>
      <c r="F32" s="146">
        <v>400</v>
      </c>
      <c r="G32" s="146">
        <f>+F32/240</f>
        <v>1.6666666666666667</v>
      </c>
      <c r="H32" s="146">
        <f>+G32*1.5</f>
        <v>2.5</v>
      </c>
      <c r="I32" s="146">
        <f>+G32*2</f>
        <v>3.3333333333333335</v>
      </c>
      <c r="J32" s="146">
        <f>+(H32*22)+(I32*48)</f>
        <v>215</v>
      </c>
      <c r="K32" s="146"/>
      <c r="L32" s="146"/>
      <c r="M32" s="146"/>
    </row>
    <row r="33" spans="1:16" x14ac:dyDescent="0.2">
      <c r="A33" s="154" t="s">
        <v>609</v>
      </c>
      <c r="B33" s="146">
        <f>+E33</f>
        <v>968.625</v>
      </c>
      <c r="C33" s="25">
        <f>+F33+J33</f>
        <v>691.875</v>
      </c>
      <c r="D33" s="146">
        <f t="shared" ref="D33:D38" si="0">+C33*40%</f>
        <v>276.75</v>
      </c>
      <c r="E33" s="146">
        <f t="shared" ref="E33:E38" si="1">+C33+D33</f>
        <v>968.625</v>
      </c>
      <c r="F33" s="146">
        <v>450</v>
      </c>
      <c r="G33" s="146">
        <f>+F33/240</f>
        <v>1.875</v>
      </c>
      <c r="H33" s="146">
        <f>+G33*1.5</f>
        <v>2.8125</v>
      </c>
      <c r="I33" s="146">
        <f>+G33*2</f>
        <v>3.75</v>
      </c>
      <c r="J33" s="146">
        <f>+(H33*22)+(I33*48)</f>
        <v>241.875</v>
      </c>
      <c r="K33" s="146"/>
      <c r="L33" s="146"/>
      <c r="M33" s="146"/>
    </row>
    <row r="34" spans="1:16" x14ac:dyDescent="0.2">
      <c r="A34" s="154" t="s">
        <v>198</v>
      </c>
      <c r="B34" s="146">
        <f>+E34</f>
        <v>1400</v>
      </c>
      <c r="C34" s="25">
        <v>1000</v>
      </c>
      <c r="D34" s="146">
        <f t="shared" si="0"/>
        <v>400</v>
      </c>
      <c r="E34" s="146">
        <f t="shared" si="1"/>
        <v>1400</v>
      </c>
      <c r="F34" s="146"/>
      <c r="G34" s="146"/>
      <c r="H34" s="146"/>
      <c r="I34" s="146"/>
      <c r="J34" s="146"/>
      <c r="K34" s="146"/>
      <c r="L34" s="146"/>
      <c r="M34" s="146"/>
    </row>
    <row r="35" spans="1:16" x14ac:dyDescent="0.2">
      <c r="A35" s="154" t="s">
        <v>40</v>
      </c>
      <c r="B35" s="24">
        <v>1500</v>
      </c>
      <c r="C35" s="25">
        <v>1500</v>
      </c>
      <c r="D35" s="146">
        <f t="shared" si="0"/>
        <v>600</v>
      </c>
      <c r="E35" s="146">
        <f t="shared" si="1"/>
        <v>2100</v>
      </c>
      <c r="F35" s="146"/>
      <c r="G35" s="146"/>
      <c r="H35" s="146"/>
      <c r="I35" s="146"/>
      <c r="J35" s="146"/>
      <c r="K35" s="146"/>
      <c r="L35" s="146"/>
      <c r="M35" s="146"/>
    </row>
    <row r="36" spans="1:16" x14ac:dyDescent="0.2">
      <c r="A36" s="292" t="s">
        <v>42</v>
      </c>
      <c r="B36" s="294">
        <v>615</v>
      </c>
      <c r="C36" s="295">
        <f>+F36+J36+F36</f>
        <v>1537.5</v>
      </c>
      <c r="D36" s="294">
        <f t="shared" si="0"/>
        <v>615</v>
      </c>
      <c r="E36" s="294">
        <f>+C36+D36</f>
        <v>2152.5</v>
      </c>
      <c r="F36" s="146">
        <v>500</v>
      </c>
      <c r="G36" s="146">
        <f>+F36/240</f>
        <v>2.0833333333333335</v>
      </c>
      <c r="H36" s="146">
        <f>+G36*1.5</f>
        <v>3.125</v>
      </c>
      <c r="I36" s="146">
        <f>+G36*2</f>
        <v>4.166666666666667</v>
      </c>
      <c r="J36" s="146">
        <f>+(H36*44)+(I36*96)</f>
        <v>537.5</v>
      </c>
      <c r="K36" s="146"/>
      <c r="L36" s="146"/>
      <c r="M36" s="146"/>
    </row>
    <row r="37" spans="1:16" x14ac:dyDescent="0.2">
      <c r="A37" s="292" t="s">
        <v>648</v>
      </c>
      <c r="B37" s="294">
        <f>+E37</f>
        <v>3874.5</v>
      </c>
      <c r="C37" s="295">
        <f>+F37+J37</f>
        <v>2767.5</v>
      </c>
      <c r="D37" s="294">
        <f t="shared" si="0"/>
        <v>1107</v>
      </c>
      <c r="E37" s="294">
        <f t="shared" si="1"/>
        <v>3874.5</v>
      </c>
      <c r="F37" s="146">
        <v>1800</v>
      </c>
      <c r="G37" s="146">
        <f>+F37/240</f>
        <v>7.5</v>
      </c>
      <c r="H37" s="146">
        <f>+G37*1.5</f>
        <v>11.25</v>
      </c>
      <c r="I37" s="146">
        <f>+G37*2</f>
        <v>15</v>
      </c>
      <c r="J37" s="146">
        <f>+(H37*22)+(I37*48)</f>
        <v>967.5</v>
      </c>
      <c r="K37" s="146"/>
      <c r="L37" s="146"/>
      <c r="M37" s="146"/>
    </row>
    <row r="38" spans="1:16" x14ac:dyDescent="0.2">
      <c r="A38" s="154" t="s">
        <v>43</v>
      </c>
      <c r="B38" s="24">
        <v>350</v>
      </c>
      <c r="C38" s="25">
        <v>370</v>
      </c>
      <c r="D38" s="146">
        <f t="shared" si="0"/>
        <v>148</v>
      </c>
      <c r="E38" s="146">
        <f t="shared" si="1"/>
        <v>518</v>
      </c>
      <c r="F38" s="146"/>
      <c r="G38" s="146"/>
      <c r="H38" s="146"/>
      <c r="I38" s="146"/>
      <c r="J38" s="146"/>
      <c r="K38" s="146"/>
      <c r="L38" s="146"/>
      <c r="M38" s="146"/>
    </row>
    <row r="39" spans="1:16" x14ac:dyDescent="0.2">
      <c r="A39" s="154" t="s">
        <v>44</v>
      </c>
      <c r="B39" s="24">
        <v>850</v>
      </c>
      <c r="C39" s="25"/>
      <c r="D39" s="146"/>
      <c r="E39" s="146"/>
      <c r="F39" s="146"/>
      <c r="G39" s="146"/>
      <c r="H39" s="146"/>
      <c r="I39" s="146"/>
      <c r="J39" s="146"/>
      <c r="K39" s="146"/>
      <c r="L39" s="146"/>
      <c r="M39" s="146"/>
    </row>
    <row r="40" spans="1:16" x14ac:dyDescent="0.2">
      <c r="A40" s="154" t="s">
        <v>49</v>
      </c>
      <c r="B40" s="24">
        <v>130</v>
      </c>
      <c r="D40" s="146"/>
      <c r="E40" s="146"/>
      <c r="F40" s="146"/>
      <c r="G40" s="146"/>
      <c r="H40" s="146"/>
      <c r="I40" s="146"/>
      <c r="J40" s="146"/>
      <c r="K40" s="146"/>
      <c r="L40" s="146"/>
      <c r="M40" s="146"/>
    </row>
    <row r="41" spans="1:16" x14ac:dyDescent="0.2">
      <c r="A41" s="154" t="s">
        <v>52</v>
      </c>
      <c r="B41" s="24">
        <v>1.25</v>
      </c>
      <c r="C41" s="155"/>
      <c r="D41" s="146"/>
      <c r="E41" s="146"/>
      <c r="F41" s="146"/>
      <c r="G41" s="146"/>
      <c r="H41" s="146"/>
      <c r="I41" s="146"/>
      <c r="J41" s="146"/>
      <c r="K41" s="146"/>
      <c r="L41" s="146"/>
      <c r="M41" s="146"/>
    </row>
    <row r="42" spans="1:16" x14ac:dyDescent="0.2">
      <c r="A42" s="154" t="s">
        <v>610</v>
      </c>
      <c r="B42" s="24">
        <v>3200</v>
      </c>
      <c r="C42" s="155"/>
      <c r="D42" s="146"/>
      <c r="E42" s="146"/>
      <c r="F42" s="146"/>
      <c r="G42" s="146"/>
      <c r="H42" s="146"/>
      <c r="I42" s="146"/>
      <c r="J42" s="146"/>
      <c r="K42" s="146"/>
      <c r="L42" s="146"/>
      <c r="M42" s="146"/>
      <c r="N42" s="146"/>
      <c r="O42" s="146"/>
      <c r="P42" s="146"/>
    </row>
    <row r="43" spans="1:16" x14ac:dyDescent="0.2">
      <c r="A43" s="24" t="s">
        <v>46</v>
      </c>
      <c r="B43" s="155">
        <v>5000</v>
      </c>
      <c r="D43" s="146"/>
      <c r="E43" s="146"/>
      <c r="F43" s="146"/>
      <c r="G43" s="146"/>
      <c r="H43" s="146"/>
      <c r="I43" s="146"/>
      <c r="J43" s="146"/>
      <c r="K43" s="146"/>
      <c r="L43" s="146"/>
      <c r="M43" s="146"/>
      <c r="N43" s="146"/>
      <c r="O43" s="146"/>
      <c r="P43" s="146"/>
    </row>
    <row r="44" spans="1:16" x14ac:dyDescent="0.2">
      <c r="A44" s="24" t="s">
        <v>47</v>
      </c>
      <c r="B44" s="155">
        <v>11000</v>
      </c>
      <c r="D44" s="146"/>
      <c r="E44" s="146"/>
      <c r="F44" s="146"/>
      <c r="G44" s="146"/>
      <c r="H44" s="146"/>
      <c r="I44" s="146"/>
      <c r="J44" s="146"/>
      <c r="K44" s="146"/>
      <c r="L44" s="146"/>
      <c r="M44" s="146"/>
      <c r="N44" s="146"/>
      <c r="O44" s="146"/>
      <c r="P44" s="146"/>
    </row>
    <row r="45" spans="1:16" x14ac:dyDescent="0.2">
      <c r="A45" s="24" t="s">
        <v>48</v>
      </c>
      <c r="B45" s="155">
        <v>2500</v>
      </c>
      <c r="D45" s="146"/>
      <c r="E45" s="146"/>
      <c r="F45" s="146"/>
      <c r="G45" s="146"/>
      <c r="H45" s="146"/>
      <c r="I45" s="146"/>
      <c r="J45" s="146"/>
      <c r="K45" s="146"/>
      <c r="L45" s="146"/>
      <c r="M45" s="146"/>
      <c r="N45" s="146"/>
      <c r="O45" s="146"/>
      <c r="P45" s="146"/>
    </row>
    <row r="46" spans="1:16" x14ac:dyDescent="0.2">
      <c r="A46" s="24" t="s">
        <v>51</v>
      </c>
      <c r="B46" s="155">
        <v>6500</v>
      </c>
      <c r="D46" s="146"/>
      <c r="E46" s="128"/>
      <c r="F46" s="128"/>
      <c r="G46" s="146"/>
      <c r="H46" s="146"/>
      <c r="I46" s="146"/>
      <c r="J46" s="146"/>
      <c r="K46" s="146"/>
      <c r="L46" s="146"/>
      <c r="M46" s="146"/>
      <c r="N46" s="146"/>
      <c r="O46" s="146"/>
      <c r="P46" s="146"/>
    </row>
    <row r="47" spans="1:16" x14ac:dyDescent="0.2">
      <c r="A47" s="24" t="s">
        <v>56</v>
      </c>
      <c r="B47" s="155">
        <v>700</v>
      </c>
      <c r="D47" s="146"/>
      <c r="E47" s="146"/>
      <c r="F47" s="128"/>
      <c r="G47" s="146"/>
      <c r="H47" s="146"/>
      <c r="I47" s="146"/>
      <c r="J47" s="146"/>
      <c r="K47" s="146"/>
      <c r="L47" s="146"/>
      <c r="M47" s="146"/>
      <c r="N47" s="146"/>
      <c r="O47" s="146"/>
      <c r="P47" s="146"/>
    </row>
    <row r="48" spans="1:16" x14ac:dyDescent="0.2">
      <c r="A48" s="24" t="s">
        <v>56</v>
      </c>
      <c r="B48" s="155">
        <v>700</v>
      </c>
      <c r="D48" s="146"/>
      <c r="E48" s="146"/>
      <c r="F48" s="146"/>
      <c r="G48" s="146"/>
      <c r="H48" s="146"/>
      <c r="I48" s="146"/>
      <c r="J48" s="146"/>
      <c r="K48" s="146"/>
      <c r="L48" s="146"/>
      <c r="M48" s="146"/>
      <c r="N48" s="146"/>
      <c r="O48" s="146"/>
      <c r="P48" s="146"/>
    </row>
    <row r="49" spans="1:16" x14ac:dyDescent="0.2">
      <c r="A49" s="242" t="s">
        <v>613</v>
      </c>
      <c r="B49" s="257">
        <v>0</v>
      </c>
      <c r="D49" s="146"/>
      <c r="E49" s="146"/>
      <c r="F49" s="146"/>
      <c r="G49" s="146"/>
      <c r="H49" s="146"/>
      <c r="I49" s="146"/>
      <c r="J49" s="146"/>
      <c r="K49" s="146"/>
      <c r="L49" s="146"/>
      <c r="M49" s="146"/>
      <c r="N49" s="146"/>
      <c r="O49" s="146"/>
      <c r="P49" s="146"/>
    </row>
    <row r="50" spans="1:16" x14ac:dyDescent="0.2">
      <c r="A50" s="154" t="s">
        <v>199</v>
      </c>
      <c r="B50" s="24">
        <v>35</v>
      </c>
      <c r="C50" s="155"/>
      <c r="D50" s="146"/>
      <c r="E50" s="146"/>
      <c r="F50" s="146"/>
      <c r="G50" s="146"/>
      <c r="H50" s="146"/>
      <c r="I50" s="146"/>
      <c r="J50" s="146"/>
      <c r="K50" s="146"/>
      <c r="L50" s="146"/>
      <c r="M50" s="146"/>
      <c r="N50" s="146"/>
      <c r="O50" s="146"/>
      <c r="P50" s="146"/>
    </row>
    <row r="51" spans="1:16" x14ac:dyDescent="0.2">
      <c r="A51" s="154" t="s">
        <v>611</v>
      </c>
      <c r="B51" s="24">
        <v>1800</v>
      </c>
      <c r="C51" s="155"/>
      <c r="D51" s="146"/>
      <c r="E51" s="146"/>
      <c r="F51" s="146"/>
      <c r="G51" s="146"/>
      <c r="H51" s="146"/>
      <c r="I51" s="146"/>
      <c r="J51" s="146"/>
      <c r="K51" s="146"/>
      <c r="L51" s="146"/>
      <c r="M51" s="146"/>
      <c r="N51" s="146"/>
      <c r="O51" s="146"/>
      <c r="P51" s="146"/>
    </row>
    <row r="52" spans="1:16" x14ac:dyDescent="0.2">
      <c r="B52" s="146"/>
      <c r="C52" s="146"/>
      <c r="D52" s="146"/>
      <c r="E52" s="146"/>
      <c r="F52" s="146"/>
      <c r="G52" s="146"/>
      <c r="H52" s="146"/>
      <c r="I52" s="146"/>
      <c r="J52" s="146"/>
      <c r="K52" s="146"/>
      <c r="L52" s="146"/>
      <c r="M52" s="146"/>
      <c r="N52" s="146"/>
      <c r="O52" s="146"/>
      <c r="P52" s="146"/>
    </row>
    <row r="53" spans="1:16" x14ac:dyDescent="0.2">
      <c r="A53" s="24" t="s">
        <v>612</v>
      </c>
      <c r="B53" s="146"/>
      <c r="C53" s="146"/>
      <c r="D53" s="146"/>
      <c r="E53" s="146"/>
      <c r="F53" s="146"/>
      <c r="G53" s="146"/>
      <c r="H53" s="146"/>
      <c r="I53" s="146"/>
      <c r="J53" s="146"/>
      <c r="K53" s="146"/>
      <c r="L53" s="146"/>
      <c r="M53" s="146"/>
      <c r="N53" s="146"/>
      <c r="O53" s="146"/>
      <c r="P53" s="146"/>
    </row>
    <row r="54" spans="1:16" x14ac:dyDescent="0.2">
      <c r="A54" s="154" t="s">
        <v>160</v>
      </c>
      <c r="B54" s="24">
        <v>3000</v>
      </c>
      <c r="C54" s="25"/>
      <c r="D54" s="146"/>
      <c r="E54" s="146"/>
      <c r="F54" s="146"/>
      <c r="G54" s="146"/>
      <c r="H54" s="146"/>
      <c r="I54" s="146"/>
      <c r="J54" s="146"/>
      <c r="K54" s="146"/>
      <c r="L54" s="146"/>
      <c r="M54" s="146"/>
      <c r="N54" s="146"/>
      <c r="O54" s="146"/>
      <c r="P54" s="146"/>
    </row>
    <row r="55" spans="1:16" x14ac:dyDescent="0.2">
      <c r="A55" s="154" t="s">
        <v>163</v>
      </c>
      <c r="B55" s="146">
        <v>1500</v>
      </c>
      <c r="C55" s="146"/>
      <c r="D55" s="146"/>
      <c r="E55" s="146"/>
      <c r="F55" s="146"/>
      <c r="G55" s="146"/>
      <c r="H55" s="146"/>
      <c r="I55" s="146"/>
      <c r="J55" s="146"/>
      <c r="K55" s="146"/>
      <c r="L55" s="146"/>
      <c r="M55" s="146"/>
    </row>
    <row r="56" spans="1:16" x14ac:dyDescent="0.2">
      <c r="A56" s="154" t="s">
        <v>164</v>
      </c>
      <c r="B56" s="146">
        <v>2500</v>
      </c>
      <c r="C56" s="146"/>
      <c r="D56" s="146"/>
      <c r="E56" s="146"/>
      <c r="F56" s="146"/>
      <c r="G56" s="146"/>
      <c r="H56" s="146"/>
      <c r="I56" s="146"/>
      <c r="J56" s="146"/>
      <c r="K56" s="146"/>
      <c r="L56" s="146"/>
      <c r="M56" s="146"/>
    </row>
    <row r="57" spans="1:16" x14ac:dyDescent="0.2">
      <c r="A57" s="154" t="s">
        <v>57</v>
      </c>
      <c r="B57" s="146">
        <v>1500</v>
      </c>
      <c r="C57" s="146"/>
      <c r="D57" s="146"/>
      <c r="E57" s="146"/>
      <c r="F57" s="146"/>
      <c r="G57" s="146"/>
      <c r="H57" s="146"/>
      <c r="I57" s="146"/>
      <c r="J57" s="146"/>
      <c r="K57" s="146"/>
      <c r="L57" s="146"/>
      <c r="M57" s="146"/>
    </row>
    <row r="58" spans="1:16" x14ac:dyDescent="0.2">
      <c r="A58" s="154" t="s">
        <v>200</v>
      </c>
      <c r="B58" s="146">
        <v>950</v>
      </c>
      <c r="C58" s="146"/>
      <c r="D58" s="146"/>
      <c r="E58" s="146"/>
      <c r="F58" s="146"/>
      <c r="G58" s="146"/>
      <c r="H58" s="146"/>
      <c r="I58" s="146"/>
      <c r="J58" s="146"/>
      <c r="K58" s="146"/>
      <c r="L58" s="146"/>
      <c r="M58" s="146"/>
    </row>
    <row r="59" spans="1:16" x14ac:dyDescent="0.2">
      <c r="A59" s="154" t="s">
        <v>201</v>
      </c>
      <c r="B59" s="146">
        <v>2500</v>
      </c>
      <c r="C59" s="146"/>
      <c r="D59" s="146"/>
      <c r="E59" s="146"/>
      <c r="F59" s="146"/>
      <c r="G59" s="146"/>
      <c r="H59" s="146"/>
      <c r="I59" s="146"/>
      <c r="J59" s="146"/>
      <c r="K59" s="146"/>
      <c r="L59" s="146"/>
      <c r="M59" s="146"/>
    </row>
    <row r="60" spans="1:16" x14ac:dyDescent="0.2">
      <c r="A60" s="154" t="s">
        <v>165</v>
      </c>
      <c r="B60" s="146">
        <v>2500</v>
      </c>
      <c r="C60" s="146"/>
      <c r="D60" s="146"/>
      <c r="E60" s="146"/>
      <c r="F60" s="146"/>
      <c r="G60" s="146"/>
      <c r="H60" s="146"/>
      <c r="I60" s="146"/>
      <c r="J60" s="146"/>
      <c r="K60" s="146"/>
      <c r="L60" s="146"/>
      <c r="M60" s="146"/>
    </row>
    <row r="61" spans="1:16" x14ac:dyDescent="0.2">
      <c r="A61" s="154" t="s">
        <v>54</v>
      </c>
      <c r="B61" s="146">
        <v>1500</v>
      </c>
      <c r="C61" s="146"/>
      <c r="D61" s="146"/>
      <c r="E61" s="146"/>
      <c r="F61" s="146"/>
      <c r="G61" s="146"/>
      <c r="H61" s="146"/>
      <c r="I61" s="146"/>
      <c r="J61" s="146"/>
      <c r="K61" s="146"/>
      <c r="L61" s="146"/>
      <c r="M61" s="146"/>
    </row>
    <row r="62" spans="1:16" x14ac:dyDescent="0.2">
      <c r="A62" s="154" t="s">
        <v>42</v>
      </c>
      <c r="B62" s="146">
        <v>680</v>
      </c>
      <c r="C62" s="146"/>
      <c r="D62" s="146"/>
      <c r="E62" s="146"/>
      <c r="F62" s="146"/>
      <c r="G62" s="146"/>
      <c r="H62" s="146"/>
      <c r="I62" s="146"/>
      <c r="J62" s="146"/>
      <c r="K62" s="146"/>
      <c r="L62" s="146"/>
      <c r="M62" s="146"/>
    </row>
    <row r="63" spans="1:16" x14ac:dyDescent="0.2">
      <c r="A63" s="154" t="s">
        <v>166</v>
      </c>
      <c r="B63" s="146">
        <v>2500</v>
      </c>
      <c r="C63" s="146"/>
      <c r="D63" s="146"/>
      <c r="E63" s="146"/>
      <c r="F63" s="146"/>
      <c r="G63" s="146"/>
      <c r="H63" s="146"/>
      <c r="I63" s="146"/>
      <c r="J63" s="146"/>
      <c r="K63" s="146"/>
      <c r="L63" s="146"/>
      <c r="M63" s="146"/>
    </row>
    <row r="64" spans="1:16" x14ac:dyDescent="0.2">
      <c r="A64" s="154" t="s">
        <v>55</v>
      </c>
      <c r="B64" s="146">
        <v>1500</v>
      </c>
      <c r="C64" s="146"/>
      <c r="D64" s="146"/>
      <c r="E64" s="146"/>
      <c r="F64" s="146"/>
      <c r="G64" s="146"/>
      <c r="H64" s="146"/>
      <c r="I64" s="146"/>
      <c r="J64" s="146"/>
      <c r="K64" s="146"/>
      <c r="L64" s="146"/>
      <c r="M64" s="146"/>
    </row>
    <row r="65" spans="1:13" x14ac:dyDescent="0.2">
      <c r="A65" s="154" t="s">
        <v>43</v>
      </c>
      <c r="B65" s="146">
        <v>350</v>
      </c>
      <c r="C65" s="146"/>
      <c r="D65" s="146"/>
      <c r="E65" s="146"/>
      <c r="F65" s="146"/>
      <c r="G65" s="146"/>
      <c r="H65" s="146"/>
      <c r="I65" s="146"/>
      <c r="J65" s="146"/>
      <c r="K65" s="146"/>
      <c r="L65" s="146"/>
      <c r="M65" s="146"/>
    </row>
    <row r="66" spans="1:13" x14ac:dyDescent="0.2">
      <c r="A66" s="154" t="s">
        <v>44</v>
      </c>
      <c r="B66" s="146">
        <v>850</v>
      </c>
      <c r="C66" s="146"/>
      <c r="D66" s="146"/>
      <c r="E66" s="146"/>
      <c r="F66" s="146"/>
      <c r="G66" s="146"/>
      <c r="H66" s="146"/>
      <c r="I66" s="146"/>
      <c r="J66" s="146"/>
      <c r="K66" s="146"/>
      <c r="L66" s="146"/>
      <c r="M66" s="146"/>
    </row>
    <row r="67" spans="1:13" x14ac:dyDescent="0.2">
      <c r="A67" s="24" t="s">
        <v>58</v>
      </c>
      <c r="B67" s="146">
        <v>1500</v>
      </c>
      <c r="C67" s="146"/>
      <c r="D67" s="146"/>
      <c r="E67" s="146"/>
      <c r="F67" s="146"/>
      <c r="G67" s="146"/>
      <c r="H67" s="146"/>
      <c r="I67" s="146"/>
      <c r="J67" s="146"/>
      <c r="K67" s="146"/>
      <c r="L67" s="146"/>
      <c r="M67" s="146"/>
    </row>
    <row r="68" spans="1:13" x14ac:dyDescent="0.2">
      <c r="A68" s="24" t="s">
        <v>59</v>
      </c>
      <c r="B68" s="146">
        <v>2500</v>
      </c>
      <c r="C68" s="146"/>
      <c r="D68" s="146"/>
      <c r="E68" s="146"/>
      <c r="F68" s="146"/>
      <c r="G68" s="146"/>
      <c r="H68" s="146"/>
      <c r="I68" s="146"/>
      <c r="J68" s="146"/>
      <c r="K68" s="146"/>
      <c r="L68" s="146"/>
      <c r="M68" s="146"/>
    </row>
    <row r="69" spans="1:13" x14ac:dyDescent="0.2">
      <c r="A69" s="24" t="s">
        <v>60</v>
      </c>
      <c r="B69" s="146">
        <v>2500</v>
      </c>
      <c r="C69" s="146"/>
      <c r="D69" s="146"/>
      <c r="E69" s="146"/>
      <c r="F69" s="146"/>
      <c r="G69" s="146"/>
      <c r="H69" s="146"/>
      <c r="I69" s="146"/>
      <c r="J69" s="146"/>
      <c r="K69" s="146"/>
      <c r="L69" s="146"/>
      <c r="M69" s="146"/>
    </row>
    <row r="70" spans="1:13" x14ac:dyDescent="0.2">
      <c r="A70" s="24" t="s">
        <v>46</v>
      </c>
      <c r="B70" s="155">
        <f>500*12</f>
        <v>6000</v>
      </c>
      <c r="C70" s="146"/>
      <c r="D70" s="146"/>
      <c r="E70" s="146"/>
      <c r="F70" s="146"/>
      <c r="G70" s="146"/>
      <c r="H70" s="146"/>
      <c r="I70" s="146"/>
      <c r="J70" s="146"/>
      <c r="K70" s="146"/>
      <c r="L70" s="146"/>
      <c r="M70" s="146"/>
    </row>
    <row r="71" spans="1:13" x14ac:dyDescent="0.2">
      <c r="A71" s="24" t="s">
        <v>61</v>
      </c>
      <c r="B71" s="155">
        <v>36000</v>
      </c>
      <c r="C71" s="146"/>
      <c r="D71" s="146"/>
      <c r="E71" s="146"/>
      <c r="F71" s="146"/>
      <c r="G71" s="146"/>
      <c r="H71" s="146"/>
      <c r="I71" s="146"/>
      <c r="J71" s="146"/>
      <c r="K71" s="146"/>
      <c r="L71" s="146"/>
      <c r="M71" s="146"/>
    </row>
    <row r="72" spans="1:13" x14ac:dyDescent="0.2">
      <c r="A72" s="24" t="s">
        <v>62</v>
      </c>
      <c r="B72" s="155">
        <f>500*12</f>
        <v>6000</v>
      </c>
      <c r="C72" s="146"/>
      <c r="D72" s="146"/>
      <c r="E72" s="146"/>
      <c r="F72" s="146"/>
      <c r="G72" s="146"/>
      <c r="H72" s="146"/>
      <c r="I72" s="146"/>
      <c r="J72" s="146"/>
      <c r="K72" s="146"/>
      <c r="L72" s="146"/>
      <c r="M72" s="146"/>
    </row>
    <row r="73" spans="1:13" x14ac:dyDescent="0.2">
      <c r="A73" s="24" t="s">
        <v>47</v>
      </c>
      <c r="B73" s="155">
        <f>200*12</f>
        <v>2400</v>
      </c>
      <c r="C73" s="146"/>
      <c r="D73" s="146"/>
      <c r="E73" s="146"/>
      <c r="F73" s="146"/>
      <c r="G73" s="146"/>
      <c r="H73" s="146"/>
      <c r="I73" s="146"/>
      <c r="J73" s="146"/>
      <c r="K73" s="146"/>
      <c r="L73" s="146"/>
      <c r="M73" s="146"/>
    </row>
    <row r="74" spans="1:13" x14ac:dyDescent="0.2">
      <c r="A74" s="24" t="s">
        <v>48</v>
      </c>
      <c r="B74" s="155">
        <f>300*12</f>
        <v>3600</v>
      </c>
      <c r="C74" s="146"/>
      <c r="D74" s="146"/>
      <c r="E74" s="146"/>
      <c r="F74" s="146"/>
      <c r="G74" s="146"/>
      <c r="H74" s="146"/>
      <c r="I74" s="146"/>
      <c r="J74" s="146"/>
      <c r="K74" s="146"/>
      <c r="L74" s="146"/>
      <c r="M74" s="146"/>
    </row>
    <row r="75" spans="1:13" x14ac:dyDescent="0.2">
      <c r="A75" s="24" t="s">
        <v>63</v>
      </c>
      <c r="B75" s="155">
        <f>1500*12</f>
        <v>18000</v>
      </c>
      <c r="C75" s="146"/>
      <c r="D75" s="146"/>
      <c r="E75" s="146"/>
      <c r="F75" s="146"/>
      <c r="G75" s="146"/>
      <c r="H75" s="146"/>
      <c r="I75" s="146"/>
      <c r="J75" s="146"/>
      <c r="K75" s="146"/>
      <c r="L75" s="146"/>
      <c r="M75" s="146"/>
    </row>
    <row r="76" spans="1:13" x14ac:dyDescent="0.2">
      <c r="A76" s="24" t="s">
        <v>64</v>
      </c>
      <c r="B76" s="155">
        <v>12000</v>
      </c>
      <c r="C76" s="146"/>
      <c r="D76" s="146"/>
      <c r="E76" s="146"/>
      <c r="F76" s="146"/>
      <c r="G76" s="146"/>
      <c r="H76" s="146"/>
      <c r="I76" s="146"/>
      <c r="J76" s="146"/>
      <c r="K76" s="146"/>
      <c r="L76" s="146"/>
      <c r="M76" s="146"/>
    </row>
    <row r="77" spans="1:13" x14ac:dyDescent="0.2">
      <c r="A77" s="24" t="s">
        <v>65</v>
      </c>
      <c r="B77" s="155">
        <v>15000</v>
      </c>
      <c r="C77" s="146"/>
      <c r="D77" s="146"/>
      <c r="E77" s="146"/>
      <c r="F77" s="146"/>
      <c r="G77" s="146"/>
      <c r="H77" s="146"/>
      <c r="I77" s="146"/>
      <c r="J77" s="146"/>
      <c r="K77" s="146"/>
      <c r="L77" s="146"/>
      <c r="M77" s="146"/>
    </row>
    <row r="78" spans="1:13" x14ac:dyDescent="0.2">
      <c r="A78" s="24" t="s">
        <v>49</v>
      </c>
      <c r="B78" s="155">
        <v>1000</v>
      </c>
      <c r="C78" s="146"/>
      <c r="D78" s="146"/>
      <c r="E78" s="146"/>
      <c r="F78" s="146"/>
      <c r="G78" s="146"/>
      <c r="H78" s="146"/>
      <c r="I78" s="146"/>
      <c r="J78" s="146"/>
      <c r="K78" s="146"/>
      <c r="L78" s="146"/>
      <c r="M78" s="146"/>
    </row>
    <row r="79" spans="1:13" x14ac:dyDescent="0.2">
      <c r="A79" s="24" t="s">
        <v>133</v>
      </c>
      <c r="B79" s="155">
        <v>2000</v>
      </c>
      <c r="C79" s="146"/>
      <c r="D79" s="146"/>
      <c r="E79" s="146"/>
      <c r="F79" s="146"/>
      <c r="G79" s="146"/>
      <c r="H79" s="146"/>
      <c r="I79" s="146"/>
      <c r="J79" s="146"/>
      <c r="K79" s="146"/>
      <c r="L79" s="146"/>
      <c r="M79" s="146"/>
    </row>
    <row r="80" spans="1:13" x14ac:dyDescent="0.2">
      <c r="A80" s="24" t="s">
        <v>56</v>
      </c>
      <c r="B80" s="155">
        <v>1000</v>
      </c>
      <c r="C80" s="146"/>
      <c r="D80" s="146"/>
      <c r="E80" s="146"/>
      <c r="F80" s="146"/>
      <c r="G80" s="146"/>
      <c r="H80" s="146"/>
      <c r="I80" s="146"/>
      <c r="J80" s="146"/>
      <c r="K80" s="146"/>
      <c r="L80" s="146"/>
      <c r="M80" s="146"/>
    </row>
    <row r="81" spans="1:16" x14ac:dyDescent="0.2">
      <c r="B81" s="146"/>
      <c r="C81" s="146"/>
      <c r="D81" s="146"/>
      <c r="E81" s="146"/>
      <c r="F81" s="146"/>
      <c r="G81" s="146"/>
      <c r="H81" s="146"/>
      <c r="I81" s="146"/>
      <c r="J81" s="146"/>
      <c r="K81" s="146"/>
      <c r="L81" s="146"/>
      <c r="M81" s="146"/>
    </row>
    <row r="82" spans="1:16" x14ac:dyDescent="0.2">
      <c r="A82" s="24" t="s">
        <v>639</v>
      </c>
      <c r="B82" s="155">
        <f>6*20</f>
        <v>120</v>
      </c>
      <c r="C82" s="146"/>
      <c r="D82" s="146"/>
      <c r="E82" s="146"/>
      <c r="F82" s="146"/>
      <c r="G82" s="146"/>
      <c r="H82" s="146"/>
      <c r="I82" s="146"/>
      <c r="J82" s="146"/>
      <c r="K82" s="146"/>
      <c r="L82" s="146"/>
      <c r="M82" s="146"/>
    </row>
    <row r="83" spans="1:16" x14ac:dyDescent="0.2">
      <c r="A83" s="24" t="s">
        <v>640</v>
      </c>
      <c r="B83" s="155">
        <f>8*20</f>
        <v>160</v>
      </c>
      <c r="C83" s="146"/>
      <c r="D83" s="146"/>
      <c r="E83" s="146"/>
      <c r="F83" s="146"/>
      <c r="G83" s="146"/>
      <c r="H83" s="146"/>
      <c r="I83" s="146"/>
      <c r="J83" s="146"/>
      <c r="K83" s="146"/>
      <c r="L83" s="146"/>
      <c r="M83" s="146"/>
    </row>
    <row r="84" spans="1:16" x14ac:dyDescent="0.2">
      <c r="A84" s="24" t="s">
        <v>641</v>
      </c>
      <c r="B84" s="155">
        <f>3*20</f>
        <v>60</v>
      </c>
      <c r="C84" s="146"/>
      <c r="D84" s="146"/>
      <c r="E84" s="146"/>
      <c r="F84" s="146"/>
      <c r="G84" s="146"/>
      <c r="H84" s="146"/>
      <c r="I84" s="146"/>
      <c r="J84" s="146"/>
      <c r="K84" s="146"/>
      <c r="L84" s="146"/>
      <c r="M84" s="146"/>
    </row>
    <row r="85" spans="1:16" x14ac:dyDescent="0.2">
      <c r="B85" s="146"/>
      <c r="C85" s="146"/>
      <c r="D85" s="146"/>
      <c r="E85" s="146"/>
      <c r="F85" s="146"/>
      <c r="G85" s="146"/>
      <c r="H85" s="146"/>
      <c r="I85" s="146"/>
      <c r="J85" s="146"/>
      <c r="K85" s="146"/>
      <c r="L85" s="146"/>
      <c r="M85" s="146"/>
    </row>
    <row r="86" spans="1:16" x14ac:dyDescent="0.2">
      <c r="B86" s="146"/>
      <c r="C86" s="146"/>
      <c r="D86" s="146"/>
      <c r="E86" s="146"/>
      <c r="F86" s="146"/>
      <c r="G86" s="146"/>
      <c r="H86" s="146"/>
      <c r="I86" s="146"/>
      <c r="J86" s="146"/>
      <c r="K86" s="146"/>
      <c r="L86" s="146"/>
      <c r="M86" s="146"/>
    </row>
    <row r="87" spans="1:16" x14ac:dyDescent="0.2">
      <c r="B87" s="146"/>
      <c r="C87" s="146"/>
      <c r="D87" s="146"/>
      <c r="E87" s="146"/>
      <c r="F87" s="146"/>
      <c r="G87" s="146"/>
      <c r="H87" s="146"/>
      <c r="I87" s="146"/>
      <c r="J87" s="146"/>
      <c r="K87" s="146"/>
      <c r="L87" s="146"/>
      <c r="M87" s="146"/>
    </row>
    <row r="88" spans="1:16" x14ac:dyDescent="0.2">
      <c r="B88" s="146"/>
      <c r="C88" s="146"/>
      <c r="D88" s="146"/>
      <c r="E88" s="146"/>
      <c r="F88" s="146"/>
      <c r="G88" s="146"/>
      <c r="H88" s="146"/>
      <c r="I88" s="146"/>
      <c r="J88" s="146"/>
      <c r="K88" s="146"/>
      <c r="L88" s="146"/>
      <c r="M88" s="146"/>
      <c r="N88" s="146"/>
      <c r="O88" s="146"/>
      <c r="P88" s="146"/>
    </row>
    <row r="89" spans="1:16" x14ac:dyDescent="0.2">
      <c r="B89" s="146"/>
      <c r="C89" s="146"/>
      <c r="D89" s="146"/>
      <c r="E89" s="146"/>
      <c r="F89" s="146"/>
      <c r="G89" s="146"/>
      <c r="H89" s="146"/>
      <c r="I89" s="146"/>
      <c r="J89" s="146"/>
      <c r="K89" s="146"/>
      <c r="L89" s="146"/>
      <c r="M89" s="146"/>
      <c r="N89" s="146"/>
      <c r="O89" s="146"/>
      <c r="P89" s="146"/>
    </row>
    <row r="90" spans="1:16" x14ac:dyDescent="0.2">
      <c r="B90" s="146"/>
      <c r="C90" s="146"/>
      <c r="D90" s="146"/>
      <c r="E90" s="146"/>
      <c r="F90" s="146"/>
      <c r="G90" s="146"/>
      <c r="H90" s="146"/>
      <c r="I90" s="146"/>
      <c r="J90" s="146"/>
      <c r="K90" s="146"/>
      <c r="L90" s="146"/>
      <c r="M90" s="146"/>
      <c r="N90" s="146"/>
      <c r="O90" s="146"/>
      <c r="P90" s="146"/>
    </row>
    <row r="91" spans="1:16" x14ac:dyDescent="0.2">
      <c r="B91" s="146"/>
      <c r="C91" s="146"/>
      <c r="D91" s="146"/>
      <c r="E91" s="146"/>
      <c r="F91" s="146"/>
      <c r="G91" s="146"/>
      <c r="H91" s="146"/>
      <c r="I91" s="146"/>
      <c r="J91" s="146"/>
      <c r="K91" s="146"/>
      <c r="L91" s="146"/>
      <c r="M91" s="146"/>
      <c r="N91" s="146"/>
      <c r="O91" s="146"/>
      <c r="P91" s="146"/>
    </row>
    <row r="92" spans="1:16" x14ac:dyDescent="0.2">
      <c r="B92" s="146"/>
      <c r="C92" s="146"/>
      <c r="D92" s="146"/>
      <c r="E92" s="146"/>
      <c r="F92" s="146"/>
      <c r="G92" s="146"/>
      <c r="H92" s="146"/>
      <c r="I92" s="146"/>
      <c r="J92" s="146"/>
      <c r="K92" s="146"/>
      <c r="L92" s="146"/>
      <c r="M92" s="146"/>
      <c r="N92" s="146"/>
      <c r="O92" s="146"/>
      <c r="P92" s="146"/>
    </row>
    <row r="93" spans="1:16" x14ac:dyDescent="0.2">
      <c r="B93" s="146"/>
      <c r="C93" s="146"/>
      <c r="D93" s="146"/>
      <c r="E93" s="146"/>
      <c r="F93" s="146"/>
      <c r="G93" s="146"/>
      <c r="H93" s="146"/>
      <c r="I93" s="146"/>
      <c r="J93" s="146"/>
      <c r="K93" s="146"/>
      <c r="L93" s="146"/>
      <c r="M93" s="146"/>
      <c r="N93" s="146"/>
      <c r="O93" s="146"/>
      <c r="P93" s="146"/>
    </row>
    <row r="94" spans="1:16" x14ac:dyDescent="0.2">
      <c r="B94" s="146"/>
      <c r="C94" s="146"/>
      <c r="D94" s="146"/>
      <c r="E94" s="146"/>
      <c r="F94" s="146"/>
      <c r="G94" s="146"/>
      <c r="H94" s="146"/>
      <c r="I94" s="146"/>
      <c r="J94" s="146"/>
      <c r="K94" s="146"/>
      <c r="L94" s="146"/>
      <c r="M94" s="146"/>
      <c r="N94" s="146"/>
      <c r="O94" s="146"/>
      <c r="P94" s="146"/>
    </row>
    <row r="95" spans="1:16" x14ac:dyDescent="0.2">
      <c r="B95" s="146"/>
      <c r="C95" s="146"/>
      <c r="D95" s="146"/>
      <c r="E95" s="146"/>
      <c r="F95" s="146"/>
      <c r="G95" s="146"/>
      <c r="H95" s="146"/>
      <c r="I95" s="146"/>
      <c r="J95" s="146"/>
      <c r="K95" s="146"/>
      <c r="L95" s="146"/>
      <c r="M95" s="146"/>
      <c r="N95" s="146"/>
      <c r="O95" s="146"/>
      <c r="P95" s="146"/>
    </row>
    <row r="96" spans="1:16" x14ac:dyDescent="0.2">
      <c r="B96" s="146"/>
      <c r="C96" s="146"/>
      <c r="D96" s="146"/>
      <c r="E96" s="146"/>
      <c r="F96" s="146"/>
      <c r="G96" s="146"/>
      <c r="H96" s="146"/>
      <c r="I96" s="146"/>
      <c r="J96" s="146"/>
      <c r="K96" s="146"/>
      <c r="L96" s="146"/>
      <c r="M96" s="146"/>
      <c r="N96" s="146"/>
      <c r="O96" s="146"/>
      <c r="P96" s="146"/>
    </row>
    <row r="97" spans="2:16" x14ac:dyDescent="0.2">
      <c r="B97" s="146"/>
      <c r="C97" s="146"/>
      <c r="D97" s="146"/>
      <c r="E97" s="146"/>
      <c r="F97" s="146"/>
      <c r="G97" s="146"/>
      <c r="H97" s="146"/>
      <c r="I97" s="146"/>
      <c r="J97" s="146"/>
      <c r="K97" s="146"/>
      <c r="L97" s="146"/>
      <c r="M97" s="146"/>
      <c r="N97" s="146"/>
      <c r="O97" s="146"/>
      <c r="P97" s="146"/>
    </row>
    <row r="98" spans="2:16" x14ac:dyDescent="0.2">
      <c r="B98" s="146"/>
      <c r="C98" s="146"/>
      <c r="D98" s="146"/>
      <c r="E98" s="146"/>
      <c r="F98" s="146"/>
      <c r="G98" s="146"/>
      <c r="H98" s="146"/>
      <c r="I98" s="146"/>
      <c r="J98" s="146"/>
      <c r="K98" s="146"/>
      <c r="L98" s="146"/>
      <c r="M98" s="146"/>
      <c r="N98" s="146"/>
      <c r="O98" s="146"/>
      <c r="P98" s="146"/>
    </row>
    <row r="99" spans="2:16" x14ac:dyDescent="0.2">
      <c r="B99" s="146"/>
      <c r="C99" s="146"/>
      <c r="D99" s="146"/>
      <c r="E99" s="146"/>
      <c r="F99" s="146"/>
      <c r="G99" s="146"/>
      <c r="H99" s="146"/>
      <c r="I99" s="146"/>
      <c r="J99" s="146"/>
      <c r="K99" s="146"/>
      <c r="L99" s="146"/>
      <c r="M99" s="146"/>
      <c r="N99" s="146"/>
      <c r="O99" s="146"/>
      <c r="P99" s="146"/>
    </row>
    <row r="100" spans="2:16" x14ac:dyDescent="0.2">
      <c r="B100" s="146"/>
      <c r="C100" s="146"/>
      <c r="D100" s="146"/>
      <c r="E100" s="146"/>
      <c r="F100" s="146"/>
      <c r="G100" s="146"/>
      <c r="H100" s="146"/>
      <c r="I100" s="146"/>
      <c r="J100" s="146"/>
      <c r="K100" s="146"/>
      <c r="L100" s="146"/>
      <c r="M100" s="146"/>
      <c r="N100" s="146"/>
      <c r="O100" s="146"/>
      <c r="P100" s="146"/>
    </row>
    <row r="101" spans="2:16" x14ac:dyDescent="0.2">
      <c r="B101" s="146"/>
      <c r="C101" s="146"/>
      <c r="D101" s="146"/>
      <c r="E101" s="146"/>
      <c r="F101" s="146"/>
      <c r="G101" s="146"/>
      <c r="H101" s="146"/>
      <c r="I101" s="146"/>
      <c r="J101" s="146"/>
      <c r="K101" s="146"/>
      <c r="L101" s="146"/>
      <c r="M101" s="146"/>
      <c r="N101" s="146"/>
      <c r="O101" s="146"/>
      <c r="P101" s="146"/>
    </row>
    <row r="102" spans="2:16" x14ac:dyDescent="0.2">
      <c r="B102" s="146"/>
      <c r="C102" s="146"/>
      <c r="D102" s="146"/>
      <c r="E102" s="146"/>
      <c r="F102" s="146"/>
      <c r="G102" s="146"/>
      <c r="H102" s="146"/>
      <c r="I102" s="146"/>
      <c r="J102" s="146"/>
      <c r="K102" s="146"/>
      <c r="L102" s="146"/>
      <c r="M102" s="146"/>
      <c r="N102" s="146"/>
      <c r="O102" s="146"/>
      <c r="P102" s="146"/>
    </row>
    <row r="103" spans="2:16" x14ac:dyDescent="0.2">
      <c r="B103" s="146"/>
      <c r="C103" s="146"/>
      <c r="D103" s="146"/>
      <c r="E103" s="146"/>
      <c r="F103" s="146"/>
      <c r="G103" s="146"/>
      <c r="H103" s="146"/>
      <c r="I103" s="146"/>
      <c r="J103" s="146"/>
      <c r="K103" s="146"/>
      <c r="L103" s="146"/>
      <c r="M103" s="146"/>
      <c r="N103" s="146"/>
      <c r="O103" s="146"/>
      <c r="P103" s="146"/>
    </row>
    <row r="104" spans="2:16" x14ac:dyDescent="0.2">
      <c r="B104" s="146"/>
      <c r="C104" s="146"/>
      <c r="D104" s="146"/>
      <c r="E104" s="146"/>
      <c r="F104" s="146"/>
      <c r="G104" s="146"/>
      <c r="H104" s="146"/>
      <c r="I104" s="146"/>
      <c r="J104" s="146"/>
      <c r="K104" s="146"/>
      <c r="L104" s="146"/>
      <c r="M104" s="146"/>
      <c r="N104" s="146"/>
      <c r="O104" s="146"/>
      <c r="P104" s="146"/>
    </row>
    <row r="105" spans="2:16" x14ac:dyDescent="0.2">
      <c r="B105" s="146"/>
      <c r="C105" s="146"/>
      <c r="D105" s="146"/>
      <c r="E105" s="146"/>
      <c r="F105" s="146"/>
      <c r="G105" s="146"/>
      <c r="H105" s="146"/>
      <c r="I105" s="146"/>
      <c r="J105" s="146"/>
      <c r="K105" s="146"/>
      <c r="L105" s="146"/>
      <c r="M105" s="146"/>
      <c r="N105" s="146"/>
      <c r="O105" s="146"/>
      <c r="P105" s="146"/>
    </row>
    <row r="106" spans="2:16" x14ac:dyDescent="0.2">
      <c r="B106" s="146"/>
      <c r="C106" s="146"/>
      <c r="D106" s="146"/>
      <c r="E106" s="146"/>
      <c r="F106" s="146"/>
      <c r="G106" s="146"/>
      <c r="H106" s="146"/>
      <c r="I106" s="146"/>
      <c r="J106" s="146"/>
      <c r="K106" s="146"/>
      <c r="L106" s="146"/>
      <c r="M106" s="146"/>
      <c r="N106" s="146"/>
      <c r="O106" s="146"/>
      <c r="P106" s="146"/>
    </row>
    <row r="107" spans="2:16" x14ac:dyDescent="0.2">
      <c r="B107" s="146"/>
      <c r="C107" s="146"/>
      <c r="D107" s="146"/>
      <c r="E107" s="146"/>
      <c r="F107" s="146"/>
      <c r="G107" s="146"/>
      <c r="H107" s="146"/>
      <c r="I107" s="146"/>
      <c r="J107" s="146"/>
      <c r="K107" s="146"/>
      <c r="L107" s="146"/>
      <c r="M107" s="146"/>
      <c r="N107" s="146"/>
      <c r="O107" s="146"/>
      <c r="P107" s="146"/>
    </row>
    <row r="108" spans="2:16" x14ac:dyDescent="0.2">
      <c r="B108" s="146"/>
      <c r="C108" s="146"/>
      <c r="D108" s="146"/>
      <c r="E108" s="146"/>
      <c r="F108" s="146"/>
      <c r="G108" s="146"/>
      <c r="H108" s="146"/>
      <c r="I108" s="146"/>
      <c r="J108" s="146"/>
      <c r="K108" s="146"/>
      <c r="L108" s="146"/>
      <c r="M108" s="146"/>
      <c r="N108" s="146"/>
      <c r="O108" s="146"/>
      <c r="P108" s="146"/>
    </row>
    <row r="109" spans="2:16" x14ac:dyDescent="0.2">
      <c r="B109" s="146"/>
      <c r="C109" s="146"/>
      <c r="D109" s="146"/>
      <c r="E109" s="146"/>
      <c r="F109" s="146"/>
      <c r="G109" s="146"/>
      <c r="H109" s="146"/>
      <c r="I109" s="146"/>
      <c r="J109" s="146"/>
      <c r="K109" s="146"/>
      <c r="L109" s="146"/>
      <c r="M109" s="146"/>
      <c r="N109" s="146"/>
      <c r="O109" s="146"/>
      <c r="P109" s="146"/>
    </row>
    <row r="110" spans="2:16" x14ac:dyDescent="0.2">
      <c r="B110" s="146"/>
      <c r="C110" s="146"/>
      <c r="D110" s="146"/>
      <c r="E110" s="146"/>
      <c r="F110" s="146"/>
      <c r="G110" s="146"/>
      <c r="H110" s="146"/>
      <c r="I110" s="146"/>
      <c r="J110" s="146"/>
      <c r="K110" s="146"/>
      <c r="L110" s="146"/>
      <c r="M110" s="146"/>
      <c r="N110" s="146"/>
      <c r="O110" s="146"/>
      <c r="P110" s="146"/>
    </row>
    <row r="111" spans="2:16" x14ac:dyDescent="0.2">
      <c r="B111" s="146"/>
      <c r="C111" s="146"/>
      <c r="D111" s="146"/>
      <c r="E111" s="146"/>
      <c r="F111" s="146"/>
      <c r="G111" s="146"/>
      <c r="H111" s="146"/>
      <c r="I111" s="146"/>
      <c r="J111" s="146"/>
      <c r="K111" s="146"/>
      <c r="L111" s="146"/>
      <c r="M111" s="146"/>
      <c r="N111" s="146"/>
      <c r="O111" s="146"/>
      <c r="P111" s="146"/>
    </row>
    <row r="112" spans="2:16" x14ac:dyDescent="0.2">
      <c r="B112" s="146"/>
      <c r="C112" s="146"/>
      <c r="D112" s="146"/>
      <c r="E112" s="146"/>
      <c r="F112" s="146"/>
      <c r="G112" s="146"/>
      <c r="H112" s="146"/>
      <c r="I112" s="146"/>
      <c r="J112" s="146"/>
      <c r="K112" s="146"/>
      <c r="L112" s="146"/>
      <c r="M112" s="146"/>
      <c r="N112" s="146"/>
      <c r="O112" s="146"/>
      <c r="P112" s="146"/>
    </row>
    <row r="113" spans="2:16" x14ac:dyDescent="0.2">
      <c r="B113" s="146"/>
      <c r="C113" s="146"/>
      <c r="D113" s="146"/>
      <c r="E113" s="146"/>
      <c r="F113" s="146"/>
      <c r="G113" s="146"/>
      <c r="H113" s="146"/>
      <c r="I113" s="146"/>
      <c r="J113" s="146"/>
      <c r="K113" s="146"/>
      <c r="L113" s="146"/>
      <c r="M113" s="146"/>
      <c r="N113" s="146"/>
      <c r="O113" s="146"/>
      <c r="P113" s="146"/>
    </row>
    <row r="114" spans="2:16" x14ac:dyDescent="0.2">
      <c r="B114" s="146"/>
      <c r="C114" s="146"/>
      <c r="D114" s="146"/>
      <c r="E114" s="146"/>
      <c r="F114" s="146"/>
      <c r="G114" s="146"/>
      <c r="H114" s="146"/>
      <c r="I114" s="146"/>
      <c r="J114" s="146"/>
      <c r="K114" s="146"/>
      <c r="L114" s="146"/>
      <c r="M114" s="146"/>
      <c r="N114" s="146"/>
      <c r="O114" s="146"/>
      <c r="P114" s="146"/>
    </row>
    <row r="115" spans="2:16" x14ac:dyDescent="0.2">
      <c r="B115" s="146"/>
      <c r="C115" s="146"/>
      <c r="D115" s="146"/>
      <c r="E115" s="146"/>
      <c r="F115" s="146"/>
      <c r="G115" s="146"/>
      <c r="H115" s="146"/>
      <c r="I115" s="146"/>
      <c r="J115" s="146"/>
      <c r="K115" s="146"/>
      <c r="L115" s="146"/>
      <c r="M115" s="146"/>
      <c r="N115" s="146"/>
      <c r="O115" s="146"/>
      <c r="P115" s="146"/>
    </row>
    <row r="116" spans="2:16" x14ac:dyDescent="0.2">
      <c r="B116" s="146"/>
      <c r="C116" s="146"/>
      <c r="D116" s="146"/>
      <c r="E116" s="146"/>
      <c r="F116" s="146"/>
      <c r="G116" s="146"/>
      <c r="H116" s="146"/>
      <c r="I116" s="146"/>
      <c r="J116" s="146"/>
      <c r="K116" s="146"/>
      <c r="L116" s="146"/>
      <c r="M116" s="146"/>
      <c r="N116" s="146"/>
      <c r="O116" s="146"/>
      <c r="P116" s="146"/>
    </row>
    <row r="117" spans="2:16" x14ac:dyDescent="0.2">
      <c r="B117" s="146"/>
      <c r="C117" s="146"/>
      <c r="D117" s="146"/>
      <c r="E117" s="146"/>
      <c r="F117" s="146"/>
      <c r="G117" s="146"/>
      <c r="H117" s="146"/>
      <c r="I117" s="146"/>
      <c r="J117" s="146"/>
      <c r="K117" s="146"/>
      <c r="L117" s="146"/>
      <c r="M117" s="146"/>
      <c r="N117" s="146"/>
      <c r="O117" s="146"/>
      <c r="P117" s="146"/>
    </row>
    <row r="118" spans="2:16" x14ac:dyDescent="0.2">
      <c r="B118" s="146"/>
      <c r="C118" s="146"/>
      <c r="D118" s="146"/>
      <c r="E118" s="146"/>
      <c r="F118" s="146"/>
      <c r="G118" s="146"/>
      <c r="H118" s="146"/>
      <c r="I118" s="146"/>
      <c r="J118" s="146"/>
      <c r="K118" s="146"/>
      <c r="L118" s="146"/>
      <c r="M118" s="146"/>
      <c r="N118" s="146"/>
      <c r="O118" s="146"/>
      <c r="P118" s="146"/>
    </row>
    <row r="119" spans="2:16" x14ac:dyDescent="0.2">
      <c r="B119" s="146"/>
      <c r="C119" s="146"/>
      <c r="D119" s="146"/>
      <c r="E119" s="146"/>
      <c r="F119" s="146"/>
      <c r="G119" s="146"/>
      <c r="H119" s="146"/>
      <c r="I119" s="146"/>
      <c r="J119" s="146"/>
      <c r="K119" s="146"/>
      <c r="L119" s="146"/>
      <c r="M119" s="146"/>
      <c r="N119" s="146"/>
      <c r="O119" s="146"/>
      <c r="P119" s="146"/>
    </row>
    <row r="120" spans="2:16" x14ac:dyDescent="0.2">
      <c r="B120" s="146"/>
      <c r="C120" s="146"/>
      <c r="D120" s="146"/>
      <c r="E120" s="146"/>
      <c r="F120" s="146"/>
      <c r="G120" s="146"/>
      <c r="H120" s="146"/>
      <c r="I120" s="146"/>
      <c r="J120" s="146"/>
      <c r="K120" s="146"/>
      <c r="L120" s="146"/>
      <c r="M120" s="146"/>
      <c r="N120" s="146"/>
      <c r="O120" s="146"/>
      <c r="P120" s="146"/>
    </row>
    <row r="121" spans="2:16" x14ac:dyDescent="0.2">
      <c r="B121" s="146"/>
      <c r="C121" s="146"/>
      <c r="D121" s="146"/>
      <c r="E121" s="146"/>
      <c r="F121" s="146"/>
      <c r="G121" s="146"/>
      <c r="H121" s="146"/>
      <c r="I121" s="146"/>
      <c r="J121" s="146"/>
      <c r="K121" s="146"/>
      <c r="L121" s="146"/>
      <c r="M121" s="146"/>
      <c r="N121" s="146"/>
      <c r="O121" s="146"/>
      <c r="P121" s="146"/>
    </row>
    <row r="122" spans="2:16" x14ac:dyDescent="0.2">
      <c r="B122" s="146"/>
      <c r="C122" s="146"/>
      <c r="D122" s="146"/>
      <c r="E122" s="146"/>
      <c r="F122" s="146"/>
      <c r="G122" s="146"/>
      <c r="H122" s="146"/>
      <c r="I122" s="146"/>
      <c r="J122" s="146"/>
      <c r="K122" s="146"/>
      <c r="L122" s="146"/>
      <c r="M122" s="146"/>
      <c r="N122" s="146"/>
      <c r="O122" s="146"/>
      <c r="P122" s="146"/>
    </row>
    <row r="123" spans="2:16" x14ac:dyDescent="0.2">
      <c r="B123" s="146"/>
      <c r="C123" s="146"/>
      <c r="D123" s="146"/>
      <c r="E123" s="146"/>
      <c r="F123" s="146"/>
      <c r="G123" s="146"/>
      <c r="H123" s="146"/>
      <c r="I123" s="146"/>
      <c r="J123" s="146"/>
      <c r="K123" s="146"/>
      <c r="L123" s="146"/>
      <c r="M123" s="146"/>
      <c r="N123" s="146"/>
      <c r="O123" s="146"/>
      <c r="P123" s="146"/>
    </row>
    <row r="124" spans="2:16" x14ac:dyDescent="0.2">
      <c r="B124" s="146"/>
      <c r="C124" s="146"/>
      <c r="D124" s="146"/>
      <c r="E124" s="146"/>
      <c r="F124" s="146"/>
      <c r="G124" s="146"/>
      <c r="H124" s="146"/>
      <c r="I124" s="146"/>
      <c r="J124" s="146"/>
      <c r="K124" s="146"/>
      <c r="L124" s="146"/>
      <c r="M124" s="146"/>
      <c r="N124" s="146"/>
      <c r="O124" s="146"/>
      <c r="P124" s="146"/>
    </row>
    <row r="125" spans="2:16" x14ac:dyDescent="0.2">
      <c r="B125" s="146"/>
      <c r="C125" s="146"/>
      <c r="D125" s="146"/>
      <c r="E125" s="146"/>
      <c r="F125" s="146"/>
      <c r="G125" s="146"/>
      <c r="H125" s="146"/>
      <c r="I125" s="146"/>
      <c r="J125" s="146"/>
      <c r="K125" s="146"/>
      <c r="L125" s="146"/>
      <c r="M125" s="146"/>
      <c r="N125" s="146"/>
      <c r="O125" s="146"/>
      <c r="P125" s="146"/>
    </row>
    <row r="126" spans="2:16" x14ac:dyDescent="0.2">
      <c r="B126" s="146"/>
      <c r="C126" s="146"/>
      <c r="D126" s="146"/>
      <c r="E126" s="146"/>
      <c r="F126" s="146"/>
      <c r="G126" s="146"/>
      <c r="H126" s="146"/>
      <c r="I126" s="146"/>
      <c r="J126" s="146"/>
      <c r="K126" s="146"/>
      <c r="L126" s="146"/>
      <c r="M126" s="146"/>
      <c r="N126" s="146"/>
      <c r="O126" s="146"/>
      <c r="P126" s="146"/>
    </row>
    <row r="127" spans="2:16" x14ac:dyDescent="0.2">
      <c r="B127" s="146"/>
      <c r="C127" s="146"/>
      <c r="D127" s="146"/>
      <c r="E127" s="146"/>
      <c r="F127" s="146"/>
      <c r="G127" s="146"/>
      <c r="H127" s="146"/>
      <c r="I127" s="146"/>
      <c r="J127" s="146"/>
      <c r="K127" s="146"/>
      <c r="L127" s="146"/>
      <c r="M127" s="146"/>
      <c r="N127" s="146"/>
      <c r="O127" s="146"/>
      <c r="P127" s="146"/>
    </row>
    <row r="128" spans="2:16" x14ac:dyDescent="0.2">
      <c r="B128" s="146"/>
      <c r="C128" s="146"/>
      <c r="D128" s="146"/>
      <c r="E128" s="146"/>
      <c r="F128" s="146"/>
      <c r="G128" s="146"/>
      <c r="H128" s="146"/>
      <c r="I128" s="146"/>
      <c r="J128" s="146"/>
      <c r="K128" s="146"/>
      <c r="L128" s="146"/>
      <c r="M128" s="146"/>
      <c r="N128" s="146"/>
      <c r="O128" s="146"/>
      <c r="P128" s="146"/>
    </row>
    <row r="129" spans="2:16" x14ac:dyDescent="0.2">
      <c r="B129" s="146"/>
      <c r="C129" s="146"/>
      <c r="D129" s="146"/>
      <c r="E129" s="146"/>
      <c r="F129" s="146"/>
      <c r="G129" s="146"/>
      <c r="H129" s="146"/>
      <c r="I129" s="146"/>
      <c r="J129" s="146"/>
      <c r="K129" s="146"/>
      <c r="L129" s="146"/>
      <c r="M129" s="146"/>
      <c r="N129" s="146"/>
      <c r="O129" s="146"/>
      <c r="P129" s="146"/>
    </row>
    <row r="130" spans="2:16" x14ac:dyDescent="0.2">
      <c r="B130" s="146"/>
      <c r="C130" s="146"/>
      <c r="D130" s="146"/>
      <c r="E130" s="146"/>
      <c r="F130" s="146"/>
      <c r="G130" s="146"/>
      <c r="H130" s="146"/>
      <c r="I130" s="146"/>
      <c r="J130" s="146"/>
      <c r="K130" s="146"/>
      <c r="L130" s="146"/>
      <c r="M130" s="146"/>
      <c r="N130" s="146"/>
      <c r="O130" s="146"/>
      <c r="P130" s="146"/>
    </row>
    <row r="131" spans="2:16" x14ac:dyDescent="0.2">
      <c r="B131" s="146"/>
      <c r="C131" s="146"/>
      <c r="D131" s="146"/>
      <c r="E131" s="146"/>
      <c r="F131" s="146"/>
      <c r="G131" s="146"/>
      <c r="H131" s="146"/>
      <c r="I131" s="146"/>
      <c r="J131" s="146"/>
      <c r="K131" s="146"/>
      <c r="L131" s="146"/>
      <c r="M131" s="146"/>
      <c r="N131" s="146"/>
      <c r="O131" s="146"/>
      <c r="P131" s="146"/>
    </row>
    <row r="132" spans="2:16" x14ac:dyDescent="0.2">
      <c r="B132" s="146"/>
      <c r="C132" s="146"/>
      <c r="D132" s="146"/>
      <c r="E132" s="146"/>
      <c r="F132" s="146"/>
      <c r="G132" s="146"/>
      <c r="H132" s="146"/>
      <c r="I132" s="146"/>
      <c r="J132" s="146"/>
      <c r="K132" s="146"/>
      <c r="L132" s="146"/>
      <c r="M132" s="146"/>
      <c r="N132" s="146"/>
      <c r="O132" s="146"/>
      <c r="P132" s="146"/>
    </row>
    <row r="133" spans="2:16" x14ac:dyDescent="0.2">
      <c r="B133" s="146"/>
      <c r="C133" s="146"/>
      <c r="D133" s="146"/>
      <c r="E133" s="146"/>
      <c r="F133" s="146"/>
      <c r="G133" s="146"/>
      <c r="H133" s="146"/>
      <c r="I133" s="146"/>
      <c r="J133" s="146"/>
      <c r="K133" s="146"/>
      <c r="L133" s="146"/>
      <c r="M133" s="146"/>
      <c r="N133" s="146"/>
      <c r="O133" s="146"/>
      <c r="P133" s="146"/>
    </row>
    <row r="134" spans="2:16" x14ac:dyDescent="0.2">
      <c r="B134" s="146"/>
      <c r="C134" s="146"/>
      <c r="D134" s="146"/>
      <c r="E134" s="146"/>
      <c r="F134" s="146"/>
      <c r="G134" s="146"/>
      <c r="H134" s="146"/>
      <c r="I134" s="146"/>
      <c r="J134" s="146"/>
      <c r="K134" s="146"/>
      <c r="L134" s="146"/>
      <c r="M134" s="146"/>
      <c r="N134" s="146"/>
      <c r="O134" s="146"/>
      <c r="P134" s="146"/>
    </row>
    <row r="135" spans="2:16" x14ac:dyDescent="0.2">
      <c r="B135" s="146"/>
      <c r="C135" s="146"/>
      <c r="D135" s="146"/>
      <c r="E135" s="146"/>
      <c r="F135" s="146"/>
      <c r="G135" s="146"/>
      <c r="H135" s="146"/>
      <c r="I135" s="146"/>
      <c r="J135" s="146"/>
      <c r="K135" s="146"/>
      <c r="L135" s="146"/>
      <c r="M135" s="146"/>
      <c r="N135" s="146"/>
      <c r="O135" s="146"/>
      <c r="P135" s="146"/>
    </row>
    <row r="136" spans="2:16" x14ac:dyDescent="0.2">
      <c r="B136" s="146"/>
      <c r="C136" s="146"/>
      <c r="D136" s="146"/>
      <c r="E136" s="146"/>
      <c r="F136" s="146"/>
      <c r="G136" s="146"/>
      <c r="H136" s="146"/>
      <c r="I136" s="146"/>
      <c r="J136" s="146"/>
      <c r="K136" s="146"/>
      <c r="L136" s="146"/>
      <c r="M136" s="146"/>
      <c r="N136" s="146"/>
      <c r="O136" s="146"/>
      <c r="P136" s="146"/>
    </row>
    <row r="137" spans="2:16" x14ac:dyDescent="0.2">
      <c r="B137" s="146"/>
      <c r="C137" s="146"/>
      <c r="D137" s="146"/>
      <c r="E137" s="146"/>
      <c r="F137" s="146"/>
      <c r="G137" s="146"/>
      <c r="H137" s="146"/>
      <c r="I137" s="146"/>
      <c r="J137" s="146"/>
      <c r="K137" s="146"/>
      <c r="L137" s="146"/>
      <c r="M137" s="146"/>
      <c r="N137" s="146"/>
      <c r="O137" s="146"/>
      <c r="P137" s="146"/>
    </row>
    <row r="138" spans="2:16" x14ac:dyDescent="0.2">
      <c r="B138" s="146"/>
      <c r="C138" s="146"/>
      <c r="D138" s="146"/>
      <c r="E138" s="146"/>
      <c r="F138" s="146"/>
      <c r="G138" s="146"/>
      <c r="H138" s="146"/>
      <c r="I138" s="146"/>
      <c r="J138" s="146"/>
      <c r="K138" s="146"/>
      <c r="L138" s="146"/>
      <c r="M138" s="146"/>
      <c r="N138" s="146"/>
      <c r="O138" s="146"/>
      <c r="P138" s="146"/>
    </row>
    <row r="139" spans="2:16" x14ac:dyDescent="0.2">
      <c r="B139" s="146"/>
      <c r="C139" s="146"/>
      <c r="D139" s="146"/>
      <c r="E139" s="146"/>
      <c r="F139" s="146"/>
      <c r="G139" s="146"/>
      <c r="H139" s="146"/>
      <c r="I139" s="146"/>
      <c r="J139" s="146"/>
      <c r="K139" s="146"/>
      <c r="L139" s="146"/>
      <c r="M139" s="146"/>
      <c r="N139" s="146"/>
      <c r="O139" s="146"/>
      <c r="P139" s="146"/>
    </row>
    <row r="140" spans="2:16" x14ac:dyDescent="0.2">
      <c r="B140" s="146"/>
      <c r="C140" s="146"/>
      <c r="D140" s="146"/>
      <c r="E140" s="146"/>
      <c r="F140" s="146"/>
      <c r="G140" s="146"/>
      <c r="H140" s="146"/>
      <c r="I140" s="146"/>
      <c r="J140" s="146"/>
      <c r="K140" s="146"/>
      <c r="L140" s="146"/>
      <c r="M140" s="146"/>
      <c r="N140" s="146"/>
      <c r="O140" s="146"/>
      <c r="P140" s="146"/>
    </row>
    <row r="141" spans="2:16" x14ac:dyDescent="0.2">
      <c r="B141" s="146"/>
      <c r="C141" s="146"/>
      <c r="D141" s="146"/>
      <c r="E141" s="146"/>
      <c r="F141" s="146"/>
      <c r="G141" s="146"/>
      <c r="H141" s="146"/>
      <c r="I141" s="146"/>
      <c r="J141" s="146"/>
      <c r="K141" s="146"/>
      <c r="L141" s="146"/>
      <c r="M141" s="146"/>
      <c r="N141" s="146"/>
      <c r="O141" s="146"/>
      <c r="P141" s="146"/>
    </row>
    <row r="142" spans="2:16" x14ac:dyDescent="0.2">
      <c r="B142" s="146"/>
      <c r="C142" s="146"/>
      <c r="D142" s="146"/>
      <c r="E142" s="146"/>
      <c r="F142" s="146"/>
      <c r="G142" s="146"/>
      <c r="H142" s="146"/>
      <c r="I142" s="146"/>
      <c r="J142" s="146"/>
      <c r="K142" s="146"/>
      <c r="L142" s="146"/>
      <c r="M142" s="146"/>
      <c r="N142" s="146"/>
      <c r="O142" s="146"/>
      <c r="P142" s="146"/>
    </row>
    <row r="143" spans="2:16" x14ac:dyDescent="0.2">
      <c r="B143" s="146"/>
      <c r="C143" s="146"/>
      <c r="D143" s="146"/>
      <c r="E143" s="146"/>
      <c r="F143" s="146"/>
      <c r="G143" s="146"/>
      <c r="H143" s="146"/>
      <c r="I143" s="146"/>
      <c r="J143" s="146"/>
      <c r="K143" s="146"/>
      <c r="L143" s="146"/>
      <c r="M143" s="146"/>
      <c r="N143" s="146"/>
      <c r="O143" s="146"/>
      <c r="P143" s="146"/>
    </row>
    <row r="144" spans="2:16" x14ac:dyDescent="0.2">
      <c r="B144" s="146"/>
      <c r="C144" s="146"/>
      <c r="D144" s="146"/>
      <c r="E144" s="146"/>
      <c r="F144" s="146"/>
      <c r="G144" s="146"/>
      <c r="H144" s="146"/>
      <c r="I144" s="146"/>
      <c r="J144" s="146"/>
      <c r="K144" s="146"/>
      <c r="L144" s="146"/>
      <c r="M144" s="146"/>
      <c r="N144" s="146"/>
      <c r="O144" s="146"/>
      <c r="P144" s="146"/>
    </row>
    <row r="145" spans="2:16" x14ac:dyDescent="0.2">
      <c r="B145" s="146"/>
      <c r="C145" s="146"/>
      <c r="D145" s="146"/>
      <c r="E145" s="146"/>
      <c r="F145" s="146"/>
      <c r="G145" s="146"/>
      <c r="H145" s="146"/>
      <c r="I145" s="146"/>
      <c r="J145" s="146"/>
      <c r="K145" s="146"/>
      <c r="L145" s="146"/>
      <c r="M145" s="146"/>
      <c r="N145" s="146"/>
      <c r="O145" s="146"/>
      <c r="P145" s="146"/>
    </row>
    <row r="146" spans="2:16" x14ac:dyDescent="0.2">
      <c r="B146" s="146"/>
      <c r="C146" s="146"/>
      <c r="D146" s="146"/>
      <c r="E146" s="146"/>
      <c r="F146" s="146"/>
      <c r="G146" s="146"/>
      <c r="H146" s="146"/>
      <c r="I146" s="146"/>
      <c r="J146" s="146"/>
      <c r="K146" s="146"/>
      <c r="L146" s="146"/>
      <c r="M146" s="146"/>
      <c r="N146" s="146"/>
      <c r="O146" s="146"/>
      <c r="P146" s="146"/>
    </row>
    <row r="147" spans="2:16" x14ac:dyDescent="0.2">
      <c r="B147" s="146"/>
      <c r="C147" s="146"/>
      <c r="D147" s="146"/>
      <c r="E147" s="146"/>
      <c r="F147" s="146"/>
      <c r="G147" s="146"/>
      <c r="H147" s="146"/>
      <c r="I147" s="146"/>
      <c r="J147" s="146"/>
      <c r="K147" s="146"/>
      <c r="L147" s="146"/>
      <c r="M147" s="146"/>
      <c r="N147" s="146"/>
      <c r="O147" s="146"/>
      <c r="P147" s="146"/>
    </row>
    <row r="148" spans="2:16" x14ac:dyDescent="0.2">
      <c r="B148" s="146"/>
      <c r="C148" s="146"/>
      <c r="D148" s="146"/>
      <c r="E148" s="146"/>
      <c r="F148" s="146"/>
      <c r="G148" s="146"/>
      <c r="H148" s="146"/>
      <c r="I148" s="146"/>
      <c r="J148" s="146"/>
      <c r="K148" s="146"/>
      <c r="L148" s="146"/>
      <c r="M148" s="146"/>
      <c r="N148" s="146"/>
      <c r="O148" s="146"/>
      <c r="P148" s="146"/>
    </row>
    <row r="149" spans="2:16" x14ac:dyDescent="0.2">
      <c r="B149" s="146"/>
      <c r="C149" s="146"/>
      <c r="D149" s="146"/>
      <c r="E149" s="146"/>
      <c r="F149" s="146"/>
      <c r="G149" s="146"/>
      <c r="H149" s="146"/>
      <c r="I149" s="146"/>
      <c r="J149" s="146"/>
      <c r="K149" s="146"/>
      <c r="L149" s="146"/>
      <c r="M149" s="146"/>
      <c r="N149" s="146"/>
      <c r="O149" s="146"/>
      <c r="P149" s="146"/>
    </row>
    <row r="150" spans="2:16" x14ac:dyDescent="0.2">
      <c r="B150" s="146"/>
      <c r="C150" s="146"/>
      <c r="D150" s="146"/>
      <c r="E150" s="146"/>
      <c r="F150" s="146"/>
      <c r="G150" s="146"/>
      <c r="H150" s="146"/>
      <c r="I150" s="146"/>
      <c r="J150" s="146"/>
      <c r="K150" s="146"/>
      <c r="L150" s="146"/>
      <c r="M150" s="146"/>
      <c r="N150" s="146"/>
      <c r="O150" s="146"/>
      <c r="P150" s="146"/>
    </row>
  </sheetData>
  <printOptions horizontalCentered="1" verticalCentered="1"/>
  <pageMargins left="0.54" right="0" top="0" bottom="0" header="0" footer="0"/>
  <pageSetup paperSize="9" scale="96" orientation="landscape" horizontalDpi="355" verticalDpi="464" r:id="rId1"/>
  <headerFooter alignWithMargins="0"/>
  <colBreaks count="1" manualBreakCount="1">
    <brk id="8" min="1" max="6" man="1"/>
  </colBreaks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R23"/>
  <sheetViews>
    <sheetView zoomScale="85" zoomScaleNormal="85" workbookViewId="0">
      <pane xSplit="2" ySplit="5" topLeftCell="C6" activePane="bottomRight" state="frozen"/>
      <selection pane="topRight" activeCell="C1" sqref="C1"/>
      <selection pane="bottomLeft" activeCell="A5" sqref="A5"/>
      <selection pane="bottomRight" activeCell="C11" sqref="C11"/>
    </sheetView>
  </sheetViews>
  <sheetFormatPr baseColWidth="10" defaultColWidth="11.42578125" defaultRowHeight="12.75" x14ac:dyDescent="0.2"/>
  <cols>
    <col min="1" max="1" width="31.42578125" style="24" customWidth="1"/>
    <col min="2" max="2" width="4.7109375" style="24" bestFit="1" customWidth="1"/>
    <col min="3" max="3" width="11" style="24" bestFit="1" customWidth="1"/>
    <col min="4" max="4" width="11.42578125" style="24"/>
    <col min="5" max="5" width="12.7109375" style="24" bestFit="1" customWidth="1"/>
    <col min="6" max="12" width="11.42578125" style="24"/>
    <col min="13" max="17" width="0" style="24" hidden="1" customWidth="1"/>
    <col min="18" max="16384" width="11.42578125" style="24"/>
  </cols>
  <sheetData>
    <row r="2" spans="1:18" ht="15.75" x14ac:dyDescent="0.25">
      <c r="A2" s="147" t="s">
        <v>140</v>
      </c>
    </row>
    <row r="3" spans="1:18" ht="16.5" x14ac:dyDescent="0.3">
      <c r="A3" s="148" t="s">
        <v>505</v>
      </c>
    </row>
    <row r="4" spans="1:18" x14ac:dyDescent="0.2">
      <c r="C4" s="145">
        <f>+Inv.Rep.!D4</f>
        <v>2017</v>
      </c>
      <c r="D4" s="145">
        <f>+Inv.Rep.!E4</f>
        <v>2018</v>
      </c>
      <c r="E4" s="145">
        <f>+Inv.Rep.!F4</f>
        <v>2019</v>
      </c>
      <c r="F4" s="145">
        <f>+Inv.Rep.!G4</f>
        <v>2020</v>
      </c>
      <c r="G4" s="145">
        <f>+Inv.Rep.!H4</f>
        <v>2021</v>
      </c>
      <c r="H4" s="145">
        <f>+Inv.Rep.!I4</f>
        <v>2022</v>
      </c>
      <c r="I4" s="145">
        <f>+Inv.Rep.!J4</f>
        <v>2023</v>
      </c>
      <c r="J4" s="145">
        <f>+Inv.Rep.!K4</f>
        <v>2024</v>
      </c>
      <c r="K4" s="145">
        <f>+Inv.Rep.!L4</f>
        <v>2025</v>
      </c>
      <c r="L4" s="145">
        <f>+Inv.Rep.!M4</f>
        <v>2026</v>
      </c>
      <c r="M4" s="145" t="e">
        <f>+Inv.Rep.!#REF!</f>
        <v>#REF!</v>
      </c>
      <c r="N4" s="145" t="e">
        <f>+Inv.Rep.!#REF!</f>
        <v>#REF!</v>
      </c>
    </row>
    <row r="5" spans="1:18" x14ac:dyDescent="0.2">
      <c r="C5" s="28" t="s">
        <v>0</v>
      </c>
      <c r="D5" s="28" t="s">
        <v>1</v>
      </c>
      <c r="E5" s="28" t="s">
        <v>2</v>
      </c>
      <c r="F5" s="28" t="s">
        <v>3</v>
      </c>
      <c r="G5" s="28" t="s">
        <v>4</v>
      </c>
      <c r="H5" s="28" t="s">
        <v>5</v>
      </c>
      <c r="I5" s="28" t="s">
        <v>6</v>
      </c>
      <c r="J5" s="28" t="s">
        <v>7</v>
      </c>
      <c r="K5" s="28" t="s">
        <v>8</v>
      </c>
      <c r="L5" s="28" t="s">
        <v>9</v>
      </c>
      <c r="M5" s="28" t="s">
        <v>91</v>
      </c>
      <c r="N5" s="28" t="s">
        <v>92</v>
      </c>
      <c r="O5" s="28" t="s">
        <v>93</v>
      </c>
      <c r="P5" s="28" t="s">
        <v>94</v>
      </c>
      <c r="Q5" s="28" t="s">
        <v>95</v>
      </c>
    </row>
    <row r="7" spans="1:18" x14ac:dyDescent="0.2">
      <c r="A7" s="145" t="s">
        <v>465</v>
      </c>
    </row>
    <row r="8" spans="1:18" x14ac:dyDescent="0.2">
      <c r="A8" s="24" t="s">
        <v>101</v>
      </c>
      <c r="C8" s="25">
        <f>+PyG!C7*0.12</f>
        <v>855116.76213771442</v>
      </c>
      <c r="D8" s="25">
        <f>+PyG!D7*0.12</f>
        <v>954862.73707047419</v>
      </c>
      <c r="E8" s="25">
        <f>+PyG!E7*0.12</f>
        <v>1060197.4408104115</v>
      </c>
      <c r="F8" s="25">
        <f>+PyG!F7*0.12</f>
        <v>1175758.2760239844</v>
      </c>
      <c r="G8" s="25">
        <f>+PyG!G7*0.12</f>
        <v>1303959.2525637092</v>
      </c>
      <c r="H8" s="25">
        <f>+PyG!H7*0.12</f>
        <v>1446298.3920164721</v>
      </c>
      <c r="I8" s="25">
        <f>+PyG!I7*0.12</f>
        <v>1604354.7933705049</v>
      </c>
      <c r="J8" s="25">
        <f>+PyG!J7*0.12</f>
        <v>1779877.7877636873</v>
      </c>
      <c r="K8" s="25">
        <f>+PyG!K7*0.12</f>
        <v>1974811.8591720732</v>
      </c>
      <c r="L8" s="25">
        <f>+PyG!L7*0.12</f>
        <v>2191318.9602287682</v>
      </c>
    </row>
    <row r="10" spans="1:18" x14ac:dyDescent="0.2">
      <c r="A10" s="145" t="s">
        <v>463</v>
      </c>
      <c r="D10" s="149" t="s">
        <v>183</v>
      </c>
    </row>
    <row r="11" spans="1:18" x14ac:dyDescent="0.2">
      <c r="A11" s="24" t="s">
        <v>464</v>
      </c>
      <c r="B11" s="150">
        <v>0.12</v>
      </c>
      <c r="C11" s="25">
        <f>+'Plan Inversiones'!F73*0.12</f>
        <v>1314593.0844000001</v>
      </c>
      <c r="D11" s="25">
        <f>+$B$11*Inv.Rep.!D58</f>
        <v>23505.311999999998</v>
      </c>
      <c r="E11" s="25">
        <f>+$B$11*Inv.Rep.!E58</f>
        <v>28045.524480000007</v>
      </c>
      <c r="F11" s="25">
        <f>+$B$11*Inv.Rep.!F58</f>
        <v>26143.345459200002</v>
      </c>
      <c r="G11" s="25">
        <f>+$B$11*Inv.Rep.!G58</f>
        <v>27189.079277567995</v>
      </c>
      <c r="H11" s="25">
        <f>+$B$11*Inv.Rep.!H58</f>
        <v>28276.642448670718</v>
      </c>
      <c r="I11" s="25">
        <f>+$B$11*Inv.Rep.!I58</f>
        <v>29407.708146617548</v>
      </c>
      <c r="J11" s="25">
        <f>+$B$11*Inv.Rep.!J58</f>
        <v>30584.016472482246</v>
      </c>
      <c r="K11" s="25">
        <f>+$B$11*Inv.Rep.!K58</f>
        <v>31807.377131381538</v>
      </c>
      <c r="L11" s="25">
        <f>+$B$11*Inv.Rep.!L58</f>
        <v>33079.672216636798</v>
      </c>
      <c r="M11" s="25">
        <f>+$B$11*Inv.Rep.!M58</f>
        <v>34402.85910530229</v>
      </c>
      <c r="N11" s="25" t="e">
        <f>+$B$11*Inv.Rep.!#REF!</f>
        <v>#REF!</v>
      </c>
      <c r="O11" s="25" t="e">
        <f>+$B$11*Inv.Rep.!#REF!</f>
        <v>#REF!</v>
      </c>
      <c r="P11" s="25" t="e">
        <f>+$B$11*Inv.Rep.!#REF!</f>
        <v>#REF!</v>
      </c>
      <c r="Q11" s="25" t="e">
        <f>+$B$11*Inv.Rep.!#REF!</f>
        <v>#REF!</v>
      </c>
    </row>
    <row r="12" spans="1:18" x14ac:dyDescent="0.2">
      <c r="A12" s="24" t="s">
        <v>208</v>
      </c>
      <c r="B12" s="150">
        <v>0.12</v>
      </c>
      <c r="C12" s="25">
        <f>+(Egr.!C78+Egr.!C175)*'IVA+Itransacc'!$B$12</f>
        <v>41858.400000000001</v>
      </c>
      <c r="D12" s="25">
        <f>+(Egr.!D78+Egr.!D175)*'IVA+Itransacc'!$B$12</f>
        <v>43532.735999999997</v>
      </c>
      <c r="E12" s="25">
        <f>+(Egr.!E78+Egr.!E175)*'IVA+Itransacc'!$B$12</f>
        <v>45274.045440000002</v>
      </c>
      <c r="F12" s="25">
        <f>+(Egr.!F78+Egr.!F175)*'IVA+Itransacc'!$B$12</f>
        <v>47085.007257600002</v>
      </c>
      <c r="G12" s="25">
        <f>+(Egr.!G78+Egr.!G175)*'IVA+Itransacc'!$B$12</f>
        <v>48968.407547903989</v>
      </c>
      <c r="H12" s="25">
        <f>+(Egr.!H78+Egr.!H175)*'IVA+Itransacc'!$B$12</f>
        <v>50927.143849820161</v>
      </c>
      <c r="I12" s="25">
        <f>+(Egr.!I78+Egr.!I175)*'IVA+Itransacc'!$B$12</f>
        <v>52964.229603812964</v>
      </c>
      <c r="J12" s="25">
        <f>+(Egr.!J78+Egr.!J175)*'IVA+Itransacc'!$B$12</f>
        <v>55082.798787965483</v>
      </c>
      <c r="K12" s="25">
        <f>+(Egr.!K78+Egr.!K175)*'IVA+Itransacc'!$B$12</f>
        <v>57286.110739484102</v>
      </c>
      <c r="L12" s="25">
        <f>+(Egr.!L78+Egr.!L175)*'IVA+Itransacc'!$B$12</f>
        <v>59577.555169063467</v>
      </c>
    </row>
    <row r="13" spans="1:18" x14ac:dyDescent="0.2">
      <c r="A13" s="24" t="s">
        <v>183</v>
      </c>
      <c r="C13" s="27">
        <f t="shared" ref="C13:L13" si="0">SUM(C11:C12)</f>
        <v>1356451.4844</v>
      </c>
      <c r="D13" s="27">
        <f t="shared" si="0"/>
        <v>67038.047999999995</v>
      </c>
      <c r="E13" s="27">
        <f t="shared" si="0"/>
        <v>73319.569920000009</v>
      </c>
      <c r="F13" s="27">
        <f t="shared" si="0"/>
        <v>73228.3527168</v>
      </c>
      <c r="G13" s="27">
        <f t="shared" si="0"/>
        <v>76157.486825471977</v>
      </c>
      <c r="H13" s="27">
        <f t="shared" si="0"/>
        <v>79203.786298490886</v>
      </c>
      <c r="I13" s="27">
        <f t="shared" si="0"/>
        <v>82371.937750430516</v>
      </c>
      <c r="J13" s="27">
        <f t="shared" si="0"/>
        <v>85666.815260447736</v>
      </c>
      <c r="K13" s="27">
        <f t="shared" si="0"/>
        <v>89093.487870865647</v>
      </c>
      <c r="L13" s="27">
        <f t="shared" si="0"/>
        <v>92657.227385700273</v>
      </c>
      <c r="R13" s="24" t="s">
        <v>183</v>
      </c>
    </row>
    <row r="15" spans="1:18" x14ac:dyDescent="0.2">
      <c r="A15" s="24" t="s">
        <v>466</v>
      </c>
      <c r="C15" s="27">
        <f t="shared" ref="C15:L15" si="1">+C8-C13</f>
        <v>-501334.72226228553</v>
      </c>
      <c r="D15" s="27">
        <f t="shared" si="1"/>
        <v>887824.68907047424</v>
      </c>
      <c r="E15" s="27">
        <f t="shared" si="1"/>
        <v>986877.87089041143</v>
      </c>
      <c r="F15" s="27">
        <f t="shared" si="1"/>
        <v>1102529.9233071844</v>
      </c>
      <c r="G15" s="27">
        <f t="shared" si="1"/>
        <v>1227801.7657382372</v>
      </c>
      <c r="H15" s="27">
        <f t="shared" si="1"/>
        <v>1367094.6057179812</v>
      </c>
      <c r="I15" s="27">
        <f t="shared" si="1"/>
        <v>1521982.8556200743</v>
      </c>
      <c r="J15" s="27">
        <f t="shared" si="1"/>
        <v>1694210.9725032395</v>
      </c>
      <c r="K15" s="27">
        <f t="shared" si="1"/>
        <v>1885718.3713012075</v>
      </c>
      <c r="L15" s="27">
        <f t="shared" si="1"/>
        <v>2098661.732843068</v>
      </c>
    </row>
    <row r="16" spans="1:18" x14ac:dyDescent="0.2">
      <c r="B16" s="139"/>
    </row>
    <row r="17" spans="1:12" x14ac:dyDescent="0.2">
      <c r="A17" s="24" t="s">
        <v>467</v>
      </c>
      <c r="B17" s="139"/>
      <c r="C17" s="25">
        <f>+IF(C15&lt;0,-C15,0)</f>
        <v>501334.72226228553</v>
      </c>
      <c r="D17" s="25">
        <f t="shared" ref="D17:L17" si="2">+IF(D15&lt;0,-D15,0)</f>
        <v>0</v>
      </c>
      <c r="E17" s="25">
        <f t="shared" si="2"/>
        <v>0</v>
      </c>
      <c r="F17" s="25">
        <f t="shared" si="2"/>
        <v>0</v>
      </c>
      <c r="G17" s="25">
        <f t="shared" si="2"/>
        <v>0</v>
      </c>
      <c r="H17" s="25">
        <f t="shared" si="2"/>
        <v>0</v>
      </c>
      <c r="I17" s="25">
        <f t="shared" si="2"/>
        <v>0</v>
      </c>
      <c r="J17" s="25">
        <f t="shared" si="2"/>
        <v>0</v>
      </c>
      <c r="K17" s="25">
        <f t="shared" si="2"/>
        <v>0</v>
      </c>
      <c r="L17" s="25">
        <f t="shared" si="2"/>
        <v>0</v>
      </c>
    </row>
    <row r="18" spans="1:12" x14ac:dyDescent="0.2">
      <c r="A18" s="24" t="s">
        <v>468</v>
      </c>
      <c r="B18" s="139"/>
      <c r="C18" s="25">
        <f t="shared" ref="C18:L18" si="3">+IF(C17&gt;0,0,IF((C15-B17)&lt;0,C17,(C15-B17)))</f>
        <v>0</v>
      </c>
      <c r="D18" s="25">
        <f t="shared" si="3"/>
        <v>386489.96680818871</v>
      </c>
      <c r="E18" s="25">
        <f>+IF(E17&gt;0,0,IF((E15-D17)&lt;0,E17,(E15-D17)))</f>
        <v>986877.87089041143</v>
      </c>
      <c r="F18" s="25">
        <f t="shared" si="3"/>
        <v>1102529.9233071844</v>
      </c>
      <c r="G18" s="25">
        <f t="shared" si="3"/>
        <v>1227801.7657382372</v>
      </c>
      <c r="H18" s="25">
        <f t="shared" si="3"/>
        <v>1367094.6057179812</v>
      </c>
      <c r="I18" s="25">
        <f t="shared" si="3"/>
        <v>1521982.8556200743</v>
      </c>
      <c r="J18" s="25">
        <f t="shared" si="3"/>
        <v>1694210.9725032395</v>
      </c>
      <c r="K18" s="25">
        <f t="shared" si="3"/>
        <v>1885718.3713012075</v>
      </c>
      <c r="L18" s="25">
        <f t="shared" si="3"/>
        <v>2098661.732843068</v>
      </c>
    </row>
    <row r="19" spans="1:12" x14ac:dyDescent="0.2">
      <c r="C19" s="24" t="s">
        <v>183</v>
      </c>
    </row>
    <row r="20" spans="1:12" ht="15" x14ac:dyDescent="0.2">
      <c r="A20" s="24" t="s">
        <v>552</v>
      </c>
      <c r="B20" s="150">
        <v>0.12</v>
      </c>
      <c r="D20" s="25">
        <f>+D18*$B$20</f>
        <v>46378.79601698264</v>
      </c>
      <c r="E20" s="25">
        <f>+E18*$B$20</f>
        <v>118425.34450684936</v>
      </c>
      <c r="F20" s="25">
        <f>+F18*$B$20</f>
        <v>132303.59079686212</v>
      </c>
      <c r="G20" s="25">
        <f t="shared" ref="G20:L20" si="4">+G18*$B$20</f>
        <v>147336.21188858847</v>
      </c>
      <c r="H20" s="25">
        <f t="shared" si="4"/>
        <v>164051.35268615774</v>
      </c>
      <c r="I20" s="25">
        <f t="shared" si="4"/>
        <v>182637.9426744089</v>
      </c>
      <c r="J20" s="25">
        <f t="shared" si="4"/>
        <v>203305.31670038874</v>
      </c>
      <c r="K20" s="25">
        <f t="shared" si="4"/>
        <v>226286.20455614489</v>
      </c>
      <c r="L20" s="25">
        <f t="shared" si="4"/>
        <v>251839.40794116815</v>
      </c>
    </row>
    <row r="22" spans="1:12" x14ac:dyDescent="0.2">
      <c r="A22" s="24" t="s">
        <v>645</v>
      </c>
      <c r="C22" s="175">
        <f>C8*0.7</f>
        <v>598581.73349640006</v>
      </c>
      <c r="D22" s="175">
        <f t="shared" ref="D22:L22" si="5">D8*0.7</f>
        <v>668403.91594933195</v>
      </c>
      <c r="E22" s="175">
        <f t="shared" si="5"/>
        <v>742138.20856728801</v>
      </c>
      <c r="F22" s="175">
        <f t="shared" si="5"/>
        <v>823030.79321678902</v>
      </c>
      <c r="G22" s="175">
        <f t="shared" si="5"/>
        <v>912771.47679459641</v>
      </c>
      <c r="H22" s="175">
        <f t="shared" si="5"/>
        <v>1012408.8744115303</v>
      </c>
      <c r="I22" s="175">
        <f t="shared" si="5"/>
        <v>1123048.3553593534</v>
      </c>
      <c r="J22" s="175">
        <f t="shared" si="5"/>
        <v>1245914.4514345811</v>
      </c>
      <c r="K22" s="175">
        <f t="shared" si="5"/>
        <v>1382368.3014204511</v>
      </c>
      <c r="L22" s="175">
        <f t="shared" si="5"/>
        <v>1533923.2721601375</v>
      </c>
    </row>
    <row r="23" spans="1:12" x14ac:dyDescent="0.2">
      <c r="A23" s="24" t="s">
        <v>644</v>
      </c>
      <c r="C23" s="25">
        <f>+(C17+C22)-(C18+C20)</f>
        <v>1099916.4557586857</v>
      </c>
      <c r="D23" s="25">
        <f>+C23+(D17+D22)-(D18+D20)</f>
        <v>1335451.6088828463</v>
      </c>
      <c r="E23" s="25">
        <f t="shared" ref="E23:F23" si="6">+D23+(E17+E22)-(E18+E20)</f>
        <v>972286.60205287347</v>
      </c>
      <c r="F23" s="25">
        <f t="shared" si="6"/>
        <v>560483.88116561621</v>
      </c>
      <c r="G23" s="25">
        <f>+(G17+G22)-(G18+G20)</f>
        <v>-462366.50083222927</v>
      </c>
      <c r="H23" s="25">
        <f t="shared" ref="H23:L23" si="7">+(H17+H22)-(H18+H20)</f>
        <v>-518737.08399260859</v>
      </c>
      <c r="I23" s="25">
        <f t="shared" si="7"/>
        <v>-581572.44293512986</v>
      </c>
      <c r="J23" s="25">
        <f t="shared" si="7"/>
        <v>-651601.83776904712</v>
      </c>
      <c r="K23" s="25">
        <f t="shared" si="7"/>
        <v>-729636.27443690132</v>
      </c>
      <c r="L23" s="25">
        <f t="shared" si="7"/>
        <v>-816577.8686240986</v>
      </c>
    </row>
  </sheetData>
  <printOptions horizontalCentered="1" verticalCentered="1"/>
  <pageMargins left="0.9237007874015748" right="0.39370078740157483" top="0.39370078740157483" bottom="0.39370078740157483" header="0" footer="0"/>
  <pageSetup paperSize="9" scale="58" orientation="landscape" horizontalDpi="355" verticalDpi="464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N19"/>
  <sheetViews>
    <sheetView workbookViewId="0">
      <pane xSplit="2" ySplit="5" topLeftCell="C6" activePane="bottomRight" state="frozen"/>
      <selection pane="topRight" activeCell="C1" sqref="C1"/>
      <selection pane="bottomLeft" activeCell="A5" sqref="A5"/>
      <selection pane="bottomRight" activeCell="D9" sqref="D9"/>
    </sheetView>
  </sheetViews>
  <sheetFormatPr baseColWidth="10" defaultColWidth="11.42578125" defaultRowHeight="12.75" x14ac:dyDescent="0.2"/>
  <cols>
    <col min="1" max="1" width="2.28515625" style="24" customWidth="1"/>
    <col min="2" max="2" width="32.140625" style="24" customWidth="1"/>
    <col min="3" max="3" width="22.28515625" style="24" customWidth="1"/>
    <col min="4" max="4" width="4.28515625" style="24" bestFit="1" customWidth="1"/>
    <col min="5" max="7" width="14.42578125" style="24" bestFit="1" customWidth="1"/>
    <col min="8" max="8" width="12.85546875" style="24" bestFit="1" customWidth="1"/>
    <col min="9" max="9" width="14.28515625" style="24" bestFit="1" customWidth="1"/>
    <col min="10" max="14" width="12.85546875" style="24" bestFit="1" customWidth="1"/>
    <col min="15" max="16384" width="11.42578125" style="24"/>
  </cols>
  <sheetData>
    <row r="2" spans="1:14" ht="15.75" x14ac:dyDescent="0.25">
      <c r="A2" s="147" t="s">
        <v>140</v>
      </c>
    </row>
    <row r="3" spans="1:14" ht="16.5" x14ac:dyDescent="0.3">
      <c r="A3" s="148" t="s">
        <v>506</v>
      </c>
    </row>
    <row r="4" spans="1:14" x14ac:dyDescent="0.2">
      <c r="D4" s="145"/>
      <c r="E4" s="145">
        <f>+Inv.Rep.!D4</f>
        <v>2017</v>
      </c>
      <c r="F4" s="145">
        <f>+Inv.Rep.!E4</f>
        <v>2018</v>
      </c>
      <c r="G4" s="145">
        <f>+Inv.Rep.!F4</f>
        <v>2019</v>
      </c>
      <c r="H4" s="145">
        <f>+Inv.Rep.!G4</f>
        <v>2020</v>
      </c>
      <c r="I4" s="145">
        <f>+Inv.Rep.!H4</f>
        <v>2021</v>
      </c>
      <c r="J4" s="145">
        <f>+Inv.Rep.!I4</f>
        <v>2022</v>
      </c>
      <c r="K4" s="145">
        <f>+Inv.Rep.!J4</f>
        <v>2023</v>
      </c>
      <c r="L4" s="145">
        <f>+Inv.Rep.!K4</f>
        <v>2024</v>
      </c>
      <c r="M4" s="145">
        <f>+Inv.Rep.!L4</f>
        <v>2025</v>
      </c>
      <c r="N4" s="145">
        <f>+Inv.Rep.!M4</f>
        <v>2026</v>
      </c>
    </row>
    <row r="5" spans="1:14" x14ac:dyDescent="0.2">
      <c r="D5" s="28"/>
      <c r="E5" s="28" t="s">
        <v>0</v>
      </c>
      <c r="F5" s="28" t="s">
        <v>1</v>
      </c>
      <c r="G5" s="28" t="s">
        <v>2</v>
      </c>
      <c r="H5" s="28" t="s">
        <v>3</v>
      </c>
      <c r="I5" s="28" t="s">
        <v>4</v>
      </c>
      <c r="J5" s="28" t="s">
        <v>5</v>
      </c>
      <c r="K5" s="28" t="s">
        <v>6</v>
      </c>
      <c r="L5" s="28" t="s">
        <v>7</v>
      </c>
      <c r="M5" s="28" t="s">
        <v>8</v>
      </c>
      <c r="N5" s="28" t="s">
        <v>9</v>
      </c>
    </row>
    <row r="6" spans="1:14" s="139" customFormat="1" x14ac:dyDescent="0.2">
      <c r="A6" s="139" t="s">
        <v>183</v>
      </c>
    </row>
    <row r="7" spans="1:14" x14ac:dyDescent="0.2">
      <c r="A7" s="24" t="s">
        <v>183</v>
      </c>
      <c r="B7" s="24" t="s">
        <v>494</v>
      </c>
      <c r="C7" s="24" t="s">
        <v>183</v>
      </c>
      <c r="E7" s="175" t="s">
        <v>183</v>
      </c>
      <c r="F7" s="175" t="s">
        <v>183</v>
      </c>
      <c r="G7" s="175" t="s">
        <v>183</v>
      </c>
      <c r="H7" s="175" t="s">
        <v>183</v>
      </c>
    </row>
    <row r="8" spans="1:14" x14ac:dyDescent="0.2">
      <c r="A8" s="24" t="s">
        <v>183</v>
      </c>
      <c r="B8" s="24" t="s">
        <v>495</v>
      </c>
      <c r="C8" s="24" t="s">
        <v>487</v>
      </c>
      <c r="D8" s="150">
        <v>0.4</v>
      </c>
      <c r="E8" s="175">
        <f>+Deprec.!C70+(Deprec.!C70*$D$8)</f>
        <v>9273648.6640000008</v>
      </c>
      <c r="F8" s="175">
        <f>+Deprec.!D70+(Deprec.!D70*$D$8)</f>
        <v>8467606.4738844428</v>
      </c>
      <c r="G8" s="175">
        <f>+Deprec.!E70+(Deprec.!E70*$D$8)</f>
        <v>7635061.6674104873</v>
      </c>
      <c r="H8" s="175">
        <f>+Deprec.!F70+(Deprec.!F70*$D$8)</f>
        <v>6769652.4646649165</v>
      </c>
      <c r="I8" s="175">
        <f>+Deprec.!G70+(Deprec.!G70*$D$8)</f>
        <v>5862712.633437884</v>
      </c>
      <c r="J8" s="175">
        <f>+Deprec.!H70+(Deprec.!H70*$D$8)</f>
        <v>4952627.1609314568</v>
      </c>
      <c r="K8" s="175">
        <f>+Deprec.!I70+(Deprec.!I70*$D$8)</f>
        <v>3971281.2058140449</v>
      </c>
      <c r="L8" s="175">
        <f>+Deprec.!J70+(Deprec.!J70*$D$8)</f>
        <v>2885752.166935157</v>
      </c>
      <c r="M8" s="175">
        <f>+Deprec.!K70+(Deprec.!K70*$D$8)</f>
        <v>1629322.5827045443</v>
      </c>
      <c r="N8" s="175">
        <f>+IF(Condiciones!B8="NO",'Impuestos V.'!M8*50%,Deprec.!L70+(Deprec.!L70*$D$8))</f>
        <v>814661.29135227215</v>
      </c>
    </row>
    <row r="9" spans="1:14" x14ac:dyDescent="0.2">
      <c r="A9" s="24" t="s">
        <v>183</v>
      </c>
      <c r="C9" s="24" t="s">
        <v>488</v>
      </c>
      <c r="E9" s="175">
        <f>+E8-Deprec.!C70</f>
        <v>2649613.904000001</v>
      </c>
      <c r="F9" s="175">
        <f>+F8-Deprec.!D70</f>
        <v>2419316.1353955548</v>
      </c>
      <c r="G9" s="175">
        <f>+G8-Deprec.!E70</f>
        <v>2181446.1906887107</v>
      </c>
      <c r="H9" s="175">
        <f>+H8-Deprec.!F70</f>
        <v>1934186.4184756903</v>
      </c>
      <c r="I9" s="175">
        <f>+I8-Deprec.!G70</f>
        <v>1675060.7524108239</v>
      </c>
      <c r="J9" s="175">
        <f>+J8-Deprec.!H70</f>
        <v>1415036.3316947017</v>
      </c>
      <c r="K9" s="175">
        <f>+K8-Deprec.!I70</f>
        <v>1134651.7730897274</v>
      </c>
      <c r="L9" s="175">
        <f>+L8-Deprec.!J70</f>
        <v>824500.61912433058</v>
      </c>
      <c r="M9" s="175">
        <f>+M8-Deprec.!K70</f>
        <v>465520.73791558412</v>
      </c>
      <c r="N9" s="175">
        <f>+N8-Deprec.!L70</f>
        <v>814661.29135227215</v>
      </c>
    </row>
    <row r="10" spans="1:14" x14ac:dyDescent="0.2">
      <c r="A10" s="24" t="s">
        <v>183</v>
      </c>
      <c r="B10" s="24" t="s">
        <v>496</v>
      </c>
      <c r="C10" s="24" t="s">
        <v>489</v>
      </c>
      <c r="E10" s="175">
        <f>+E8-E9</f>
        <v>6624034.7599999998</v>
      </c>
      <c r="F10" s="175">
        <f t="shared" ref="F10:N10" si="0">+F8-F9</f>
        <v>6048290.338488888</v>
      </c>
      <c r="G10" s="175">
        <f t="shared" si="0"/>
        <v>5453615.4767217766</v>
      </c>
      <c r="H10" s="175">
        <f t="shared" si="0"/>
        <v>4835466.0461892262</v>
      </c>
      <c r="I10" s="175">
        <f t="shared" si="0"/>
        <v>4187651.8810270601</v>
      </c>
      <c r="J10" s="175">
        <f t="shared" si="0"/>
        <v>3537590.8292367551</v>
      </c>
      <c r="K10" s="175">
        <f t="shared" si="0"/>
        <v>2836629.4327243175</v>
      </c>
      <c r="L10" s="175">
        <f t="shared" si="0"/>
        <v>2061251.5478108265</v>
      </c>
      <c r="M10" s="175">
        <f t="shared" si="0"/>
        <v>1163801.8447889602</v>
      </c>
      <c r="N10" s="175">
        <f t="shared" si="0"/>
        <v>0</v>
      </c>
    </row>
    <row r="11" spans="1:14" x14ac:dyDescent="0.2">
      <c r="A11" s="176" t="s">
        <v>183</v>
      </c>
      <c r="B11" s="24" t="s">
        <v>649</v>
      </c>
      <c r="C11" s="24" t="s">
        <v>490</v>
      </c>
      <c r="E11" s="175">
        <v>0</v>
      </c>
      <c r="F11" s="175">
        <v>0</v>
      </c>
      <c r="G11" s="175">
        <v>0</v>
      </c>
      <c r="H11" s="175">
        <v>0</v>
      </c>
      <c r="I11" s="175">
        <v>0</v>
      </c>
      <c r="J11" s="175">
        <v>0</v>
      </c>
      <c r="K11" s="175">
        <v>0</v>
      </c>
      <c r="L11" s="175">
        <v>0</v>
      </c>
      <c r="M11" s="175">
        <v>0</v>
      </c>
      <c r="N11" s="175">
        <v>0</v>
      </c>
    </row>
    <row r="12" spans="1:14" x14ac:dyDescent="0.2">
      <c r="A12" s="175" t="s">
        <v>183</v>
      </c>
      <c r="G12" s="175"/>
      <c r="H12" s="175"/>
      <c r="I12" s="175"/>
      <c r="J12" s="175"/>
    </row>
    <row r="13" spans="1:14" x14ac:dyDescent="0.2">
      <c r="A13" s="175" t="s">
        <v>183</v>
      </c>
      <c r="B13" s="26" t="s">
        <v>497</v>
      </c>
      <c r="G13" s="175"/>
      <c r="H13" s="175"/>
      <c r="I13" s="175"/>
      <c r="J13" s="175"/>
    </row>
    <row r="14" spans="1:14" x14ac:dyDescent="0.2">
      <c r="A14" s="175" t="s">
        <v>183</v>
      </c>
      <c r="B14" s="24" t="s">
        <v>498</v>
      </c>
      <c r="C14" s="129"/>
      <c r="D14" s="129"/>
      <c r="E14" s="175">
        <v>0</v>
      </c>
      <c r="F14" s="175">
        <v>0</v>
      </c>
      <c r="G14" s="175">
        <v>0</v>
      </c>
      <c r="H14" s="175">
        <v>0</v>
      </c>
      <c r="I14" s="175">
        <v>0</v>
      </c>
      <c r="J14" s="175">
        <v>0</v>
      </c>
      <c r="K14" s="175">
        <v>0</v>
      </c>
      <c r="L14" s="175">
        <v>0</v>
      </c>
      <c r="M14" s="175">
        <v>0</v>
      </c>
      <c r="N14" s="175">
        <v>0</v>
      </c>
    </row>
    <row r="15" spans="1:14" x14ac:dyDescent="0.2">
      <c r="A15" s="175" t="s">
        <v>183</v>
      </c>
      <c r="B15" s="24" t="s">
        <v>499</v>
      </c>
      <c r="C15" s="178">
        <v>1E-3</v>
      </c>
      <c r="D15" s="178"/>
      <c r="E15" s="176">
        <f t="shared" ref="E15:N15" si="1">E8*$C15</f>
        <v>9273.6486640000003</v>
      </c>
      <c r="F15" s="176">
        <f t="shared" si="1"/>
        <v>8467.6064738844434</v>
      </c>
      <c r="G15" s="176">
        <f t="shared" si="1"/>
        <v>7635.0616674104876</v>
      </c>
      <c r="H15" s="176">
        <f t="shared" si="1"/>
        <v>6769.6524646649168</v>
      </c>
      <c r="I15" s="176">
        <f t="shared" si="1"/>
        <v>5862.7126334378845</v>
      </c>
      <c r="J15" s="176">
        <f t="shared" si="1"/>
        <v>4952.6271609314572</v>
      </c>
      <c r="K15" s="176">
        <f t="shared" si="1"/>
        <v>3971.2812058140448</v>
      </c>
      <c r="L15" s="176">
        <f t="shared" si="1"/>
        <v>2885.7521669351572</v>
      </c>
      <c r="M15" s="176">
        <f t="shared" si="1"/>
        <v>1629.3225827045444</v>
      </c>
      <c r="N15" s="176">
        <f t="shared" si="1"/>
        <v>814.6612913522722</v>
      </c>
    </row>
    <row r="16" spans="1:14" x14ac:dyDescent="0.2">
      <c r="A16" s="175" t="s">
        <v>183</v>
      </c>
      <c r="B16" s="24" t="s">
        <v>500</v>
      </c>
      <c r="C16" s="178">
        <v>1.5E-3</v>
      </c>
      <c r="D16" s="178"/>
      <c r="E16" s="175">
        <f t="shared" ref="E16:N16" si="2">+E10*$C16</f>
        <v>9936.0521399999998</v>
      </c>
      <c r="F16" s="175">
        <f t="shared" si="2"/>
        <v>9072.435507733333</v>
      </c>
      <c r="G16" s="175">
        <f t="shared" si="2"/>
        <v>8180.4232150826656</v>
      </c>
      <c r="H16" s="175">
        <f t="shared" si="2"/>
        <v>7253.1990692838399</v>
      </c>
      <c r="I16" s="175">
        <f t="shared" si="2"/>
        <v>6281.4778215405904</v>
      </c>
      <c r="J16" s="175">
        <f t="shared" si="2"/>
        <v>5306.3862438551332</v>
      </c>
      <c r="K16" s="175">
        <f t="shared" si="2"/>
        <v>4254.9441490864765</v>
      </c>
      <c r="L16" s="175">
        <f t="shared" si="2"/>
        <v>3091.8773217162397</v>
      </c>
      <c r="M16" s="175">
        <f t="shared" si="2"/>
        <v>1745.7027671834403</v>
      </c>
      <c r="N16" s="175">
        <f t="shared" si="2"/>
        <v>0</v>
      </c>
    </row>
    <row r="17" spans="1:14" x14ac:dyDescent="0.2">
      <c r="A17" s="24" t="s">
        <v>183</v>
      </c>
      <c r="B17" s="24" t="s">
        <v>501</v>
      </c>
      <c r="C17" s="178">
        <v>9.8365900000000006E-2</v>
      </c>
      <c r="D17" s="178"/>
      <c r="E17" s="175">
        <v>0</v>
      </c>
      <c r="F17" s="175">
        <v>1</v>
      </c>
      <c r="G17" s="175">
        <v>2</v>
      </c>
      <c r="H17" s="175">
        <v>3</v>
      </c>
      <c r="I17" s="175">
        <v>4</v>
      </c>
      <c r="J17" s="175">
        <v>5</v>
      </c>
      <c r="K17" s="175">
        <v>6</v>
      </c>
      <c r="L17" s="175">
        <v>7</v>
      </c>
      <c r="M17" s="175">
        <v>8</v>
      </c>
      <c r="N17" s="175">
        <v>9</v>
      </c>
    </row>
    <row r="18" spans="1:14" ht="13.5" thickBot="1" x14ac:dyDescent="0.25">
      <c r="B18" s="24" t="s">
        <v>607</v>
      </c>
      <c r="C18" s="178">
        <v>2E-3</v>
      </c>
      <c r="D18" s="178"/>
      <c r="E18" s="175">
        <f t="shared" ref="E18:N18" si="3">E11*$C18</f>
        <v>0</v>
      </c>
      <c r="F18" s="175">
        <f t="shared" si="3"/>
        <v>0</v>
      </c>
      <c r="G18" s="175">
        <f t="shared" si="3"/>
        <v>0</v>
      </c>
      <c r="H18" s="175">
        <f t="shared" si="3"/>
        <v>0</v>
      </c>
      <c r="I18" s="175">
        <f t="shared" si="3"/>
        <v>0</v>
      </c>
      <c r="J18" s="175">
        <f t="shared" si="3"/>
        <v>0</v>
      </c>
      <c r="K18" s="175">
        <f t="shared" si="3"/>
        <v>0</v>
      </c>
      <c r="L18" s="175">
        <f t="shared" si="3"/>
        <v>0</v>
      </c>
      <c r="M18" s="175">
        <f t="shared" si="3"/>
        <v>0</v>
      </c>
      <c r="N18" s="175">
        <f t="shared" si="3"/>
        <v>0</v>
      </c>
    </row>
    <row r="19" spans="1:14" ht="13.5" thickBot="1" x14ac:dyDescent="0.25">
      <c r="C19" s="26" t="s">
        <v>491</v>
      </c>
      <c r="D19" s="26"/>
      <c r="E19" s="177">
        <f>SUM(E14:E18)</f>
        <v>19209.700804</v>
      </c>
      <c r="F19" s="177">
        <f t="shared" ref="F19:N19" si="4">SUM(F14:F18)</f>
        <v>17541.041981617775</v>
      </c>
      <c r="G19" s="177">
        <f t="shared" si="4"/>
        <v>15817.484882493154</v>
      </c>
      <c r="H19" s="177">
        <f t="shared" si="4"/>
        <v>14025.851533948757</v>
      </c>
      <c r="I19" s="177">
        <f t="shared" si="4"/>
        <v>12148.190454978474</v>
      </c>
      <c r="J19" s="177">
        <f t="shared" si="4"/>
        <v>10264.01340478659</v>
      </c>
      <c r="K19" s="177">
        <f t="shared" si="4"/>
        <v>8232.2253549005218</v>
      </c>
      <c r="L19" s="177">
        <f t="shared" si="4"/>
        <v>5984.629488651397</v>
      </c>
      <c r="M19" s="177">
        <f t="shared" si="4"/>
        <v>3383.0253498879847</v>
      </c>
      <c r="N19" s="177">
        <f t="shared" si="4"/>
        <v>823.6612913522722</v>
      </c>
    </row>
  </sheetData>
  <printOptions horizontalCentered="1" verticalCentered="1"/>
  <pageMargins left="0.9237007874015748" right="0.39370078740157483" top="0.39370078740157483" bottom="0.39370078740157483" header="0" footer="0"/>
  <pageSetup paperSize="9" scale="58" orientation="landscape" horizontalDpi="355" verticalDpi="464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2:T196"/>
  <sheetViews>
    <sheetView zoomScale="90" zoomScaleNormal="90" workbookViewId="0">
      <pane xSplit="2" ySplit="5" topLeftCell="C6" activePane="bottomRight" state="frozen"/>
      <selection pane="topRight" activeCell="C1" sqref="C1"/>
      <selection pane="bottomLeft" activeCell="A5" sqref="A5"/>
      <selection pane="bottomRight" activeCell="D12" sqref="D12"/>
    </sheetView>
  </sheetViews>
  <sheetFormatPr baseColWidth="10" defaultColWidth="11.42578125" defaultRowHeight="12.75" x14ac:dyDescent="0.2"/>
  <cols>
    <col min="1" max="1" width="35.85546875" style="24" customWidth="1"/>
    <col min="2" max="2" width="2.5703125" style="24" customWidth="1"/>
    <col min="3" max="3" width="14.28515625" style="24" customWidth="1"/>
    <col min="4" max="4" width="8.140625" style="24" bestFit="1" customWidth="1"/>
    <col min="5" max="5" width="11" style="24" bestFit="1" customWidth="1"/>
    <col min="6" max="6" width="11.42578125" style="24"/>
    <col min="7" max="7" width="12.7109375" style="24" bestFit="1" customWidth="1"/>
    <col min="8" max="16384" width="11.42578125" style="24"/>
  </cols>
  <sheetData>
    <row r="2" spans="1:14" ht="15.75" x14ac:dyDescent="0.25">
      <c r="A2" s="147" t="s">
        <v>140</v>
      </c>
    </row>
    <row r="3" spans="1:14" ht="16.5" x14ac:dyDescent="0.3">
      <c r="A3" s="148" t="s">
        <v>22</v>
      </c>
    </row>
    <row r="4" spans="1:14" x14ac:dyDescent="0.2">
      <c r="E4" s="208">
        <v>2017</v>
      </c>
      <c r="F4" s="208">
        <v>2018</v>
      </c>
      <c r="G4" s="208">
        <v>2019</v>
      </c>
      <c r="H4" s="208">
        <v>2020</v>
      </c>
      <c r="I4" s="208">
        <v>2021</v>
      </c>
      <c r="J4" s="208">
        <v>2022</v>
      </c>
      <c r="K4" s="208">
        <v>2023</v>
      </c>
      <c r="L4" s="208">
        <v>2024</v>
      </c>
      <c r="M4" s="208">
        <v>2025</v>
      </c>
      <c r="N4" s="208">
        <v>2026</v>
      </c>
    </row>
    <row r="5" spans="1:14" x14ac:dyDescent="0.2">
      <c r="E5" s="205" t="s">
        <v>0</v>
      </c>
      <c r="F5" s="205" t="s">
        <v>1</v>
      </c>
      <c r="G5" s="205" t="s">
        <v>2</v>
      </c>
      <c r="H5" s="205" t="s">
        <v>3</v>
      </c>
      <c r="I5" s="205" t="s">
        <v>4</v>
      </c>
      <c r="J5" s="205" t="s">
        <v>5</v>
      </c>
      <c r="K5" s="205" t="s">
        <v>6</v>
      </c>
      <c r="L5" s="205" t="s">
        <v>7</v>
      </c>
      <c r="M5" s="205" t="s">
        <v>8</v>
      </c>
      <c r="N5" s="205" t="s">
        <v>9</v>
      </c>
    </row>
    <row r="7" spans="1:14" x14ac:dyDescent="0.2">
      <c r="A7" s="145"/>
    </row>
    <row r="9" spans="1:14" x14ac:dyDescent="0.2">
      <c r="A9" s="145" t="s">
        <v>27</v>
      </c>
      <c r="C9" s="179" t="s">
        <v>183</v>
      </c>
      <c r="D9" s="180" t="s">
        <v>183</v>
      </c>
    </row>
    <row r="11" spans="1:14" ht="25.5" x14ac:dyDescent="0.25">
      <c r="A11" s="154" t="s">
        <v>191</v>
      </c>
      <c r="B11" s="181" t="s">
        <v>183</v>
      </c>
      <c r="C11" s="181" t="s">
        <v>461</v>
      </c>
      <c r="D11" s="182" t="s">
        <v>682</v>
      </c>
      <c r="E11" s="183" t="s">
        <v>194</v>
      </c>
      <c r="F11" s="25"/>
      <c r="G11" s="25"/>
      <c r="H11" s="25"/>
      <c r="I11" s="25"/>
      <c r="J11" s="25"/>
      <c r="K11" s="25"/>
      <c r="L11" s="25"/>
      <c r="M11" s="25"/>
      <c r="N11" s="25"/>
    </row>
    <row r="12" spans="1:14" x14ac:dyDescent="0.2">
      <c r="A12" s="24" t="str">
        <f>+Tarifa!A6</f>
        <v>Livianos</v>
      </c>
      <c r="B12" s="184" t="s">
        <v>183</v>
      </c>
      <c r="C12" s="153">
        <f>1-C13</f>
        <v>0.92999999999999994</v>
      </c>
      <c r="D12" s="25">
        <f>+$C$12*' Vehículos 1'!C6</f>
        <v>331225.07999999996</v>
      </c>
      <c r="E12" s="25">
        <f>+$C$12*' Vehículos 1'!D6</f>
        <v>298102.57199999999</v>
      </c>
      <c r="F12" s="25">
        <f>+$C$12*' Vehículos 1'!E6</f>
        <v>318969.75203999999</v>
      </c>
      <c r="G12" s="25">
        <f>+$C$12*' Vehículos 1'!F6</f>
        <v>341297.63468279998</v>
      </c>
      <c r="H12" s="25">
        <f>+$C$12*' Vehículos 1'!G6</f>
        <v>365188.46911059599</v>
      </c>
      <c r="I12" s="25">
        <f>+$C$12*' Vehículos 1'!H6</f>
        <v>390751.66194833769</v>
      </c>
      <c r="J12" s="25">
        <f>+$C$12*' Vehículos 1'!I6</f>
        <v>418104.27828472131</v>
      </c>
      <c r="K12" s="25">
        <f>+$C$12*' Vehículos 1'!J6</f>
        <v>447371.5777646518</v>
      </c>
      <c r="L12" s="25">
        <f>+$C$12*' Vehículos 1'!K6</f>
        <v>478687.58820817742</v>
      </c>
      <c r="M12" s="25">
        <f>+$C$12*' Vehículos 1'!L6</f>
        <v>512195.71938274987</v>
      </c>
      <c r="N12" s="25">
        <f>+$C$12*' Vehículos 1'!M6</f>
        <v>548049.41973954241</v>
      </c>
    </row>
    <row r="13" spans="1:14" x14ac:dyDescent="0.2">
      <c r="A13" s="24" t="s">
        <v>684</v>
      </c>
      <c r="B13" s="184" t="s">
        <v>183</v>
      </c>
      <c r="C13" s="153">
        <v>7.0000000000000007E-2</v>
      </c>
      <c r="D13" s="25">
        <f>+$C$13*' Vehículos 1'!C6</f>
        <v>24930.920000000002</v>
      </c>
      <c r="E13" s="25">
        <f>+$C$13*' Vehículos 1'!D6</f>
        <v>22437.828000000005</v>
      </c>
      <c r="F13" s="25">
        <f>+$C$13*' Vehículos 1'!E6</f>
        <v>24008.475960000003</v>
      </c>
      <c r="G13" s="25">
        <f>+$C$13*' Vehículos 1'!F6</f>
        <v>25689.069277200004</v>
      </c>
      <c r="H13" s="25">
        <f>+$C$13*' Vehículos 1'!G6</f>
        <v>27487.304126604002</v>
      </c>
      <c r="I13" s="25">
        <f>+$C$13*' Vehículos 1'!H6</f>
        <v>29411.415415466283</v>
      </c>
      <c r="J13" s="25">
        <f>+$C$13*' Vehículos 1'!I6</f>
        <v>31470.214494548924</v>
      </c>
      <c r="K13" s="25">
        <f>+$C$13*' Vehículos 1'!J6</f>
        <v>33673.129509167346</v>
      </c>
      <c r="L13" s="25">
        <f>+$C$13*' Vehículos 1'!K6</f>
        <v>36030.248574809062</v>
      </c>
      <c r="M13" s="25">
        <f>+$C$13*' Vehículos 1'!L6</f>
        <v>38552.365975045694</v>
      </c>
      <c r="N13" s="25">
        <f>+$C$13*' Vehículos 1'!M6</f>
        <v>41251.031593298896</v>
      </c>
    </row>
    <row r="14" spans="1:14" x14ac:dyDescent="0.2">
      <c r="A14" s="24" t="s">
        <v>10</v>
      </c>
      <c r="B14" s="184" t="s">
        <v>189</v>
      </c>
      <c r="C14" s="153">
        <v>0.55000000000000004</v>
      </c>
      <c r="D14" s="25">
        <f>+$C$14*' Vehículos 1'!C19</f>
        <v>13697.2</v>
      </c>
      <c r="E14" s="25">
        <f>+$C$14*' Vehículos 1'!D19</f>
        <v>13697.2</v>
      </c>
      <c r="F14" s="25">
        <f>+$C$14*' Vehículos 1'!E19</f>
        <v>14108.116</v>
      </c>
      <c r="G14" s="25">
        <f>+$C$14*' Vehículos 1'!F19</f>
        <v>14531.359479999999</v>
      </c>
      <c r="H14" s="25">
        <f>+$C$14*' Vehículos 1'!G19</f>
        <v>14967.300264400001</v>
      </c>
      <c r="I14" s="25">
        <f>+$C$14*' Vehículos 1'!H19</f>
        <v>15416.319272332001</v>
      </c>
      <c r="J14" s="25">
        <f>+$C$14*' Vehículos 1'!I19</f>
        <v>15878.808850501959</v>
      </c>
      <c r="K14" s="25">
        <f>+$C$14*' Vehículos 1'!J19</f>
        <v>16355.173116017017</v>
      </c>
      <c r="L14" s="25">
        <f>+$C$14*' Vehículos 1'!K19</f>
        <v>16845.828309497527</v>
      </c>
      <c r="M14" s="25">
        <f>+$C$14*' Vehículos 1'!L19</f>
        <v>17351.203158782453</v>
      </c>
      <c r="N14" s="25">
        <f>+$C$14*' Vehículos 1'!M19</f>
        <v>17871.739253545926</v>
      </c>
    </row>
    <row r="15" spans="1:14" x14ac:dyDescent="0.2">
      <c r="A15" s="24" t="s">
        <v>171</v>
      </c>
      <c r="B15" s="184" t="s">
        <v>183</v>
      </c>
      <c r="C15" s="153">
        <v>0.45</v>
      </c>
      <c r="D15" s="25">
        <f>+$C$15*' Vehículos 1'!C19</f>
        <v>11206.800000000001</v>
      </c>
      <c r="E15" s="25">
        <f>+$C$15*' Vehículos 1'!D19</f>
        <v>11206.800000000001</v>
      </c>
      <c r="F15" s="25">
        <f>+$C$15*' Vehículos 1'!E19</f>
        <v>11543.003999999999</v>
      </c>
      <c r="G15" s="25">
        <f>+$C$15*' Vehículos 1'!F19</f>
        <v>11889.294119999999</v>
      </c>
      <c r="H15" s="25">
        <f>+$C$15*' Vehículos 1'!G19</f>
        <v>12245.9729436</v>
      </c>
      <c r="I15" s="25">
        <f>+$C$15*' Vehículos 1'!H19</f>
        <v>12613.352131907999</v>
      </c>
      <c r="J15" s="25">
        <f>+$C$15*' Vehículos 1'!I19</f>
        <v>12991.752695865238</v>
      </c>
      <c r="K15" s="25">
        <f>+$C$15*' Vehículos 1'!J19</f>
        <v>13381.505276741194</v>
      </c>
      <c r="L15" s="25">
        <f>+$C$15*' Vehículos 1'!K19</f>
        <v>13782.950435043431</v>
      </c>
      <c r="M15" s="25">
        <f>+$C$15*' Vehículos 1'!L19</f>
        <v>14196.438948094734</v>
      </c>
      <c r="N15" s="25">
        <f>+$C$15*' Vehículos 1'!M19</f>
        <v>14622.332116537575</v>
      </c>
    </row>
    <row r="16" spans="1:14" x14ac:dyDescent="0.2">
      <c r="A16" s="24" t="str">
        <f>+Tarifa!A10</f>
        <v>Motos y otros</v>
      </c>
      <c r="B16" s="184" t="s">
        <v>183</v>
      </c>
      <c r="C16" s="153">
        <v>1</v>
      </c>
      <c r="D16" s="25">
        <f>+$C$16*' Vehículos 1'!C13</f>
        <v>22533</v>
      </c>
      <c r="E16" s="25">
        <f>+$C$16*' Vehículos 1'!D13</f>
        <v>20279.7</v>
      </c>
      <c r="F16" s="25">
        <f>+$C$16*' Vehículos 1'!E13</f>
        <v>21699.279000000002</v>
      </c>
      <c r="G16" s="25">
        <f>+$C$16*' Vehículos 1'!F13</f>
        <v>23218.228530000004</v>
      </c>
      <c r="H16" s="25">
        <f>+$C$16*' Vehículos 1'!G13</f>
        <v>24843.504527100005</v>
      </c>
      <c r="I16" s="25">
        <f>+$C$16*' Vehículos 1'!H13</f>
        <v>26582.549843997007</v>
      </c>
      <c r="J16" s="25">
        <f>+$C$16*' Vehículos 1'!I13</f>
        <v>28443.328333076799</v>
      </c>
      <c r="K16" s="25">
        <f>+$C$16*' Vehículos 1'!J13</f>
        <v>30434.361316392176</v>
      </c>
      <c r="L16" s="25">
        <f>+$C$16*' Vehículos 1'!K13</f>
        <v>32564.76660853963</v>
      </c>
      <c r="M16" s="25">
        <f>+$C$16*' Vehículos 1'!L13</f>
        <v>34844.300271137407</v>
      </c>
      <c r="N16" s="25">
        <f>+$C$16*' Vehículos 1'!M13</f>
        <v>37283.401290117028</v>
      </c>
    </row>
    <row r="17" spans="1:20" x14ac:dyDescent="0.2">
      <c r="A17" s="24" t="s">
        <v>31</v>
      </c>
      <c r="C17" s="185"/>
      <c r="D17" s="25">
        <f t="shared" ref="D17:N17" si="0">SUM(D12:D16)</f>
        <v>403592.99999999994</v>
      </c>
      <c r="E17" s="27">
        <f t="shared" si="0"/>
        <v>365724.1</v>
      </c>
      <c r="F17" s="27">
        <f t="shared" si="0"/>
        <v>390328.62699999998</v>
      </c>
      <c r="G17" s="27">
        <f t="shared" si="0"/>
        <v>416625.58608999994</v>
      </c>
      <c r="H17" s="27">
        <f t="shared" si="0"/>
        <v>444732.5509723</v>
      </c>
      <c r="I17" s="27">
        <f t="shared" si="0"/>
        <v>474775.29861204099</v>
      </c>
      <c r="J17" s="27">
        <f t="shared" si="0"/>
        <v>506888.3826587142</v>
      </c>
      <c r="K17" s="27">
        <f t="shared" si="0"/>
        <v>541215.74698296946</v>
      </c>
      <c r="L17" s="27">
        <f t="shared" si="0"/>
        <v>577911.38213606703</v>
      </c>
      <c r="M17" s="27">
        <f t="shared" si="0"/>
        <v>617140.02773581014</v>
      </c>
      <c r="N17" s="27">
        <f t="shared" si="0"/>
        <v>659077.92399304186</v>
      </c>
    </row>
    <row r="18" spans="1:20" x14ac:dyDescent="0.2">
      <c r="O18" s="25"/>
      <c r="P18" s="25"/>
      <c r="Q18" s="25"/>
      <c r="R18" s="25"/>
      <c r="S18" s="25"/>
      <c r="T18" s="25"/>
    </row>
    <row r="19" spans="1:20" x14ac:dyDescent="0.2">
      <c r="A19" s="145" t="s">
        <v>211</v>
      </c>
      <c r="D19" s="25" t="s">
        <v>189</v>
      </c>
      <c r="E19" s="25" t="s">
        <v>189</v>
      </c>
      <c r="F19" s="25" t="s">
        <v>189</v>
      </c>
      <c r="G19" s="25" t="s">
        <v>189</v>
      </c>
      <c r="H19" s="25" t="s">
        <v>189</v>
      </c>
      <c r="I19" s="25" t="s">
        <v>189</v>
      </c>
      <c r="J19" s="25" t="s">
        <v>189</v>
      </c>
      <c r="K19" s="25" t="s">
        <v>189</v>
      </c>
      <c r="L19" s="25" t="s">
        <v>189</v>
      </c>
      <c r="M19" s="25" t="s">
        <v>189</v>
      </c>
      <c r="N19" s="25" t="s">
        <v>189</v>
      </c>
      <c r="O19" s="25"/>
      <c r="P19" s="25"/>
      <c r="Q19" s="25"/>
      <c r="R19" s="25"/>
      <c r="S19" s="25"/>
      <c r="T19" s="25"/>
    </row>
    <row r="20" spans="1:20" x14ac:dyDescent="0.2">
      <c r="A20" s="14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</row>
    <row r="21" spans="1:20" x14ac:dyDescent="0.2">
      <c r="A21" s="154" t="s">
        <v>191</v>
      </c>
      <c r="D21" s="25" t="s">
        <v>183</v>
      </c>
      <c r="E21" s="186"/>
      <c r="F21" s="25"/>
      <c r="G21" s="25" t="s">
        <v>183</v>
      </c>
      <c r="H21" s="25" t="s">
        <v>183</v>
      </c>
      <c r="I21" s="25" t="s">
        <v>189</v>
      </c>
      <c r="J21" s="25"/>
      <c r="K21" s="25"/>
      <c r="L21" s="25"/>
      <c r="M21" s="25"/>
      <c r="N21" s="25"/>
    </row>
    <row r="22" spans="1:20" x14ac:dyDescent="0.2">
      <c r="A22" s="24" t="str">
        <f>+A12</f>
        <v>Livianos</v>
      </c>
      <c r="B22" s="139" t="s">
        <v>183</v>
      </c>
      <c r="C22" s="139"/>
      <c r="D22" s="25" t="s">
        <v>183</v>
      </c>
      <c r="E22" s="25">
        <f>+(D12*E31)</f>
        <v>13249.003199999999</v>
      </c>
      <c r="F22" s="25">
        <f>+(E12*F31)</f>
        <v>20867.180039999999</v>
      </c>
      <c r="G22" s="25">
        <f>+(F12+F22)*G31</f>
        <v>23788.585245600003</v>
      </c>
      <c r="H22" s="25">
        <f t="shared" ref="H22:H26" si="1">+(G12+G22)*H31</f>
        <v>25556.035394988005</v>
      </c>
      <c r="I22" s="25">
        <f t="shared" ref="I22:N22" si="2">+(H12+H22)*I31</f>
        <v>27352.115315390885</v>
      </c>
      <c r="J22" s="25">
        <f t="shared" si="2"/>
        <v>29267.264408461</v>
      </c>
      <c r="K22" s="25">
        <f t="shared" si="2"/>
        <v>31316.007988522764</v>
      </c>
      <c r="L22" s="25">
        <f>+(K12+K22)*L31</f>
        <v>33508.131002722221</v>
      </c>
      <c r="M22" s="25">
        <f t="shared" si="2"/>
        <v>35853.700344762983</v>
      </c>
      <c r="N22" s="25">
        <f t="shared" si="2"/>
        <v>38363.459380925902</v>
      </c>
    </row>
    <row r="23" spans="1:20" x14ac:dyDescent="0.2">
      <c r="A23" s="24" t="s">
        <v>684</v>
      </c>
      <c r="B23" s="139" t="s">
        <v>183</v>
      </c>
      <c r="C23" s="139"/>
      <c r="D23" s="25" t="s">
        <v>189</v>
      </c>
      <c r="E23" s="25">
        <f t="shared" ref="E23:E26" si="3">+(D13*E32)</f>
        <v>997.23680000000013</v>
      </c>
      <c r="F23" s="25">
        <f>+(E13*F32)</f>
        <v>1570.6479600000005</v>
      </c>
      <c r="G23" s="25">
        <f>+(F13+F23)*G32</f>
        <v>1790.5386744000004</v>
      </c>
      <c r="H23" s="25">
        <f t="shared" si="1"/>
        <v>1923.5725566120004</v>
      </c>
      <c r="I23" s="25">
        <f t="shared" ref="I23:N23" si="4">+(H13+H23)*I32</f>
        <v>2058.7613678251205</v>
      </c>
      <c r="J23" s="25">
        <f t="shared" si="4"/>
        <v>2202.9123748303987</v>
      </c>
      <c r="K23" s="25">
        <f t="shared" si="4"/>
        <v>2357.118880856553</v>
      </c>
      <c r="L23" s="25">
        <f>+(K13+K23)*L32</f>
        <v>2522.1173873016733</v>
      </c>
      <c r="M23" s="25">
        <f t="shared" si="4"/>
        <v>2698.6656173477518</v>
      </c>
      <c r="N23" s="25">
        <f t="shared" si="4"/>
        <v>2887.5722114675414</v>
      </c>
    </row>
    <row r="24" spans="1:20" x14ac:dyDescent="0.2">
      <c r="A24" s="24" t="s">
        <v>10</v>
      </c>
      <c r="B24" s="139" t="s">
        <v>183</v>
      </c>
      <c r="C24" s="139"/>
      <c r="D24" s="25" t="s">
        <v>183</v>
      </c>
      <c r="E24" s="25">
        <f t="shared" si="3"/>
        <v>547.88800000000003</v>
      </c>
      <c r="F24" s="25">
        <f>+(E14*F33)</f>
        <v>958.80400000000009</v>
      </c>
      <c r="G24" s="25">
        <f>+(F14+F24)*G33</f>
        <v>1054.6844000000001</v>
      </c>
      <c r="H24" s="25">
        <f t="shared" si="1"/>
        <v>1091.0230716000001</v>
      </c>
      <c r="I24" s="25">
        <f t="shared" ref="I24:N24" si="5">+(H14+H24)*I33</f>
        <v>1124.0826335200002</v>
      </c>
      <c r="J24" s="25">
        <f t="shared" si="5"/>
        <v>1157.8281334096403</v>
      </c>
      <c r="K24" s="25">
        <f t="shared" si="5"/>
        <v>1192.564588873812</v>
      </c>
      <c r="L24" s="25">
        <f>+(K14+K24)*L33</f>
        <v>1228.3416393423581</v>
      </c>
      <c r="M24" s="25">
        <f t="shared" si="5"/>
        <v>1265.1918964187921</v>
      </c>
      <c r="N24" s="25">
        <f t="shared" si="5"/>
        <v>1303.1476538640875</v>
      </c>
    </row>
    <row r="25" spans="1:20" x14ac:dyDescent="0.2">
      <c r="A25" s="24" t="s">
        <v>171</v>
      </c>
      <c r="B25" s="139" t="s">
        <v>183</v>
      </c>
      <c r="C25" s="139"/>
      <c r="D25" s="25" t="s">
        <v>189</v>
      </c>
      <c r="E25" s="25">
        <f t="shared" si="3"/>
        <v>448.27200000000005</v>
      </c>
      <c r="F25" s="25">
        <f>+(E15*F34)</f>
        <v>784.47600000000011</v>
      </c>
      <c r="G25" s="25">
        <f>+(F15+F25)*G34</f>
        <v>862.92360000000008</v>
      </c>
      <c r="H25" s="25">
        <f t="shared" si="1"/>
        <v>892.65524040000003</v>
      </c>
      <c r="I25" s="25">
        <f t="shared" ref="I25:N25" si="6">+(H15+H25)*I34</f>
        <v>919.70397288000004</v>
      </c>
      <c r="J25" s="25">
        <f t="shared" si="6"/>
        <v>947.31392733516009</v>
      </c>
      <c r="K25" s="25">
        <f t="shared" si="6"/>
        <v>975.73466362402803</v>
      </c>
      <c r="L25" s="25">
        <f>+(K15+K25)*L34</f>
        <v>1005.0067958255656</v>
      </c>
      <c r="M25" s="25">
        <f t="shared" si="6"/>
        <v>1035.15700616083</v>
      </c>
      <c r="N25" s="25">
        <f t="shared" si="6"/>
        <v>1066.2117167978897</v>
      </c>
    </row>
    <row r="26" spans="1:20" x14ac:dyDescent="0.2">
      <c r="A26" s="24" t="str">
        <f>+A16</f>
        <v>Motos y otros</v>
      </c>
      <c r="B26" s="139" t="s">
        <v>183</v>
      </c>
      <c r="C26" s="139"/>
      <c r="D26" s="25" t="s">
        <v>183</v>
      </c>
      <c r="E26" s="25">
        <f t="shared" si="3"/>
        <v>901.32</v>
      </c>
      <c r="F26" s="25">
        <f>+(E16*F35)</f>
        <v>1419.5790000000002</v>
      </c>
      <c r="G26" s="25">
        <f>+(F16+F26)*G35</f>
        <v>1618.3200600000005</v>
      </c>
      <c r="H26" s="25">
        <f t="shared" si="1"/>
        <v>1738.5584013000005</v>
      </c>
      <c r="I26" s="25">
        <f t="shared" ref="I26:N26" si="7">+(H16+H26)*I35</f>
        <v>1860.7444049880005</v>
      </c>
      <c r="J26" s="25">
        <f t="shared" si="7"/>
        <v>1991.0305974289506</v>
      </c>
      <c r="K26" s="25">
        <f t="shared" si="7"/>
        <v>2130.4051251354026</v>
      </c>
      <c r="L26" s="25">
        <f>+(K16+K26)*L35</f>
        <v>2279.5336509069307</v>
      </c>
      <c r="M26" s="25">
        <f t="shared" si="7"/>
        <v>2439.1010181612592</v>
      </c>
      <c r="N26" s="25">
        <f t="shared" si="7"/>
        <v>2609.8380902509066</v>
      </c>
    </row>
    <row r="27" spans="1:20" x14ac:dyDescent="0.2">
      <c r="E27" s="27">
        <f t="shared" ref="E27:N27" si="8">SUM(E22:E26)</f>
        <v>16143.720000000001</v>
      </c>
      <c r="F27" s="27">
        <f t="shared" si="8"/>
        <v>25600.687000000002</v>
      </c>
      <c r="G27" s="27">
        <f>SUM(G22:G26)</f>
        <v>29115.051980000007</v>
      </c>
      <c r="H27" s="27">
        <f t="shared" si="8"/>
        <v>31201.844664900007</v>
      </c>
      <c r="I27" s="27">
        <f t="shared" si="8"/>
        <v>33315.407694604008</v>
      </c>
      <c r="J27" s="27">
        <f t="shared" si="8"/>
        <v>35566.34944146515</v>
      </c>
      <c r="K27" s="27">
        <f t="shared" si="8"/>
        <v>37971.83124701256</v>
      </c>
      <c r="L27" s="27">
        <f t="shared" si="8"/>
        <v>40543.130476098755</v>
      </c>
      <c r="M27" s="27">
        <f t="shared" si="8"/>
        <v>43291.815882851617</v>
      </c>
      <c r="N27" s="27">
        <f t="shared" si="8"/>
        <v>46230.229053306328</v>
      </c>
    </row>
    <row r="28" spans="1:20" x14ac:dyDescent="0.2">
      <c r="D28" s="25" t="s">
        <v>183</v>
      </c>
      <c r="E28" s="25"/>
      <c r="F28" s="25"/>
      <c r="G28" s="25"/>
      <c r="H28" s="25"/>
      <c r="I28" s="25"/>
      <c r="J28" s="25"/>
      <c r="K28" s="25"/>
      <c r="L28" s="25"/>
      <c r="M28" s="25"/>
      <c r="N28" s="25"/>
    </row>
    <row r="29" spans="1:20" x14ac:dyDescent="0.2">
      <c r="E29" s="25"/>
      <c r="F29" s="25"/>
      <c r="G29" s="25"/>
      <c r="H29" s="25"/>
      <c r="I29" s="25"/>
      <c r="J29" s="25"/>
      <c r="K29" s="25"/>
      <c r="L29" s="25"/>
      <c r="M29" s="25"/>
      <c r="N29" s="25"/>
    </row>
    <row r="30" spans="1:20" x14ac:dyDescent="0.2">
      <c r="A30" s="154" t="s">
        <v>12</v>
      </c>
      <c r="E30" s="25"/>
      <c r="F30" s="25"/>
      <c r="G30" s="25"/>
      <c r="H30" s="25"/>
      <c r="I30" s="25"/>
      <c r="J30" s="25"/>
      <c r="K30" s="25"/>
      <c r="L30" s="25"/>
      <c r="M30" s="25"/>
      <c r="N30" s="25"/>
    </row>
    <row r="31" spans="1:20" x14ac:dyDescent="0.2">
      <c r="A31" s="24" t="str">
        <f>A12</f>
        <v>Livianos</v>
      </c>
      <c r="E31" s="128">
        <v>0.04</v>
      </c>
      <c r="F31" s="128">
        <f>+Condiciones!$B$11</f>
        <v>7.0000000000000007E-2</v>
      </c>
      <c r="G31" s="128">
        <f>+F31</f>
        <v>7.0000000000000007E-2</v>
      </c>
      <c r="H31" s="128">
        <f t="shared" ref="H31:N31" si="9">+G31</f>
        <v>7.0000000000000007E-2</v>
      </c>
      <c r="I31" s="128">
        <f t="shared" si="9"/>
        <v>7.0000000000000007E-2</v>
      </c>
      <c r="J31" s="128">
        <f t="shared" si="9"/>
        <v>7.0000000000000007E-2</v>
      </c>
      <c r="K31" s="128">
        <f t="shared" si="9"/>
        <v>7.0000000000000007E-2</v>
      </c>
      <c r="L31" s="128">
        <f t="shared" si="9"/>
        <v>7.0000000000000007E-2</v>
      </c>
      <c r="M31" s="128">
        <f t="shared" si="9"/>
        <v>7.0000000000000007E-2</v>
      </c>
      <c r="N31" s="128">
        <f t="shared" si="9"/>
        <v>7.0000000000000007E-2</v>
      </c>
    </row>
    <row r="32" spans="1:20" x14ac:dyDescent="0.2">
      <c r="A32" s="24" t="str">
        <f>A13</f>
        <v>Taxis y furgonetas</v>
      </c>
      <c r="E32" s="128">
        <v>0.04</v>
      </c>
      <c r="F32" s="128">
        <f>+Condiciones!$B$11</f>
        <v>7.0000000000000007E-2</v>
      </c>
      <c r="G32" s="128">
        <f t="shared" ref="G32:N32" si="10">+F32</f>
        <v>7.0000000000000007E-2</v>
      </c>
      <c r="H32" s="128">
        <f t="shared" si="10"/>
        <v>7.0000000000000007E-2</v>
      </c>
      <c r="I32" s="128">
        <f t="shared" si="10"/>
        <v>7.0000000000000007E-2</v>
      </c>
      <c r="J32" s="128">
        <f t="shared" si="10"/>
        <v>7.0000000000000007E-2</v>
      </c>
      <c r="K32" s="128">
        <f t="shared" si="10"/>
        <v>7.0000000000000007E-2</v>
      </c>
      <c r="L32" s="128">
        <f t="shared" si="10"/>
        <v>7.0000000000000007E-2</v>
      </c>
      <c r="M32" s="128">
        <f t="shared" si="10"/>
        <v>7.0000000000000007E-2</v>
      </c>
      <c r="N32" s="128">
        <f t="shared" si="10"/>
        <v>7.0000000000000007E-2</v>
      </c>
    </row>
    <row r="33" spans="1:14" x14ac:dyDescent="0.2">
      <c r="A33" s="24" t="str">
        <f>A14</f>
        <v>Pesados</v>
      </c>
      <c r="E33" s="128">
        <v>0.04</v>
      </c>
      <c r="F33" s="128">
        <f>+Condiciones!$B$11</f>
        <v>7.0000000000000007E-2</v>
      </c>
      <c r="G33" s="128">
        <f t="shared" ref="G33:N33" si="11">+F33</f>
        <v>7.0000000000000007E-2</v>
      </c>
      <c r="H33" s="128">
        <f t="shared" si="11"/>
        <v>7.0000000000000007E-2</v>
      </c>
      <c r="I33" s="128">
        <f t="shared" si="11"/>
        <v>7.0000000000000007E-2</v>
      </c>
      <c r="J33" s="128">
        <f t="shared" si="11"/>
        <v>7.0000000000000007E-2</v>
      </c>
      <c r="K33" s="128">
        <f t="shared" si="11"/>
        <v>7.0000000000000007E-2</v>
      </c>
      <c r="L33" s="128">
        <f t="shared" si="11"/>
        <v>7.0000000000000007E-2</v>
      </c>
      <c r="M33" s="128">
        <f t="shared" si="11"/>
        <v>7.0000000000000007E-2</v>
      </c>
      <c r="N33" s="128">
        <f t="shared" si="11"/>
        <v>7.0000000000000007E-2</v>
      </c>
    </row>
    <row r="34" spans="1:14" x14ac:dyDescent="0.2">
      <c r="A34" s="24" t="str">
        <f>A15</f>
        <v>Buses</v>
      </c>
      <c r="E34" s="128">
        <v>0.04</v>
      </c>
      <c r="F34" s="128">
        <f>+Condiciones!$B$11</f>
        <v>7.0000000000000007E-2</v>
      </c>
      <c r="G34" s="128">
        <f t="shared" ref="G34:N34" si="12">+F34</f>
        <v>7.0000000000000007E-2</v>
      </c>
      <c r="H34" s="128">
        <f t="shared" si="12"/>
        <v>7.0000000000000007E-2</v>
      </c>
      <c r="I34" s="128">
        <f t="shared" si="12"/>
        <v>7.0000000000000007E-2</v>
      </c>
      <c r="J34" s="128">
        <f t="shared" si="12"/>
        <v>7.0000000000000007E-2</v>
      </c>
      <c r="K34" s="128">
        <f t="shared" si="12"/>
        <v>7.0000000000000007E-2</v>
      </c>
      <c r="L34" s="128">
        <f t="shared" si="12"/>
        <v>7.0000000000000007E-2</v>
      </c>
      <c r="M34" s="128">
        <f t="shared" si="12"/>
        <v>7.0000000000000007E-2</v>
      </c>
      <c r="N34" s="128">
        <f t="shared" si="12"/>
        <v>7.0000000000000007E-2</v>
      </c>
    </row>
    <row r="35" spans="1:14" x14ac:dyDescent="0.2">
      <c r="A35" s="24" t="str">
        <f>A16</f>
        <v>Motos y otros</v>
      </c>
      <c r="E35" s="128">
        <v>0.04</v>
      </c>
      <c r="F35" s="128">
        <f>+Condiciones!$B$11</f>
        <v>7.0000000000000007E-2</v>
      </c>
      <c r="G35" s="128">
        <f t="shared" ref="G35:N35" si="13">+F35</f>
        <v>7.0000000000000007E-2</v>
      </c>
      <c r="H35" s="128">
        <f t="shared" si="13"/>
        <v>7.0000000000000007E-2</v>
      </c>
      <c r="I35" s="128">
        <f t="shared" si="13"/>
        <v>7.0000000000000007E-2</v>
      </c>
      <c r="J35" s="128">
        <f t="shared" si="13"/>
        <v>7.0000000000000007E-2</v>
      </c>
      <c r="K35" s="128">
        <f t="shared" si="13"/>
        <v>7.0000000000000007E-2</v>
      </c>
      <c r="L35" s="128">
        <f t="shared" si="13"/>
        <v>7.0000000000000007E-2</v>
      </c>
      <c r="M35" s="128">
        <f t="shared" si="13"/>
        <v>7.0000000000000007E-2</v>
      </c>
      <c r="N35" s="128">
        <f t="shared" si="13"/>
        <v>7.0000000000000007E-2</v>
      </c>
    </row>
    <row r="36" spans="1:14" x14ac:dyDescent="0.2">
      <c r="E36" s="143"/>
      <c r="F36" s="158"/>
      <c r="G36" s="158"/>
      <c r="H36" s="158"/>
      <c r="I36" s="158"/>
      <c r="J36" s="158"/>
      <c r="K36" s="158"/>
      <c r="L36" s="158"/>
      <c r="M36" s="158"/>
      <c r="N36" s="158"/>
    </row>
    <row r="37" spans="1:14" x14ac:dyDescent="0.2">
      <c r="A37" s="145" t="s">
        <v>15</v>
      </c>
      <c r="E37" s="143"/>
      <c r="F37" s="158"/>
      <c r="G37" s="158"/>
      <c r="H37" s="158"/>
      <c r="I37" s="158"/>
      <c r="J37" s="158"/>
      <c r="K37" s="158"/>
      <c r="L37" s="158"/>
      <c r="M37" s="158"/>
      <c r="N37" s="158"/>
    </row>
    <row r="38" spans="1:14" x14ac:dyDescent="0.2">
      <c r="E38" s="25"/>
      <c r="F38" s="25"/>
      <c r="G38" s="25"/>
      <c r="H38" s="25"/>
      <c r="I38" s="25"/>
      <c r="J38" s="25"/>
      <c r="K38" s="25"/>
      <c r="L38" s="25"/>
      <c r="M38" s="25"/>
      <c r="N38" s="25"/>
    </row>
    <row r="39" spans="1:14" x14ac:dyDescent="0.2">
      <c r="A39" s="154" t="s">
        <v>13</v>
      </c>
      <c r="E39" s="25"/>
      <c r="F39" s="25"/>
      <c r="G39" s="25"/>
      <c r="H39" s="25"/>
      <c r="I39" s="25"/>
      <c r="J39" s="25"/>
      <c r="K39" s="25"/>
      <c r="L39" s="25"/>
      <c r="M39" s="25"/>
      <c r="N39" s="25"/>
    </row>
    <row r="40" spans="1:14" x14ac:dyDescent="0.2">
      <c r="A40" s="24" t="str">
        <f>A31</f>
        <v>Livianos</v>
      </c>
      <c r="E40" s="143">
        <f>+Condiciones!$B$12</f>
        <v>1</v>
      </c>
      <c r="F40" s="143">
        <f>+E40</f>
        <v>1</v>
      </c>
      <c r="G40" s="143">
        <f t="shared" ref="G40:N40" si="14">+F40</f>
        <v>1</v>
      </c>
      <c r="H40" s="143">
        <f t="shared" si="14"/>
        <v>1</v>
      </c>
      <c r="I40" s="143">
        <f t="shared" si="14"/>
        <v>1</v>
      </c>
      <c r="J40" s="143">
        <f t="shared" si="14"/>
        <v>1</v>
      </c>
      <c r="K40" s="143">
        <f t="shared" si="14"/>
        <v>1</v>
      </c>
      <c r="L40" s="143">
        <f t="shared" si="14"/>
        <v>1</v>
      </c>
      <c r="M40" s="143">
        <f t="shared" si="14"/>
        <v>1</v>
      </c>
      <c r="N40" s="143">
        <f t="shared" si="14"/>
        <v>1</v>
      </c>
    </row>
    <row r="41" spans="1:14" x14ac:dyDescent="0.2">
      <c r="A41" s="24" t="str">
        <f>A32</f>
        <v>Taxis y furgonetas</v>
      </c>
      <c r="E41" s="143">
        <f>+Condiciones!$B$12</f>
        <v>1</v>
      </c>
      <c r="F41" s="143">
        <f t="shared" ref="F41:N44" si="15">+E41</f>
        <v>1</v>
      </c>
      <c r="G41" s="143">
        <f t="shared" si="15"/>
        <v>1</v>
      </c>
      <c r="H41" s="143">
        <f t="shared" si="15"/>
        <v>1</v>
      </c>
      <c r="I41" s="143">
        <f t="shared" si="15"/>
        <v>1</v>
      </c>
      <c r="J41" s="143">
        <f t="shared" si="15"/>
        <v>1</v>
      </c>
      <c r="K41" s="143">
        <f t="shared" si="15"/>
        <v>1</v>
      </c>
      <c r="L41" s="143">
        <f t="shared" si="15"/>
        <v>1</v>
      </c>
      <c r="M41" s="143">
        <f t="shared" si="15"/>
        <v>1</v>
      </c>
      <c r="N41" s="143">
        <f t="shared" si="15"/>
        <v>1</v>
      </c>
    </row>
    <row r="42" spans="1:14" x14ac:dyDescent="0.2">
      <c r="A42" s="24" t="str">
        <f>A33</f>
        <v>Pesados</v>
      </c>
      <c r="E42" s="143">
        <f>+Condiciones!$B$12</f>
        <v>1</v>
      </c>
      <c r="F42" s="143">
        <f t="shared" si="15"/>
        <v>1</v>
      </c>
      <c r="G42" s="143">
        <f t="shared" si="15"/>
        <v>1</v>
      </c>
      <c r="H42" s="143">
        <f t="shared" si="15"/>
        <v>1</v>
      </c>
      <c r="I42" s="143">
        <f t="shared" si="15"/>
        <v>1</v>
      </c>
      <c r="J42" s="143">
        <f t="shared" si="15"/>
        <v>1</v>
      </c>
      <c r="K42" s="143">
        <f t="shared" si="15"/>
        <v>1</v>
      </c>
      <c r="L42" s="143">
        <f t="shared" si="15"/>
        <v>1</v>
      </c>
      <c r="M42" s="143">
        <f t="shared" si="15"/>
        <v>1</v>
      </c>
      <c r="N42" s="143">
        <f t="shared" si="15"/>
        <v>1</v>
      </c>
    </row>
    <row r="43" spans="1:14" x14ac:dyDescent="0.2">
      <c r="A43" s="24" t="str">
        <f>A34</f>
        <v>Buses</v>
      </c>
      <c r="E43" s="143">
        <f>+Condiciones!$B$12</f>
        <v>1</v>
      </c>
      <c r="F43" s="143">
        <f t="shared" si="15"/>
        <v>1</v>
      </c>
      <c r="G43" s="143">
        <f t="shared" si="15"/>
        <v>1</v>
      </c>
      <c r="H43" s="143">
        <f t="shared" si="15"/>
        <v>1</v>
      </c>
      <c r="I43" s="143">
        <f t="shared" si="15"/>
        <v>1</v>
      </c>
      <c r="J43" s="143">
        <f t="shared" si="15"/>
        <v>1</v>
      </c>
      <c r="K43" s="143">
        <f t="shared" si="15"/>
        <v>1</v>
      </c>
      <c r="L43" s="143">
        <f t="shared" si="15"/>
        <v>1</v>
      </c>
      <c r="M43" s="143">
        <f t="shared" si="15"/>
        <v>1</v>
      </c>
      <c r="N43" s="143">
        <f t="shared" si="15"/>
        <v>1</v>
      </c>
    </row>
    <row r="44" spans="1:14" x14ac:dyDescent="0.2">
      <c r="A44" s="24" t="str">
        <f>A35</f>
        <v>Motos y otros</v>
      </c>
      <c r="E44" s="143">
        <f>+Condiciones!$B$12</f>
        <v>1</v>
      </c>
      <c r="F44" s="143">
        <f t="shared" si="15"/>
        <v>1</v>
      </c>
      <c r="G44" s="143">
        <f t="shared" si="15"/>
        <v>1</v>
      </c>
      <c r="H44" s="143">
        <f t="shared" si="15"/>
        <v>1</v>
      </c>
      <c r="I44" s="143">
        <f t="shared" si="15"/>
        <v>1</v>
      </c>
      <c r="J44" s="143">
        <f t="shared" si="15"/>
        <v>1</v>
      </c>
      <c r="K44" s="143">
        <f t="shared" si="15"/>
        <v>1</v>
      </c>
      <c r="L44" s="143">
        <f t="shared" si="15"/>
        <v>1</v>
      </c>
      <c r="M44" s="143">
        <f t="shared" si="15"/>
        <v>1</v>
      </c>
      <c r="N44" s="143">
        <f t="shared" si="15"/>
        <v>1</v>
      </c>
    </row>
    <row r="45" spans="1:14" x14ac:dyDescent="0.2">
      <c r="E45" s="25"/>
      <c r="F45" s="25"/>
      <c r="G45" s="25"/>
      <c r="H45" s="25"/>
      <c r="I45" s="25"/>
      <c r="J45" s="25"/>
      <c r="K45" s="25"/>
      <c r="L45" s="25"/>
      <c r="M45" s="25"/>
      <c r="N45" s="25"/>
    </row>
    <row r="46" spans="1:14" x14ac:dyDescent="0.2">
      <c r="A46" s="154" t="s">
        <v>14</v>
      </c>
      <c r="E46" s="25"/>
      <c r="F46" s="25"/>
      <c r="G46" s="25"/>
      <c r="H46" s="25"/>
      <c r="I46" s="25"/>
      <c r="J46" s="25"/>
      <c r="K46" s="25"/>
      <c r="L46" s="25"/>
      <c r="M46" s="25"/>
      <c r="N46" s="25"/>
    </row>
    <row r="47" spans="1:14" x14ac:dyDescent="0.2">
      <c r="A47" s="24" t="str">
        <f>A40</f>
        <v>Livianos</v>
      </c>
      <c r="E47" s="25">
        <f>E12*E40</f>
        <v>298102.57199999999</v>
      </c>
      <c r="F47" s="25">
        <f>F12*F40</f>
        <v>318969.75203999999</v>
      </c>
      <c r="G47" s="25">
        <f t="shared" ref="G47:N47" si="16">G12*G40</f>
        <v>341297.63468279998</v>
      </c>
      <c r="H47" s="25">
        <f t="shared" si="16"/>
        <v>365188.46911059599</v>
      </c>
      <c r="I47" s="25">
        <f t="shared" si="16"/>
        <v>390751.66194833769</v>
      </c>
      <c r="J47" s="25">
        <f t="shared" si="16"/>
        <v>418104.27828472131</v>
      </c>
      <c r="K47" s="25">
        <f t="shared" si="16"/>
        <v>447371.5777646518</v>
      </c>
      <c r="L47" s="25">
        <f t="shared" si="16"/>
        <v>478687.58820817742</v>
      </c>
      <c r="M47" s="25">
        <f t="shared" si="16"/>
        <v>512195.71938274987</v>
      </c>
      <c r="N47" s="25">
        <f t="shared" si="16"/>
        <v>548049.41973954241</v>
      </c>
    </row>
    <row r="48" spans="1:14" x14ac:dyDescent="0.2">
      <c r="A48" s="24" t="str">
        <f>A41</f>
        <v>Taxis y furgonetas</v>
      </c>
      <c r="E48" s="25">
        <f>E13*E41</f>
        <v>22437.828000000005</v>
      </c>
      <c r="F48" s="25">
        <f t="shared" ref="F48:N48" si="17">F13*F41</f>
        <v>24008.475960000003</v>
      </c>
      <c r="G48" s="25">
        <f t="shared" si="17"/>
        <v>25689.069277200004</v>
      </c>
      <c r="H48" s="25">
        <f t="shared" si="17"/>
        <v>27487.304126604002</v>
      </c>
      <c r="I48" s="25">
        <f t="shared" si="17"/>
        <v>29411.415415466283</v>
      </c>
      <c r="J48" s="25">
        <f t="shared" si="17"/>
        <v>31470.214494548924</v>
      </c>
      <c r="K48" s="25">
        <f t="shared" si="17"/>
        <v>33673.129509167346</v>
      </c>
      <c r="L48" s="25">
        <f t="shared" si="17"/>
        <v>36030.248574809062</v>
      </c>
      <c r="M48" s="25">
        <f t="shared" si="17"/>
        <v>38552.365975045694</v>
      </c>
      <c r="N48" s="25">
        <f t="shared" si="17"/>
        <v>41251.031593298896</v>
      </c>
    </row>
    <row r="49" spans="1:14" x14ac:dyDescent="0.2">
      <c r="A49" s="24" t="str">
        <f>A42</f>
        <v>Pesados</v>
      </c>
      <c r="E49" s="25">
        <f>E14*E42</f>
        <v>13697.2</v>
      </c>
      <c r="F49" s="25">
        <f t="shared" ref="F49:N49" si="18">F14*F42</f>
        <v>14108.116</v>
      </c>
      <c r="G49" s="25">
        <f t="shared" si="18"/>
        <v>14531.359479999999</v>
      </c>
      <c r="H49" s="25">
        <f t="shared" si="18"/>
        <v>14967.300264400001</v>
      </c>
      <c r="I49" s="25">
        <f t="shared" si="18"/>
        <v>15416.319272332001</v>
      </c>
      <c r="J49" s="25">
        <f t="shared" si="18"/>
        <v>15878.808850501959</v>
      </c>
      <c r="K49" s="25">
        <f t="shared" si="18"/>
        <v>16355.173116017017</v>
      </c>
      <c r="L49" s="25">
        <f t="shared" si="18"/>
        <v>16845.828309497527</v>
      </c>
      <c r="M49" s="25">
        <f t="shared" si="18"/>
        <v>17351.203158782453</v>
      </c>
      <c r="N49" s="25">
        <f t="shared" si="18"/>
        <v>17871.739253545926</v>
      </c>
    </row>
    <row r="50" spans="1:14" x14ac:dyDescent="0.2">
      <c r="A50" s="24" t="str">
        <f>A43</f>
        <v>Buses</v>
      </c>
      <c r="E50" s="25">
        <f>E15*E43</f>
        <v>11206.800000000001</v>
      </c>
      <c r="F50" s="25">
        <f t="shared" ref="F50:N50" si="19">F15*F43</f>
        <v>11543.003999999999</v>
      </c>
      <c r="G50" s="25">
        <f t="shared" si="19"/>
        <v>11889.294119999999</v>
      </c>
      <c r="H50" s="25">
        <f t="shared" si="19"/>
        <v>12245.9729436</v>
      </c>
      <c r="I50" s="25">
        <f t="shared" si="19"/>
        <v>12613.352131907999</v>
      </c>
      <c r="J50" s="25">
        <f t="shared" si="19"/>
        <v>12991.752695865238</v>
      </c>
      <c r="K50" s="25">
        <f t="shared" si="19"/>
        <v>13381.505276741194</v>
      </c>
      <c r="L50" s="25">
        <f t="shared" si="19"/>
        <v>13782.950435043431</v>
      </c>
      <c r="M50" s="25">
        <f t="shared" si="19"/>
        <v>14196.438948094734</v>
      </c>
      <c r="N50" s="25">
        <f t="shared" si="19"/>
        <v>14622.332116537575</v>
      </c>
    </row>
    <row r="51" spans="1:14" x14ac:dyDescent="0.2">
      <c r="A51" s="24" t="str">
        <f>A44</f>
        <v>Motos y otros</v>
      </c>
      <c r="E51" s="25">
        <f>E16*E44</f>
        <v>20279.7</v>
      </c>
      <c r="F51" s="25">
        <f t="shared" ref="F51:N51" si="20">F16*F44</f>
        <v>21699.279000000002</v>
      </c>
      <c r="G51" s="25">
        <f t="shared" si="20"/>
        <v>23218.228530000004</v>
      </c>
      <c r="H51" s="25">
        <f t="shared" si="20"/>
        <v>24843.504527100005</v>
      </c>
      <c r="I51" s="25">
        <f t="shared" si="20"/>
        <v>26582.549843997007</v>
      </c>
      <c r="J51" s="25">
        <f t="shared" si="20"/>
        <v>28443.328333076799</v>
      </c>
      <c r="K51" s="25">
        <f t="shared" si="20"/>
        <v>30434.361316392176</v>
      </c>
      <c r="L51" s="25">
        <f t="shared" si="20"/>
        <v>32564.76660853963</v>
      </c>
      <c r="M51" s="25">
        <f t="shared" si="20"/>
        <v>34844.300271137407</v>
      </c>
      <c r="N51" s="25">
        <f t="shared" si="20"/>
        <v>37283.401290117028</v>
      </c>
    </row>
    <row r="52" spans="1:14" x14ac:dyDescent="0.2">
      <c r="E52" s="27">
        <f>SUM(E47:E51)</f>
        <v>365724.1</v>
      </c>
      <c r="F52" s="27">
        <f t="shared" ref="F52:N52" si="21">SUM(F47:F51)</f>
        <v>390328.62699999998</v>
      </c>
      <c r="G52" s="27">
        <f t="shared" si="21"/>
        <v>416625.58608999994</v>
      </c>
      <c r="H52" s="27">
        <f t="shared" si="21"/>
        <v>444732.5509723</v>
      </c>
      <c r="I52" s="27">
        <f t="shared" si="21"/>
        <v>474775.29861204099</v>
      </c>
      <c r="J52" s="27">
        <f t="shared" si="21"/>
        <v>506888.3826587142</v>
      </c>
      <c r="K52" s="27">
        <f t="shared" si="21"/>
        <v>541215.74698296946</v>
      </c>
      <c r="L52" s="27">
        <f t="shared" si="21"/>
        <v>577911.38213606703</v>
      </c>
      <c r="M52" s="27">
        <f t="shared" si="21"/>
        <v>617140.02773581014</v>
      </c>
      <c r="N52" s="27">
        <f t="shared" si="21"/>
        <v>659077.92399304186</v>
      </c>
    </row>
    <row r="53" spans="1:14" x14ac:dyDescent="0.2">
      <c r="E53" s="25"/>
      <c r="F53" s="25"/>
      <c r="G53" s="25"/>
      <c r="H53" s="25"/>
      <c r="I53" s="25"/>
      <c r="J53" s="25"/>
      <c r="K53" s="25"/>
      <c r="L53" s="25"/>
      <c r="M53" s="25"/>
      <c r="N53" s="25"/>
    </row>
    <row r="54" spans="1:14" x14ac:dyDescent="0.2">
      <c r="A54" s="145" t="s">
        <v>16</v>
      </c>
      <c r="E54" s="25"/>
      <c r="F54" s="25"/>
      <c r="G54" s="25"/>
      <c r="H54" s="25"/>
      <c r="I54" s="25"/>
      <c r="J54" s="25"/>
      <c r="K54" s="25"/>
      <c r="L54" s="25"/>
      <c r="M54" s="25"/>
      <c r="N54" s="25"/>
    </row>
    <row r="55" spans="1:14" x14ac:dyDescent="0.2">
      <c r="E55" s="25"/>
      <c r="F55" s="25"/>
      <c r="G55" s="25"/>
      <c r="H55" s="25"/>
      <c r="I55" s="25"/>
      <c r="J55" s="25"/>
      <c r="K55" s="25"/>
      <c r="L55" s="25"/>
      <c r="M55" s="25"/>
      <c r="N55" s="25"/>
    </row>
    <row r="56" spans="1:14" x14ac:dyDescent="0.2">
      <c r="A56" s="154" t="s">
        <v>13</v>
      </c>
      <c r="E56" s="25"/>
      <c r="F56" s="25"/>
      <c r="G56" s="25"/>
      <c r="H56" s="25"/>
      <c r="I56" s="25"/>
      <c r="J56" s="25"/>
      <c r="K56" s="25"/>
      <c r="L56" s="25"/>
      <c r="M56" s="25"/>
      <c r="N56" s="25"/>
    </row>
    <row r="57" spans="1:14" x14ac:dyDescent="0.2">
      <c r="A57" s="24" t="str">
        <f>A47</f>
        <v>Livianos</v>
      </c>
      <c r="E57" s="143">
        <f>+Condiciones!$B$14</f>
        <v>1</v>
      </c>
      <c r="F57" s="143">
        <f>+E57</f>
        <v>1</v>
      </c>
      <c r="G57" s="143">
        <f t="shared" ref="G57:N57" si="22">+F57</f>
        <v>1</v>
      </c>
      <c r="H57" s="143">
        <f t="shared" si="22"/>
        <v>1</v>
      </c>
      <c r="I57" s="143">
        <f t="shared" si="22"/>
        <v>1</v>
      </c>
      <c r="J57" s="143">
        <f t="shared" si="22"/>
        <v>1</v>
      </c>
      <c r="K57" s="143">
        <f t="shared" si="22"/>
        <v>1</v>
      </c>
      <c r="L57" s="143">
        <f t="shared" si="22"/>
        <v>1</v>
      </c>
      <c r="M57" s="143">
        <f t="shared" si="22"/>
        <v>1</v>
      </c>
      <c r="N57" s="143">
        <f t="shared" si="22"/>
        <v>1</v>
      </c>
    </row>
    <row r="58" spans="1:14" x14ac:dyDescent="0.2">
      <c r="A58" s="24" t="str">
        <f>A48</f>
        <v>Taxis y furgonetas</v>
      </c>
      <c r="E58" s="143">
        <f>+Condiciones!$B$14</f>
        <v>1</v>
      </c>
      <c r="F58" s="143">
        <f t="shared" ref="F58:N58" si="23">+E58</f>
        <v>1</v>
      </c>
      <c r="G58" s="143">
        <f t="shared" si="23"/>
        <v>1</v>
      </c>
      <c r="H58" s="143">
        <f t="shared" si="23"/>
        <v>1</v>
      </c>
      <c r="I58" s="143">
        <f t="shared" si="23"/>
        <v>1</v>
      </c>
      <c r="J58" s="143">
        <f t="shared" si="23"/>
        <v>1</v>
      </c>
      <c r="K58" s="143">
        <f t="shared" si="23"/>
        <v>1</v>
      </c>
      <c r="L58" s="143">
        <f t="shared" si="23"/>
        <v>1</v>
      </c>
      <c r="M58" s="143">
        <f t="shared" si="23"/>
        <v>1</v>
      </c>
      <c r="N58" s="143">
        <f t="shared" si="23"/>
        <v>1</v>
      </c>
    </row>
    <row r="59" spans="1:14" x14ac:dyDescent="0.2">
      <c r="A59" s="24" t="str">
        <f>A49</f>
        <v>Pesados</v>
      </c>
      <c r="E59" s="143">
        <f>+Condiciones!$B$14</f>
        <v>1</v>
      </c>
      <c r="F59" s="143">
        <f t="shared" ref="F59:N59" si="24">+E59</f>
        <v>1</v>
      </c>
      <c r="G59" s="143">
        <f t="shared" si="24"/>
        <v>1</v>
      </c>
      <c r="H59" s="143">
        <f t="shared" si="24"/>
        <v>1</v>
      </c>
      <c r="I59" s="143">
        <f t="shared" si="24"/>
        <v>1</v>
      </c>
      <c r="J59" s="143">
        <f t="shared" si="24"/>
        <v>1</v>
      </c>
      <c r="K59" s="143">
        <f t="shared" si="24"/>
        <v>1</v>
      </c>
      <c r="L59" s="143">
        <f t="shared" si="24"/>
        <v>1</v>
      </c>
      <c r="M59" s="143">
        <f t="shared" si="24"/>
        <v>1</v>
      </c>
      <c r="N59" s="143">
        <f t="shared" si="24"/>
        <v>1</v>
      </c>
    </row>
    <row r="60" spans="1:14" x14ac:dyDescent="0.2">
      <c r="A60" s="24" t="s">
        <v>171</v>
      </c>
      <c r="E60" s="143">
        <f>+Condiciones!$B$14</f>
        <v>1</v>
      </c>
      <c r="F60" s="143">
        <f t="shared" ref="F60:N60" si="25">+E60</f>
        <v>1</v>
      </c>
      <c r="G60" s="143">
        <f t="shared" si="25"/>
        <v>1</v>
      </c>
      <c r="H60" s="143">
        <f t="shared" si="25"/>
        <v>1</v>
      </c>
      <c r="I60" s="143">
        <f t="shared" si="25"/>
        <v>1</v>
      </c>
      <c r="J60" s="143">
        <f t="shared" si="25"/>
        <v>1</v>
      </c>
      <c r="K60" s="143">
        <f t="shared" si="25"/>
        <v>1</v>
      </c>
      <c r="L60" s="143">
        <f t="shared" si="25"/>
        <v>1</v>
      </c>
      <c r="M60" s="143">
        <f t="shared" si="25"/>
        <v>1</v>
      </c>
      <c r="N60" s="143">
        <f t="shared" si="25"/>
        <v>1</v>
      </c>
    </row>
    <row r="61" spans="1:14" x14ac:dyDescent="0.2">
      <c r="A61" s="24" t="str">
        <f>A51</f>
        <v>Motos y otros</v>
      </c>
      <c r="E61" s="143">
        <f>+Condiciones!$B$14</f>
        <v>1</v>
      </c>
      <c r="F61" s="143">
        <f t="shared" ref="F61:N61" si="26">+E61</f>
        <v>1</v>
      </c>
      <c r="G61" s="143">
        <f t="shared" si="26"/>
        <v>1</v>
      </c>
      <c r="H61" s="143">
        <f t="shared" si="26"/>
        <v>1</v>
      </c>
      <c r="I61" s="143">
        <f t="shared" si="26"/>
        <v>1</v>
      </c>
      <c r="J61" s="143">
        <f t="shared" si="26"/>
        <v>1</v>
      </c>
      <c r="K61" s="143">
        <f t="shared" si="26"/>
        <v>1</v>
      </c>
      <c r="L61" s="143">
        <f t="shared" si="26"/>
        <v>1</v>
      </c>
      <c r="M61" s="143">
        <f t="shared" si="26"/>
        <v>1</v>
      </c>
      <c r="N61" s="143">
        <f t="shared" si="26"/>
        <v>1</v>
      </c>
    </row>
    <row r="62" spans="1:14" x14ac:dyDescent="0.2">
      <c r="A62" s="24" t="str">
        <f>+Tarifa!A11</f>
        <v>Exonerados</v>
      </c>
      <c r="E62" s="143">
        <f>+Condiciones!$B$14</f>
        <v>1</v>
      </c>
      <c r="F62" s="143">
        <f t="shared" ref="F62:N62" si="27">+E62</f>
        <v>1</v>
      </c>
      <c r="G62" s="143">
        <f t="shared" si="27"/>
        <v>1</v>
      </c>
      <c r="H62" s="143">
        <f t="shared" si="27"/>
        <v>1</v>
      </c>
      <c r="I62" s="143">
        <f t="shared" si="27"/>
        <v>1</v>
      </c>
      <c r="J62" s="143">
        <f t="shared" si="27"/>
        <v>1</v>
      </c>
      <c r="K62" s="143">
        <f t="shared" si="27"/>
        <v>1</v>
      </c>
      <c r="L62" s="143">
        <f t="shared" si="27"/>
        <v>1</v>
      </c>
      <c r="M62" s="143">
        <f t="shared" si="27"/>
        <v>1</v>
      </c>
      <c r="N62" s="143">
        <f t="shared" si="27"/>
        <v>1</v>
      </c>
    </row>
    <row r="63" spans="1:14" x14ac:dyDescent="0.2">
      <c r="E63" s="25"/>
      <c r="F63" s="25"/>
      <c r="G63" s="25"/>
      <c r="H63" s="25"/>
      <c r="I63" s="25"/>
      <c r="J63" s="25"/>
      <c r="K63" s="25"/>
      <c r="L63" s="25"/>
      <c r="M63" s="25"/>
      <c r="N63" s="25"/>
    </row>
    <row r="64" spans="1:14" x14ac:dyDescent="0.2">
      <c r="A64" s="154" t="s">
        <v>14</v>
      </c>
      <c r="E64" s="25"/>
      <c r="F64" s="25"/>
      <c r="G64" s="25"/>
      <c r="H64" s="25"/>
      <c r="I64" s="25"/>
      <c r="J64" s="25"/>
      <c r="K64" s="25"/>
      <c r="L64" s="25"/>
      <c r="M64" s="25"/>
      <c r="N64" s="25"/>
    </row>
    <row r="65" spans="1:14" x14ac:dyDescent="0.2">
      <c r="A65" s="24" t="str">
        <f>A57</f>
        <v>Livianos</v>
      </c>
      <c r="E65" s="25">
        <f>E47*E57</f>
        <v>298102.57199999999</v>
      </c>
      <c r="F65" s="25">
        <f t="shared" ref="F65:N65" si="28">F47*F57</f>
        <v>318969.75203999999</v>
      </c>
      <c r="G65" s="25">
        <f t="shared" si="28"/>
        <v>341297.63468279998</v>
      </c>
      <c r="H65" s="25">
        <f t="shared" si="28"/>
        <v>365188.46911059599</v>
      </c>
      <c r="I65" s="25">
        <f t="shared" si="28"/>
        <v>390751.66194833769</v>
      </c>
      <c r="J65" s="25">
        <f t="shared" si="28"/>
        <v>418104.27828472131</v>
      </c>
      <c r="K65" s="25">
        <f t="shared" si="28"/>
        <v>447371.5777646518</v>
      </c>
      <c r="L65" s="25">
        <f t="shared" si="28"/>
        <v>478687.58820817742</v>
      </c>
      <c r="M65" s="25">
        <f t="shared" si="28"/>
        <v>512195.71938274987</v>
      </c>
      <c r="N65" s="25">
        <f t="shared" si="28"/>
        <v>548049.41973954241</v>
      </c>
    </row>
    <row r="66" spans="1:14" x14ac:dyDescent="0.2">
      <c r="A66" s="24" t="str">
        <f>A58</f>
        <v>Taxis y furgonetas</v>
      </c>
      <c r="E66" s="25">
        <f>E48*E58</f>
        <v>22437.828000000005</v>
      </c>
      <c r="F66" s="25">
        <f t="shared" ref="F66:N66" si="29">F48*F58</f>
        <v>24008.475960000003</v>
      </c>
      <c r="G66" s="25">
        <f t="shared" si="29"/>
        <v>25689.069277200004</v>
      </c>
      <c r="H66" s="25">
        <f t="shared" si="29"/>
        <v>27487.304126604002</v>
      </c>
      <c r="I66" s="25">
        <f t="shared" si="29"/>
        <v>29411.415415466283</v>
      </c>
      <c r="J66" s="25">
        <f t="shared" si="29"/>
        <v>31470.214494548924</v>
      </c>
      <c r="K66" s="25">
        <f t="shared" si="29"/>
        <v>33673.129509167346</v>
      </c>
      <c r="L66" s="25">
        <f t="shared" si="29"/>
        <v>36030.248574809062</v>
      </c>
      <c r="M66" s="25">
        <f t="shared" si="29"/>
        <v>38552.365975045694</v>
      </c>
      <c r="N66" s="25">
        <f t="shared" si="29"/>
        <v>41251.031593298896</v>
      </c>
    </row>
    <row r="67" spans="1:14" x14ac:dyDescent="0.2">
      <c r="A67" s="24" t="str">
        <f>A59</f>
        <v>Pesados</v>
      </c>
      <c r="E67" s="25">
        <f>E49*E59</f>
        <v>13697.2</v>
      </c>
      <c r="F67" s="25">
        <f t="shared" ref="F67:N67" si="30">F49*F59</f>
        <v>14108.116</v>
      </c>
      <c r="G67" s="25">
        <f t="shared" si="30"/>
        <v>14531.359479999999</v>
      </c>
      <c r="H67" s="25">
        <f t="shared" si="30"/>
        <v>14967.300264400001</v>
      </c>
      <c r="I67" s="25">
        <f t="shared" si="30"/>
        <v>15416.319272332001</v>
      </c>
      <c r="J67" s="25">
        <f t="shared" si="30"/>
        <v>15878.808850501959</v>
      </c>
      <c r="K67" s="25">
        <f t="shared" si="30"/>
        <v>16355.173116017017</v>
      </c>
      <c r="L67" s="25">
        <f t="shared" si="30"/>
        <v>16845.828309497527</v>
      </c>
      <c r="M67" s="25">
        <f t="shared" si="30"/>
        <v>17351.203158782453</v>
      </c>
      <c r="N67" s="25">
        <f t="shared" si="30"/>
        <v>17871.739253545926</v>
      </c>
    </row>
    <row r="68" spans="1:14" x14ac:dyDescent="0.2">
      <c r="A68" s="24" t="str">
        <f>A60</f>
        <v>Buses</v>
      </c>
      <c r="E68" s="25">
        <f>E50*E60</f>
        <v>11206.800000000001</v>
      </c>
      <c r="F68" s="25">
        <f t="shared" ref="F68:N68" si="31">F50*F60</f>
        <v>11543.003999999999</v>
      </c>
      <c r="G68" s="25">
        <f t="shared" si="31"/>
        <v>11889.294119999999</v>
      </c>
      <c r="H68" s="25">
        <f t="shared" si="31"/>
        <v>12245.9729436</v>
      </c>
      <c r="I68" s="25">
        <f t="shared" si="31"/>
        <v>12613.352131907999</v>
      </c>
      <c r="J68" s="25">
        <f t="shared" si="31"/>
        <v>12991.752695865238</v>
      </c>
      <c r="K68" s="25">
        <f t="shared" si="31"/>
        <v>13381.505276741194</v>
      </c>
      <c r="L68" s="25">
        <f t="shared" si="31"/>
        <v>13782.950435043431</v>
      </c>
      <c r="M68" s="25">
        <f t="shared" si="31"/>
        <v>14196.438948094734</v>
      </c>
      <c r="N68" s="25">
        <f t="shared" si="31"/>
        <v>14622.332116537575</v>
      </c>
    </row>
    <row r="69" spans="1:14" x14ac:dyDescent="0.2">
      <c r="A69" s="24" t="str">
        <f>A61</f>
        <v>Motos y otros</v>
      </c>
      <c r="E69" s="25">
        <f>E51*E61</f>
        <v>20279.7</v>
      </c>
      <c r="F69" s="25">
        <f t="shared" ref="F69:N69" si="32">F51*F61</f>
        <v>21699.279000000002</v>
      </c>
      <c r="G69" s="25">
        <f t="shared" si="32"/>
        <v>23218.228530000004</v>
      </c>
      <c r="H69" s="25">
        <f t="shared" si="32"/>
        <v>24843.504527100005</v>
      </c>
      <c r="I69" s="25">
        <f t="shared" si="32"/>
        <v>26582.549843997007</v>
      </c>
      <c r="J69" s="25">
        <f t="shared" si="32"/>
        <v>28443.328333076799</v>
      </c>
      <c r="K69" s="25">
        <f t="shared" si="32"/>
        <v>30434.361316392176</v>
      </c>
      <c r="L69" s="25">
        <f t="shared" si="32"/>
        <v>32564.76660853963</v>
      </c>
      <c r="M69" s="25">
        <f t="shared" si="32"/>
        <v>34844.300271137407</v>
      </c>
      <c r="N69" s="25">
        <f t="shared" si="32"/>
        <v>37283.401290117028</v>
      </c>
    </row>
    <row r="70" spans="1:14" x14ac:dyDescent="0.2">
      <c r="E70" s="27">
        <f>SUM(E65:E69)</f>
        <v>365724.1</v>
      </c>
      <c r="F70" s="27">
        <f>SUM(F65:F69)</f>
        <v>390328.62699999998</v>
      </c>
      <c r="G70" s="27">
        <f>SUM(G65:G69)</f>
        <v>416625.58608999994</v>
      </c>
      <c r="H70" s="27">
        <f>SUM(H65:H69)</f>
        <v>444732.5509723</v>
      </c>
      <c r="I70" s="27">
        <f t="shared" ref="I70:N70" si="33">SUM(I65:I69)</f>
        <v>474775.29861204099</v>
      </c>
      <c r="J70" s="27">
        <f t="shared" si="33"/>
        <v>506888.3826587142</v>
      </c>
      <c r="K70" s="27">
        <f t="shared" si="33"/>
        <v>541215.74698296946</v>
      </c>
      <c r="L70" s="27">
        <f t="shared" si="33"/>
        <v>577911.38213606703</v>
      </c>
      <c r="M70" s="27">
        <f t="shared" si="33"/>
        <v>617140.02773581014</v>
      </c>
      <c r="N70" s="27">
        <f t="shared" si="33"/>
        <v>659077.92399304186</v>
      </c>
    </row>
    <row r="71" spans="1:14" x14ac:dyDescent="0.2">
      <c r="E71" s="27"/>
      <c r="F71" s="27"/>
      <c r="G71" s="27"/>
      <c r="H71" s="27"/>
      <c r="I71" s="27"/>
      <c r="J71" s="27"/>
      <c r="K71" s="27"/>
      <c r="L71" s="27"/>
      <c r="M71" s="27"/>
      <c r="N71" s="27"/>
    </row>
    <row r="72" spans="1:14" x14ac:dyDescent="0.2">
      <c r="A72" s="26" t="s">
        <v>196</v>
      </c>
      <c r="B72" s="26"/>
      <c r="C72" s="26"/>
      <c r="D72" s="26"/>
      <c r="E72" s="27">
        <f>+E27*E62</f>
        <v>16143.720000000001</v>
      </c>
      <c r="F72" s="27">
        <f>+F27*F62</f>
        <v>25600.687000000002</v>
      </c>
      <c r="G72" s="27">
        <f t="shared" ref="G72:N72" si="34">+G27*G62</f>
        <v>29115.051980000007</v>
      </c>
      <c r="H72" s="27">
        <f t="shared" si="34"/>
        <v>31201.844664900007</v>
      </c>
      <c r="I72" s="27">
        <f t="shared" si="34"/>
        <v>33315.407694604008</v>
      </c>
      <c r="J72" s="27">
        <f t="shared" si="34"/>
        <v>35566.34944146515</v>
      </c>
      <c r="K72" s="27">
        <f t="shared" si="34"/>
        <v>37971.83124701256</v>
      </c>
      <c r="L72" s="27">
        <f t="shared" si="34"/>
        <v>40543.130476098755</v>
      </c>
      <c r="M72" s="27">
        <f t="shared" si="34"/>
        <v>43291.815882851617</v>
      </c>
      <c r="N72" s="27">
        <f t="shared" si="34"/>
        <v>46230.229053306328</v>
      </c>
    </row>
    <row r="73" spans="1:14" x14ac:dyDescent="0.2">
      <c r="E73" s="27"/>
      <c r="F73" s="27"/>
      <c r="G73" s="27"/>
      <c r="H73" s="27"/>
      <c r="I73" s="27"/>
      <c r="J73" s="27"/>
      <c r="K73" s="27"/>
      <c r="L73" s="27"/>
      <c r="M73" s="27"/>
      <c r="N73" s="27"/>
    </row>
    <row r="74" spans="1:14" x14ac:dyDescent="0.2">
      <c r="E74" s="25"/>
      <c r="F74" s="25"/>
      <c r="G74" s="25"/>
      <c r="H74" s="25"/>
      <c r="I74" s="25"/>
      <c r="J74" s="25"/>
      <c r="K74" s="25"/>
      <c r="L74" s="25"/>
      <c r="M74" s="25"/>
      <c r="N74" s="25"/>
    </row>
    <row r="75" spans="1:14" x14ac:dyDescent="0.2">
      <c r="A75" s="154"/>
      <c r="E75" s="25"/>
      <c r="F75" s="25"/>
      <c r="G75" s="25"/>
      <c r="H75" s="25"/>
      <c r="I75" s="25"/>
      <c r="J75" s="25"/>
      <c r="K75" s="25"/>
      <c r="L75" s="25"/>
      <c r="M75" s="25"/>
      <c r="N75" s="25"/>
    </row>
    <row r="76" spans="1:14" x14ac:dyDescent="0.2">
      <c r="A76" s="24" t="str">
        <f>A65</f>
        <v>Livianos</v>
      </c>
      <c r="E76" s="138">
        <f>+Tarifa!B33</f>
        <v>19.169999999999995</v>
      </c>
      <c r="F76" s="138">
        <f>+Tarifa!C33</f>
        <v>19.936799999999995</v>
      </c>
      <c r="G76" s="138">
        <f>+Tarifa!D33</f>
        <v>20.734271999999994</v>
      </c>
      <c r="H76" s="138">
        <f>+Tarifa!E33</f>
        <v>21.563642879999993</v>
      </c>
      <c r="I76" s="138">
        <f>+Tarifa!F33</f>
        <v>22.426188595199992</v>
      </c>
      <c r="J76" s="138">
        <f>+Tarifa!G33</f>
        <v>23.323236139007992</v>
      </c>
      <c r="K76" s="138">
        <f>+Tarifa!H33</f>
        <v>24.256165584568311</v>
      </c>
      <c r="L76" s="138">
        <f>+Tarifa!I33</f>
        <v>25.226412207951043</v>
      </c>
      <c r="M76" s="138">
        <f>+Tarifa!J33</f>
        <v>26.235468696269084</v>
      </c>
      <c r="N76" s="138">
        <f>+Tarifa!K33</f>
        <v>27.28488744411985</v>
      </c>
    </row>
    <row r="77" spans="1:14" x14ac:dyDescent="0.2">
      <c r="A77" s="24" t="str">
        <f>A66</f>
        <v>Taxis y furgonetas</v>
      </c>
      <c r="E77" s="138">
        <f>+Tarifa!B34</f>
        <v>12.985714285714284</v>
      </c>
      <c r="F77" s="138">
        <f>+Tarifa!C34</f>
        <v>13.505142857142856</v>
      </c>
      <c r="G77" s="138">
        <f>+Tarifa!D34</f>
        <v>14.045348571428571</v>
      </c>
      <c r="H77" s="138">
        <f>+Tarifa!E34</f>
        <v>14.607162514285713</v>
      </c>
      <c r="I77" s="138">
        <f>+Tarifa!F34</f>
        <v>15.191449014857142</v>
      </c>
      <c r="J77" s="138">
        <f>+Tarifa!G34</f>
        <v>15.799106975451428</v>
      </c>
      <c r="K77" s="138">
        <f>+Tarifa!H34</f>
        <v>16.431071254469487</v>
      </c>
      <c r="L77" s="138">
        <f>+Tarifa!I34</f>
        <v>17.088314104648266</v>
      </c>
      <c r="M77" s="138">
        <f>+Tarifa!J34</f>
        <v>17.771846668834197</v>
      </c>
      <c r="N77" s="138">
        <f>+Tarifa!K34</f>
        <v>18.482720535587564</v>
      </c>
    </row>
    <row r="78" spans="1:14" x14ac:dyDescent="0.2">
      <c r="A78" s="24" t="str">
        <f>A67</f>
        <v>Pesados</v>
      </c>
      <c r="E78" s="138">
        <f>+Tarifa!B35</f>
        <v>30.381428571428561</v>
      </c>
      <c r="F78" s="138">
        <f>+Tarifa!C35</f>
        <v>31.596685714285705</v>
      </c>
      <c r="G78" s="138">
        <f>+Tarifa!D35</f>
        <v>32.860553142857135</v>
      </c>
      <c r="H78" s="138">
        <f>+Tarifa!E35</f>
        <v>34.174975268571423</v>
      </c>
      <c r="I78" s="138">
        <f>+Tarifa!F35</f>
        <v>35.541974279314282</v>
      </c>
      <c r="J78" s="138">
        <f>+Tarifa!G35</f>
        <v>36.963653250486857</v>
      </c>
      <c r="K78" s="138">
        <f>+Tarifa!H35</f>
        <v>38.442199380506331</v>
      </c>
      <c r="L78" s="138">
        <f>+Tarifa!I35</f>
        <v>39.979887355726582</v>
      </c>
      <c r="M78" s="138">
        <f>+Tarifa!J35</f>
        <v>41.579082849955647</v>
      </c>
      <c r="N78" s="138">
        <f>+Tarifa!K35</f>
        <v>43.242246163953872</v>
      </c>
    </row>
    <row r="79" spans="1:14" x14ac:dyDescent="0.2">
      <c r="A79" s="24" t="str">
        <f>A68</f>
        <v>Buses</v>
      </c>
      <c r="E79" s="138">
        <f>+Tarifa!B36</f>
        <v>25.495714285714278</v>
      </c>
      <c r="F79" s="138">
        <f>+Tarifa!C36</f>
        <v>26.515542857142851</v>
      </c>
      <c r="G79" s="138">
        <f>+Tarifa!D36</f>
        <v>27.576164571428567</v>
      </c>
      <c r="H79" s="138">
        <f>+Tarifa!E36</f>
        <v>28.67921115428571</v>
      </c>
      <c r="I79" s="138">
        <f>+Tarifa!F36</f>
        <v>29.826379600457141</v>
      </c>
      <c r="J79" s="138">
        <f>+Tarifa!G36</f>
        <v>31.019434784475429</v>
      </c>
      <c r="K79" s="138">
        <f>+Tarifa!H36</f>
        <v>32.260212175854448</v>
      </c>
      <c r="L79" s="138">
        <f>+Tarifa!I36</f>
        <v>33.550620662888626</v>
      </c>
      <c r="M79" s="138">
        <f>+Tarifa!J36</f>
        <v>34.892645489404174</v>
      </c>
      <c r="N79" s="138">
        <f>+Tarifa!K36</f>
        <v>36.288351308980339</v>
      </c>
    </row>
    <row r="80" spans="1:14" x14ac:dyDescent="0.2">
      <c r="A80" s="24" t="str">
        <f>A69</f>
        <v>Motos y otros</v>
      </c>
      <c r="E80" s="138">
        <f>+Tarifa!B37</f>
        <v>11.269285714285711</v>
      </c>
      <c r="F80" s="138">
        <f>+Tarifa!C37</f>
        <v>11.72005714285714</v>
      </c>
      <c r="G80" s="138">
        <f>+Tarifa!D37</f>
        <v>12.188859428571426</v>
      </c>
      <c r="H80" s="138">
        <f>+Tarifa!E37</f>
        <v>12.676413805714283</v>
      </c>
      <c r="I80" s="138">
        <f>+Tarifa!F37</f>
        <v>13.183470357942856</v>
      </c>
      <c r="J80" s="138">
        <f>+Tarifa!G37</f>
        <v>13.71080917226057</v>
      </c>
      <c r="K80" s="138">
        <f>+Tarifa!H37</f>
        <v>14.259241539150993</v>
      </c>
      <c r="L80" s="138">
        <f>+Tarifa!I37</f>
        <v>14.829611200717034</v>
      </c>
      <c r="M80" s="138">
        <f>+Tarifa!J37</f>
        <v>15.422795648745716</v>
      </c>
      <c r="N80" s="138">
        <f>+Tarifa!K37</f>
        <v>16.039707474695543</v>
      </c>
    </row>
    <row r="81" spans="1:14" x14ac:dyDescent="0.2">
      <c r="A81" s="24" t="str">
        <f>+A72</f>
        <v>Exonerados (Sin Revisión)</v>
      </c>
      <c r="E81" s="138">
        <f>+Tarifa!B38</f>
        <v>6.3835714285714271</v>
      </c>
      <c r="F81" s="138">
        <f>+Tarifa!C38</f>
        <v>6.638914285714284</v>
      </c>
      <c r="G81" s="138">
        <f>+Tarifa!D38</f>
        <v>6.9044708571428552</v>
      </c>
      <c r="H81" s="138">
        <f>+Tarifa!E38</f>
        <v>7.1806496914285693</v>
      </c>
      <c r="I81" s="138">
        <f>+Tarifa!F38</f>
        <v>7.4678756790857124</v>
      </c>
      <c r="J81" s="138">
        <f>+Tarifa!G38</f>
        <v>7.7665907062491408</v>
      </c>
      <c r="K81" s="138">
        <f>+Tarifa!H38</f>
        <v>8.0772543344991075</v>
      </c>
      <c r="L81" s="138">
        <f>+Tarifa!I38</f>
        <v>8.4003445078790726</v>
      </c>
      <c r="M81" s="138">
        <f>+Tarifa!J38</f>
        <v>8.7363582881942357</v>
      </c>
      <c r="N81" s="138">
        <f>+Tarifa!K38</f>
        <v>9.0858126197220059</v>
      </c>
    </row>
    <row r="82" spans="1:14" x14ac:dyDescent="0.2">
      <c r="E82" s="25"/>
      <c r="F82" s="25"/>
      <c r="G82" s="25"/>
      <c r="H82" s="25"/>
      <c r="I82" s="25"/>
      <c r="J82" s="25"/>
      <c r="K82" s="25"/>
      <c r="L82" s="25"/>
      <c r="M82" s="25"/>
      <c r="N82" s="25"/>
    </row>
    <row r="83" spans="1:14" x14ac:dyDescent="0.2">
      <c r="A83" s="154" t="s">
        <v>18</v>
      </c>
      <c r="E83" s="25"/>
      <c r="F83" s="25"/>
      <c r="G83" s="25"/>
      <c r="H83" s="25"/>
      <c r="I83" s="25"/>
      <c r="J83" s="25"/>
      <c r="K83" s="25"/>
      <c r="L83" s="25"/>
      <c r="M83" s="25"/>
      <c r="N83" s="25"/>
    </row>
    <row r="84" spans="1:14" x14ac:dyDescent="0.2">
      <c r="A84" s="24" t="str">
        <f>A76</f>
        <v>Livianos</v>
      </c>
      <c r="C84" s="187" t="s">
        <v>183</v>
      </c>
      <c r="D84" s="149" t="s">
        <v>189</v>
      </c>
      <c r="E84" s="25">
        <f>E65*E76</f>
        <v>5714626.3052399978</v>
      </c>
      <c r="F84" s="25">
        <f>F65*F76</f>
        <v>6359236.1524710702</v>
      </c>
      <c r="G84" s="25">
        <f t="shared" ref="G84:N84" si="35">G65*G76</f>
        <v>7076557.9904698059</v>
      </c>
      <c r="H84" s="25">
        <f t="shared" si="35"/>
        <v>7874793.7317948006</v>
      </c>
      <c r="I84" s="25">
        <f t="shared" si="35"/>
        <v>8763070.4647412542</v>
      </c>
      <c r="J84" s="25">
        <f t="shared" si="35"/>
        <v>9751544.8131640665</v>
      </c>
      <c r="K84" s="25">
        <f t="shared" si="35"/>
        <v>10851519.068088973</v>
      </c>
      <c r="L84" s="25">
        <f t="shared" si="35"/>
        <v>12075570.418969408</v>
      </c>
      <c r="M84" s="25">
        <f t="shared" si="35"/>
        <v>13437694.762229158</v>
      </c>
      <c r="N84" s="25">
        <f t="shared" si="35"/>
        <v>14953466.731408611</v>
      </c>
    </row>
    <row r="85" spans="1:14" x14ac:dyDescent="0.2">
      <c r="A85" s="24" t="str">
        <f>A77</f>
        <v>Taxis y furgonetas</v>
      </c>
      <c r="C85" s="187" t="s">
        <v>183</v>
      </c>
      <c r="D85" s="149" t="s">
        <v>183</v>
      </c>
      <c r="E85" s="25">
        <f>E66*E77</f>
        <v>291371.22360000003</v>
      </c>
      <c r="F85" s="25">
        <f t="shared" ref="E85:N88" si="36">F66*F77</f>
        <v>324237.89762208</v>
      </c>
      <c r="G85" s="25">
        <f t="shared" si="36"/>
        <v>360811.93247385067</v>
      </c>
      <c r="H85" s="25">
        <f t="shared" si="36"/>
        <v>401511.51845690096</v>
      </c>
      <c r="I85" s="25">
        <f t="shared" si="36"/>
        <v>446802.01773883944</v>
      </c>
      <c r="J85" s="25">
        <f t="shared" si="36"/>
        <v>497201.28533978056</v>
      </c>
      <c r="K85" s="25">
        <f t="shared" si="36"/>
        <v>553285.59032610781</v>
      </c>
      <c r="L85" s="25">
        <f t="shared" si="36"/>
        <v>615696.20491489279</v>
      </c>
      <c r="M85" s="25">
        <f t="shared" si="36"/>
        <v>685146.73682929261</v>
      </c>
      <c r="N85" s="25">
        <f t="shared" si="36"/>
        <v>762431.28874363692</v>
      </c>
    </row>
    <row r="86" spans="1:14" x14ac:dyDescent="0.2">
      <c r="A86" s="24" t="str">
        <f>A78</f>
        <v>Pesados</v>
      </c>
      <c r="C86" s="187" t="s">
        <v>183</v>
      </c>
      <c r="D86" s="149" t="s">
        <v>183</v>
      </c>
      <c r="E86" s="25">
        <f t="shared" si="36"/>
        <v>416140.50342857133</v>
      </c>
      <c r="F86" s="25">
        <f t="shared" si="36"/>
        <v>445769.7072726856</v>
      </c>
      <c r="G86" s="25">
        <f t="shared" si="36"/>
        <v>477508.51043050078</v>
      </c>
      <c r="H86" s="25">
        <f t="shared" si="36"/>
        <v>511507.11637315253</v>
      </c>
      <c r="I86" s="25">
        <f t="shared" si="36"/>
        <v>547926.42305892101</v>
      </c>
      <c r="J86" s="25">
        <f t="shared" si="36"/>
        <v>586938.78438071616</v>
      </c>
      <c r="K86" s="25">
        <f t="shared" si="36"/>
        <v>628728.82582862314</v>
      </c>
      <c r="L86" s="25">
        <f t="shared" si="36"/>
        <v>673494.31822762103</v>
      </c>
      <c r="M86" s="25">
        <f t="shared" si="36"/>
        <v>721447.1136854277</v>
      </c>
      <c r="N86" s="25">
        <f t="shared" si="36"/>
        <v>772814.14817983017</v>
      </c>
    </row>
    <row r="87" spans="1:14" x14ac:dyDescent="0.2">
      <c r="A87" s="24" t="str">
        <f>A79</f>
        <v>Buses</v>
      </c>
      <c r="C87" s="187" t="s">
        <v>183</v>
      </c>
      <c r="D87" s="149" t="s">
        <v>183</v>
      </c>
      <c r="E87" s="25">
        <f t="shared" si="36"/>
        <v>285725.37085714279</v>
      </c>
      <c r="F87" s="25">
        <f t="shared" si="36"/>
        <v>306069.01726217131</v>
      </c>
      <c r="G87" s="25">
        <f t="shared" si="36"/>
        <v>327861.13129123795</v>
      </c>
      <c r="H87" s="25">
        <f t="shared" si="36"/>
        <v>351204.84383917414</v>
      </c>
      <c r="I87" s="25">
        <f t="shared" si="36"/>
        <v>376210.62872052332</v>
      </c>
      <c r="J87" s="25">
        <f t="shared" si="36"/>
        <v>402996.8254854246</v>
      </c>
      <c r="K87" s="25">
        <f t="shared" si="36"/>
        <v>431690.19945998682</v>
      </c>
      <c r="L87" s="25">
        <f t="shared" si="36"/>
        <v>462426.54166153789</v>
      </c>
      <c r="M87" s="25">
        <f t="shared" si="36"/>
        <v>495351.31142783945</v>
      </c>
      <c r="N87" s="25">
        <f t="shared" si="36"/>
        <v>530620.32480150159</v>
      </c>
    </row>
    <row r="88" spans="1:14" x14ac:dyDescent="0.2">
      <c r="A88" s="24" t="str">
        <f>A80</f>
        <v>Motos y otros</v>
      </c>
      <c r="C88" s="187" t="s">
        <v>189</v>
      </c>
      <c r="D88" s="149" t="s">
        <v>189</v>
      </c>
      <c r="E88" s="25">
        <f t="shared" si="36"/>
        <v>228537.73349999994</v>
      </c>
      <c r="F88" s="25">
        <f t="shared" si="36"/>
        <v>254316.78983879997</v>
      </c>
      <c r="G88" s="25">
        <f t="shared" si="36"/>
        <v>283003.72373261664</v>
      </c>
      <c r="H88" s="25">
        <f t="shared" si="36"/>
        <v>314926.54376965581</v>
      </c>
      <c r="I88" s="25">
        <f t="shared" si="36"/>
        <v>350450.25790687301</v>
      </c>
      <c r="J88" s="25">
        <f t="shared" si="36"/>
        <v>389981.04699876829</v>
      </c>
      <c r="K88" s="25">
        <f t="shared" si="36"/>
        <v>433970.90910022944</v>
      </c>
      <c r="L88" s="25">
        <f t="shared" si="36"/>
        <v>482922.82764673536</v>
      </c>
      <c r="M88" s="25">
        <f t="shared" si="36"/>
        <v>537396.52260528714</v>
      </c>
      <c r="N88" s="25">
        <f t="shared" si="36"/>
        <v>598014.85035516357</v>
      </c>
    </row>
    <row r="89" spans="1:14" x14ac:dyDescent="0.2">
      <c r="A89" s="24" t="str">
        <f>+A72</f>
        <v>Exonerados (Sin Revisión)</v>
      </c>
      <c r="C89" s="187" t="s">
        <v>183</v>
      </c>
      <c r="D89" s="149"/>
      <c r="E89" s="25">
        <f>E72*E81</f>
        <v>103054.58974285713</v>
      </c>
      <c r="F89" s="25">
        <f t="shared" ref="F89:N89" si="37">F72*F81</f>
        <v>169960.76664839996</v>
      </c>
      <c r="G89" s="25">
        <f t="shared" si="37"/>
        <v>201024.02790010945</v>
      </c>
      <c r="H89" s="25">
        <f t="shared" si="37"/>
        <v>224049.5162650164</v>
      </c>
      <c r="I89" s="25">
        <f t="shared" si="37"/>
        <v>248795.32286135826</v>
      </c>
      <c r="J89" s="25">
        <f t="shared" si="37"/>
        <v>276229.27902729256</v>
      </c>
      <c r="K89" s="25">
        <f t="shared" si="37"/>
        <v>306708.13852880086</v>
      </c>
      <c r="L89" s="25">
        <f t="shared" si="37"/>
        <v>340576.26342712081</v>
      </c>
      <c r="M89" s="25">
        <f t="shared" si="37"/>
        <v>378212.8144991296</v>
      </c>
      <c r="N89" s="25">
        <f t="shared" si="37"/>
        <v>420039.19854516955</v>
      </c>
    </row>
    <row r="90" spans="1:14" x14ac:dyDescent="0.2">
      <c r="C90" s="188" t="s">
        <v>183</v>
      </c>
      <c r="D90" s="189" t="s">
        <v>189</v>
      </c>
      <c r="E90" s="27">
        <f>SUM(E84:E89)</f>
        <v>7039455.7263685688</v>
      </c>
      <c r="F90" s="27">
        <f>SUM(F84:F89)</f>
        <v>7859590.3311152067</v>
      </c>
      <c r="G90" s="27">
        <f>SUM(G84:G89)</f>
        <v>8726767.3162981197</v>
      </c>
      <c r="H90" s="27">
        <f>SUM(H84:H89)</f>
        <v>9677993.2704987004</v>
      </c>
      <c r="I90" s="27">
        <f t="shared" ref="I90:N90" si="38">SUM(I84:I89)</f>
        <v>10733255.11502777</v>
      </c>
      <c r="J90" s="27">
        <f t="shared" si="38"/>
        <v>11904892.034396049</v>
      </c>
      <c r="K90" s="27">
        <f t="shared" si="38"/>
        <v>13205902.731332721</v>
      </c>
      <c r="L90" s="27">
        <f t="shared" si="38"/>
        <v>14650686.574847316</v>
      </c>
      <c r="M90" s="27">
        <f t="shared" si="38"/>
        <v>16255249.261276133</v>
      </c>
      <c r="N90" s="27">
        <f t="shared" si="38"/>
        <v>18037386.542033914</v>
      </c>
    </row>
    <row r="91" spans="1:14" x14ac:dyDescent="0.2">
      <c r="C91" s="187"/>
      <c r="E91" s="138" t="s">
        <v>183</v>
      </c>
      <c r="F91" s="138" t="s">
        <v>183</v>
      </c>
      <c r="G91" s="138" t="s">
        <v>183</v>
      </c>
      <c r="H91" s="138" t="s">
        <v>183</v>
      </c>
      <c r="I91" s="138" t="s">
        <v>183</v>
      </c>
      <c r="J91" s="138" t="s">
        <v>189</v>
      </c>
      <c r="K91" s="138" t="s">
        <v>183</v>
      </c>
      <c r="L91" s="138" t="s">
        <v>183</v>
      </c>
      <c r="M91" s="138" t="s">
        <v>183</v>
      </c>
      <c r="N91" s="138" t="s">
        <v>183</v>
      </c>
    </row>
    <row r="92" spans="1:14" x14ac:dyDescent="0.2">
      <c r="A92" s="145" t="s">
        <v>19</v>
      </c>
      <c r="E92" s="25" t="s">
        <v>183</v>
      </c>
      <c r="F92" s="128" t="s">
        <v>183</v>
      </c>
      <c r="G92" s="128" t="s">
        <v>183</v>
      </c>
      <c r="H92" s="128" t="s">
        <v>183</v>
      </c>
      <c r="I92" s="128" t="s">
        <v>183</v>
      </c>
      <c r="J92" s="128" t="s">
        <v>183</v>
      </c>
      <c r="K92" s="128" t="s">
        <v>183</v>
      </c>
      <c r="L92" s="128" t="s">
        <v>183</v>
      </c>
      <c r="M92" s="128" t="s">
        <v>183</v>
      </c>
      <c r="N92" s="128" t="s">
        <v>183</v>
      </c>
    </row>
    <row r="93" spans="1:14" x14ac:dyDescent="0.2">
      <c r="E93" s="25"/>
      <c r="F93" s="25"/>
      <c r="G93" s="25"/>
      <c r="H93" s="25"/>
      <c r="I93" s="25"/>
      <c r="J93" s="25"/>
      <c r="K93" s="25"/>
      <c r="L93" s="25"/>
      <c r="M93" s="25"/>
      <c r="N93" s="25"/>
    </row>
    <row r="94" spans="1:14" x14ac:dyDescent="0.2">
      <c r="A94" s="154" t="s">
        <v>13</v>
      </c>
      <c r="E94" s="25"/>
      <c r="F94" s="25"/>
      <c r="G94" s="25"/>
      <c r="H94" s="25"/>
      <c r="I94" s="25"/>
      <c r="J94" s="25"/>
      <c r="K94" s="25"/>
      <c r="L94" s="25"/>
      <c r="M94" s="25"/>
      <c r="N94" s="25"/>
    </row>
    <row r="95" spans="1:14" x14ac:dyDescent="0.2">
      <c r="A95" s="24" t="str">
        <f>A84</f>
        <v>Livianos</v>
      </c>
      <c r="E95" s="143">
        <f>+Condiciones!$B$15</f>
        <v>0.3</v>
      </c>
      <c r="F95" s="143">
        <f>+E95</f>
        <v>0.3</v>
      </c>
      <c r="G95" s="143">
        <f t="shared" ref="G95:N95" si="39">+F95</f>
        <v>0.3</v>
      </c>
      <c r="H95" s="143">
        <f t="shared" si="39"/>
        <v>0.3</v>
      </c>
      <c r="I95" s="143">
        <f t="shared" si="39"/>
        <v>0.3</v>
      </c>
      <c r="J95" s="143">
        <f t="shared" si="39"/>
        <v>0.3</v>
      </c>
      <c r="K95" s="143">
        <f t="shared" si="39"/>
        <v>0.3</v>
      </c>
      <c r="L95" s="143">
        <f t="shared" si="39"/>
        <v>0.3</v>
      </c>
      <c r="M95" s="143">
        <f t="shared" si="39"/>
        <v>0.3</v>
      </c>
      <c r="N95" s="143">
        <f t="shared" si="39"/>
        <v>0.3</v>
      </c>
    </row>
    <row r="96" spans="1:14" x14ac:dyDescent="0.2">
      <c r="A96" s="24" t="str">
        <f>A85</f>
        <v>Taxis y furgonetas</v>
      </c>
      <c r="E96" s="143">
        <f>+Condiciones!$B$15</f>
        <v>0.3</v>
      </c>
      <c r="F96" s="143">
        <f t="shared" ref="F96:N99" si="40">+E96</f>
        <v>0.3</v>
      </c>
      <c r="G96" s="143">
        <f t="shared" si="40"/>
        <v>0.3</v>
      </c>
      <c r="H96" s="143">
        <f t="shared" si="40"/>
        <v>0.3</v>
      </c>
      <c r="I96" s="143">
        <f t="shared" si="40"/>
        <v>0.3</v>
      </c>
      <c r="J96" s="143">
        <f t="shared" si="40"/>
        <v>0.3</v>
      </c>
      <c r="K96" s="143">
        <f t="shared" si="40"/>
        <v>0.3</v>
      </c>
      <c r="L96" s="143">
        <f t="shared" si="40"/>
        <v>0.3</v>
      </c>
      <c r="M96" s="143">
        <f t="shared" si="40"/>
        <v>0.3</v>
      </c>
      <c r="N96" s="143">
        <f t="shared" si="40"/>
        <v>0.3</v>
      </c>
    </row>
    <row r="97" spans="1:14" x14ac:dyDescent="0.2">
      <c r="A97" s="24" t="str">
        <f>A86</f>
        <v>Pesados</v>
      </c>
      <c r="E97" s="143">
        <f>+Condiciones!$B$15</f>
        <v>0.3</v>
      </c>
      <c r="F97" s="143">
        <f t="shared" si="40"/>
        <v>0.3</v>
      </c>
      <c r="G97" s="143">
        <f t="shared" si="40"/>
        <v>0.3</v>
      </c>
      <c r="H97" s="143">
        <f t="shared" si="40"/>
        <v>0.3</v>
      </c>
      <c r="I97" s="143">
        <f t="shared" si="40"/>
        <v>0.3</v>
      </c>
      <c r="J97" s="143">
        <f t="shared" si="40"/>
        <v>0.3</v>
      </c>
      <c r="K97" s="143">
        <f t="shared" si="40"/>
        <v>0.3</v>
      </c>
      <c r="L97" s="143">
        <f t="shared" si="40"/>
        <v>0.3</v>
      </c>
      <c r="M97" s="143">
        <f t="shared" si="40"/>
        <v>0.3</v>
      </c>
      <c r="N97" s="143">
        <f t="shared" si="40"/>
        <v>0.3</v>
      </c>
    </row>
    <row r="98" spans="1:14" x14ac:dyDescent="0.2">
      <c r="A98" s="24" t="s">
        <v>171</v>
      </c>
      <c r="E98" s="143">
        <f>+Condiciones!$B$15</f>
        <v>0.3</v>
      </c>
      <c r="F98" s="143">
        <f t="shared" si="40"/>
        <v>0.3</v>
      </c>
      <c r="G98" s="143">
        <f t="shared" si="40"/>
        <v>0.3</v>
      </c>
      <c r="H98" s="143">
        <f t="shared" si="40"/>
        <v>0.3</v>
      </c>
      <c r="I98" s="143">
        <f t="shared" si="40"/>
        <v>0.3</v>
      </c>
      <c r="J98" s="143">
        <f t="shared" si="40"/>
        <v>0.3</v>
      </c>
      <c r="K98" s="143">
        <f t="shared" si="40"/>
        <v>0.3</v>
      </c>
      <c r="L98" s="143">
        <f t="shared" si="40"/>
        <v>0.3</v>
      </c>
      <c r="M98" s="143">
        <f t="shared" si="40"/>
        <v>0.3</v>
      </c>
      <c r="N98" s="143">
        <f t="shared" si="40"/>
        <v>0.3</v>
      </c>
    </row>
    <row r="99" spans="1:14" x14ac:dyDescent="0.2">
      <c r="A99" s="24" t="str">
        <f>A88</f>
        <v>Motos y otros</v>
      </c>
      <c r="E99" s="143">
        <f>+Condiciones!$B$15</f>
        <v>0.3</v>
      </c>
      <c r="F99" s="143">
        <f t="shared" si="40"/>
        <v>0.3</v>
      </c>
      <c r="G99" s="143">
        <f t="shared" si="40"/>
        <v>0.3</v>
      </c>
      <c r="H99" s="143">
        <f t="shared" si="40"/>
        <v>0.3</v>
      </c>
      <c r="I99" s="143">
        <f t="shared" si="40"/>
        <v>0.3</v>
      </c>
      <c r="J99" s="143">
        <f t="shared" si="40"/>
        <v>0.3</v>
      </c>
      <c r="K99" s="143">
        <f t="shared" si="40"/>
        <v>0.3</v>
      </c>
      <c r="L99" s="143">
        <f t="shared" si="40"/>
        <v>0.3</v>
      </c>
      <c r="M99" s="143">
        <f t="shared" si="40"/>
        <v>0.3</v>
      </c>
      <c r="N99" s="143">
        <f t="shared" si="40"/>
        <v>0.3</v>
      </c>
    </row>
    <row r="100" spans="1:14" x14ac:dyDescent="0.2">
      <c r="E100" s="25"/>
      <c r="F100" s="25"/>
      <c r="G100" s="25"/>
      <c r="H100" s="25"/>
      <c r="I100" s="25"/>
      <c r="J100" s="25"/>
      <c r="K100" s="25"/>
      <c r="L100" s="25"/>
      <c r="M100" s="25"/>
      <c r="N100" s="25"/>
    </row>
    <row r="101" spans="1:14" x14ac:dyDescent="0.2">
      <c r="A101" s="154" t="s">
        <v>14</v>
      </c>
      <c r="E101" s="25"/>
      <c r="F101" s="25"/>
      <c r="G101" s="25"/>
      <c r="H101" s="25"/>
      <c r="I101" s="25"/>
      <c r="J101" s="25"/>
      <c r="K101" s="25"/>
      <c r="L101" s="25"/>
      <c r="M101" s="25"/>
      <c r="N101" s="25"/>
    </row>
    <row r="102" spans="1:14" x14ac:dyDescent="0.2">
      <c r="A102" s="24" t="str">
        <f>A95</f>
        <v>Livianos</v>
      </c>
      <c r="E102" s="25">
        <f>E65*E95</f>
        <v>89430.771599999993</v>
      </c>
      <c r="F102" s="25">
        <f t="shared" ref="F102:N102" si="41">F65*F95</f>
        <v>95690.925611999992</v>
      </c>
      <c r="G102" s="25">
        <f t="shared" si="41"/>
        <v>102389.29040483999</v>
      </c>
      <c r="H102" s="25">
        <f t="shared" si="41"/>
        <v>109556.5407331788</v>
      </c>
      <c r="I102" s="25">
        <f t="shared" si="41"/>
        <v>117225.4985845013</v>
      </c>
      <c r="J102" s="25">
        <f t="shared" si="41"/>
        <v>125431.28348541638</v>
      </c>
      <c r="K102" s="25">
        <f t="shared" si="41"/>
        <v>134211.47332939552</v>
      </c>
      <c r="L102" s="25">
        <f t="shared" si="41"/>
        <v>143606.27646245321</v>
      </c>
      <c r="M102" s="25">
        <f t="shared" si="41"/>
        <v>153658.71581482494</v>
      </c>
      <c r="N102" s="25">
        <f t="shared" si="41"/>
        <v>164414.82592186271</v>
      </c>
    </row>
    <row r="103" spans="1:14" x14ac:dyDescent="0.2">
      <c r="A103" s="24" t="str">
        <f>A96</f>
        <v>Taxis y furgonetas</v>
      </c>
      <c r="E103" s="25">
        <f t="shared" ref="E103:N103" si="42">E66*E96</f>
        <v>6731.3484000000017</v>
      </c>
      <c r="F103" s="25">
        <f t="shared" si="42"/>
        <v>7202.5427880000007</v>
      </c>
      <c r="G103" s="25">
        <f t="shared" si="42"/>
        <v>7706.7207831600008</v>
      </c>
      <c r="H103" s="25">
        <f t="shared" si="42"/>
        <v>8246.1912379812002</v>
      </c>
      <c r="I103" s="25">
        <f t="shared" si="42"/>
        <v>8823.4246246398852</v>
      </c>
      <c r="J103" s="25">
        <f t="shared" si="42"/>
        <v>9441.0643483646763</v>
      </c>
      <c r="K103" s="25">
        <f t="shared" si="42"/>
        <v>10101.938852750203</v>
      </c>
      <c r="L103" s="25">
        <f t="shared" si="42"/>
        <v>10809.074572442718</v>
      </c>
      <c r="M103" s="25">
        <f t="shared" si="42"/>
        <v>11565.709792513708</v>
      </c>
      <c r="N103" s="25">
        <f t="shared" si="42"/>
        <v>12375.309477989669</v>
      </c>
    </row>
    <row r="104" spans="1:14" x14ac:dyDescent="0.2">
      <c r="A104" s="24" t="str">
        <f>A97</f>
        <v>Pesados</v>
      </c>
      <c r="E104" s="25">
        <f>E67*E97</f>
        <v>4109.16</v>
      </c>
      <c r="F104" s="25">
        <f t="shared" ref="F104:N104" si="43">F67*F97</f>
        <v>4232.4348</v>
      </c>
      <c r="G104" s="25">
        <f t="shared" si="43"/>
        <v>4359.4078439999994</v>
      </c>
      <c r="H104" s="25">
        <f t="shared" si="43"/>
        <v>4490.1900793200002</v>
      </c>
      <c r="I104" s="25">
        <f t="shared" si="43"/>
        <v>4624.8957816995999</v>
      </c>
      <c r="J104" s="25">
        <f t="shared" si="43"/>
        <v>4763.6426551505874</v>
      </c>
      <c r="K104" s="25">
        <f t="shared" si="43"/>
        <v>4906.5519348051048</v>
      </c>
      <c r="L104" s="25">
        <f t="shared" si="43"/>
        <v>5053.7484928492577</v>
      </c>
      <c r="M104" s="25">
        <f t="shared" si="43"/>
        <v>5205.3609476347356</v>
      </c>
      <c r="N104" s="25">
        <f t="shared" si="43"/>
        <v>5361.5217760637779</v>
      </c>
    </row>
    <row r="105" spans="1:14" x14ac:dyDescent="0.2">
      <c r="A105" s="24" t="s">
        <v>171</v>
      </c>
      <c r="E105" s="25">
        <f t="shared" ref="E105:N105" si="44">E68*E98</f>
        <v>3362.0400000000004</v>
      </c>
      <c r="F105" s="25">
        <f t="shared" si="44"/>
        <v>3462.9011999999998</v>
      </c>
      <c r="G105" s="25">
        <f t="shared" si="44"/>
        <v>3566.7882359999994</v>
      </c>
      <c r="H105" s="25">
        <f t="shared" si="44"/>
        <v>3673.7918830799999</v>
      </c>
      <c r="I105" s="25">
        <f t="shared" si="44"/>
        <v>3784.0056395723996</v>
      </c>
      <c r="J105" s="25">
        <f t="shared" si="44"/>
        <v>3897.5258087595712</v>
      </c>
      <c r="K105" s="25">
        <f t="shared" si="44"/>
        <v>4014.4515830223581</v>
      </c>
      <c r="L105" s="25">
        <f t="shared" si="44"/>
        <v>4134.8851305130293</v>
      </c>
      <c r="M105" s="25">
        <f t="shared" si="44"/>
        <v>4258.9316844284203</v>
      </c>
      <c r="N105" s="25">
        <f t="shared" si="44"/>
        <v>4386.6996349612718</v>
      </c>
    </row>
    <row r="106" spans="1:14" x14ac:dyDescent="0.2">
      <c r="A106" s="24" t="str">
        <f>A99</f>
        <v>Motos y otros</v>
      </c>
      <c r="E106" s="25">
        <f t="shared" ref="E106:N106" si="45">E69*E99</f>
        <v>6083.91</v>
      </c>
      <c r="F106" s="25">
        <f t="shared" si="45"/>
        <v>6509.7837000000009</v>
      </c>
      <c r="G106" s="25">
        <f t="shared" si="45"/>
        <v>6965.4685590000008</v>
      </c>
      <c r="H106" s="25">
        <f t="shared" si="45"/>
        <v>7453.0513581300011</v>
      </c>
      <c r="I106" s="25">
        <f t="shared" si="45"/>
        <v>7974.7649531991019</v>
      </c>
      <c r="J106" s="25">
        <f t="shared" si="45"/>
        <v>8532.9984999230401</v>
      </c>
      <c r="K106" s="25">
        <f t="shared" si="45"/>
        <v>9130.3083949176525</v>
      </c>
      <c r="L106" s="25">
        <f t="shared" si="45"/>
        <v>9769.4299825618891</v>
      </c>
      <c r="M106" s="25">
        <f t="shared" si="45"/>
        <v>10453.290081341222</v>
      </c>
      <c r="N106" s="25">
        <f t="shared" si="45"/>
        <v>11185.020387035109</v>
      </c>
    </row>
    <row r="107" spans="1:14" x14ac:dyDescent="0.2">
      <c r="E107" s="27">
        <f>SUM(E102:E106)</f>
        <v>109717.23</v>
      </c>
      <c r="F107" s="27">
        <f>SUM(F102:F106)</f>
        <v>117098.58809999999</v>
      </c>
      <c r="G107" s="27">
        <f t="shared" ref="G107:N107" si="46">SUM(G102:G106)</f>
        <v>124987.67582699998</v>
      </c>
      <c r="H107" s="27">
        <f t="shared" si="46"/>
        <v>133419.76529169001</v>
      </c>
      <c r="I107" s="27">
        <f t="shared" si="46"/>
        <v>142432.58958361228</v>
      </c>
      <c r="J107" s="27">
        <f t="shared" si="46"/>
        <v>152066.51479761425</v>
      </c>
      <c r="K107" s="27">
        <f t="shared" si="46"/>
        <v>162364.72409489087</v>
      </c>
      <c r="L107" s="27">
        <f t="shared" si="46"/>
        <v>173373.41464082009</v>
      </c>
      <c r="M107" s="27">
        <f t="shared" si="46"/>
        <v>185142.00832074304</v>
      </c>
      <c r="N107" s="27">
        <f t="shared" si="46"/>
        <v>197723.37719791252</v>
      </c>
    </row>
    <row r="108" spans="1:14" x14ac:dyDescent="0.2">
      <c r="E108" s="25"/>
      <c r="F108" s="25"/>
      <c r="G108" s="25"/>
      <c r="H108" s="25"/>
      <c r="I108" s="25"/>
      <c r="J108" s="25"/>
      <c r="K108" s="25"/>
      <c r="L108" s="25"/>
      <c r="M108" s="25"/>
      <c r="N108" s="25"/>
    </row>
    <row r="109" spans="1:14" x14ac:dyDescent="0.2">
      <c r="A109" s="154" t="s">
        <v>17</v>
      </c>
      <c r="E109" s="25"/>
      <c r="F109" s="25"/>
      <c r="G109" s="25"/>
      <c r="H109" s="25"/>
      <c r="I109" s="25"/>
      <c r="J109" s="25"/>
      <c r="K109" s="25"/>
      <c r="L109" s="25"/>
      <c r="M109" s="25"/>
      <c r="N109" s="25"/>
    </row>
    <row r="110" spans="1:14" x14ac:dyDescent="0.2">
      <c r="A110" s="24" t="str">
        <f>A102</f>
        <v>Livianos</v>
      </c>
      <c r="E110" s="241">
        <v>0</v>
      </c>
      <c r="F110" s="138">
        <f>E110+(E110*Inflación!D8)</f>
        <v>0</v>
      </c>
      <c r="G110" s="138">
        <f>F110+(F110*Inflación!E8)</f>
        <v>0</v>
      </c>
      <c r="H110" s="138">
        <f>G110+(G110*Inflación!F8)</f>
        <v>0</v>
      </c>
      <c r="I110" s="138">
        <f>H110+(H110*Inflación!G8)</f>
        <v>0</v>
      </c>
      <c r="J110" s="138">
        <f>I110+(I110*Inflación!H8)</f>
        <v>0</v>
      </c>
      <c r="K110" s="138">
        <f>J110+(J110*Inflación!I8)</f>
        <v>0</v>
      </c>
      <c r="L110" s="138">
        <f>K110+(K110*Inflación!J8)</f>
        <v>0</v>
      </c>
      <c r="M110" s="138">
        <f>L110+(L110*Inflación!K8)</f>
        <v>0</v>
      </c>
      <c r="N110" s="138">
        <f>M110+(M110*Inflación!L8)</f>
        <v>0</v>
      </c>
    </row>
    <row r="111" spans="1:14" x14ac:dyDescent="0.2">
      <c r="A111" s="24" t="str">
        <f>A103</f>
        <v>Taxis y furgonetas</v>
      </c>
      <c r="E111" s="241">
        <v>0</v>
      </c>
      <c r="F111" s="138">
        <f>E111+(E111*Inflación!D8)</f>
        <v>0</v>
      </c>
      <c r="G111" s="138">
        <f>F111+(F111*Inflación!E8)</f>
        <v>0</v>
      </c>
      <c r="H111" s="138">
        <f>G111+(G111*Inflación!F8)</f>
        <v>0</v>
      </c>
      <c r="I111" s="138">
        <f>H111+(H111*Inflación!G8)</f>
        <v>0</v>
      </c>
      <c r="J111" s="138">
        <f>I111+(I111*Inflación!H8)</f>
        <v>0</v>
      </c>
      <c r="K111" s="138">
        <f>J111+(J111*Inflación!I8)</f>
        <v>0</v>
      </c>
      <c r="L111" s="138">
        <f>K111+(K111*Inflación!J8)</f>
        <v>0</v>
      </c>
      <c r="M111" s="138">
        <f>L111+(L111*Inflación!K8)</f>
        <v>0</v>
      </c>
      <c r="N111" s="138">
        <f>M111+(M111*Inflación!L8)</f>
        <v>0</v>
      </c>
    </row>
    <row r="112" spans="1:14" x14ac:dyDescent="0.2">
      <c r="A112" s="24" t="str">
        <f>A104</f>
        <v>Pesados</v>
      </c>
      <c r="E112" s="241">
        <v>0</v>
      </c>
      <c r="F112" s="138">
        <f>E112+(E112*Inflación!D8)</f>
        <v>0</v>
      </c>
      <c r="G112" s="138">
        <f>F112+(F112*Inflación!E8)</f>
        <v>0</v>
      </c>
      <c r="H112" s="138">
        <f>G112+(G112*Inflación!F8)</f>
        <v>0</v>
      </c>
      <c r="I112" s="138">
        <f>H112+(H112*Inflación!G8)</f>
        <v>0</v>
      </c>
      <c r="J112" s="138">
        <f>I112+(I112*Inflación!H8)</f>
        <v>0</v>
      </c>
      <c r="K112" s="138">
        <f>J112+(J112*Inflación!I8)</f>
        <v>0</v>
      </c>
      <c r="L112" s="138">
        <f>K112+(K112*Inflación!J8)</f>
        <v>0</v>
      </c>
      <c r="M112" s="138">
        <f>L112+(L112*Inflación!K8)</f>
        <v>0</v>
      </c>
      <c r="N112" s="138">
        <f>M112+(M112*Inflación!L8)</f>
        <v>0</v>
      </c>
    </row>
    <row r="113" spans="1:14" x14ac:dyDescent="0.2">
      <c r="A113" s="24" t="s">
        <v>171</v>
      </c>
      <c r="E113" s="241">
        <v>0</v>
      </c>
      <c r="F113" s="138">
        <f>E113+(E113*Inflación!D8)</f>
        <v>0</v>
      </c>
      <c r="G113" s="138">
        <f>F113+(F113*Inflación!E8)</f>
        <v>0</v>
      </c>
      <c r="H113" s="138">
        <f>G113+(G113*Inflación!F8)</f>
        <v>0</v>
      </c>
      <c r="I113" s="138">
        <f>H113+(H113*Inflación!G8)</f>
        <v>0</v>
      </c>
      <c r="J113" s="138">
        <f>I113+(I113*Inflación!H8)</f>
        <v>0</v>
      </c>
      <c r="K113" s="138">
        <f>J113+(J113*Inflación!I8)</f>
        <v>0</v>
      </c>
      <c r="L113" s="138">
        <f>K113+(K113*Inflación!J8)</f>
        <v>0</v>
      </c>
      <c r="M113" s="138">
        <f>L113+(L113*Inflación!K8)</f>
        <v>0</v>
      </c>
      <c r="N113" s="138">
        <f>M113+(M113*Inflación!L8)</f>
        <v>0</v>
      </c>
    </row>
    <row r="114" spans="1:14" x14ac:dyDescent="0.2">
      <c r="A114" s="24" t="str">
        <f>A106</f>
        <v>Motos y otros</v>
      </c>
      <c r="E114" s="241">
        <v>0</v>
      </c>
      <c r="F114" s="138">
        <f>E114+(E114*Inflación!D8)</f>
        <v>0</v>
      </c>
      <c r="G114" s="138">
        <f>F114+(F114*Inflación!E8)</f>
        <v>0</v>
      </c>
      <c r="H114" s="138">
        <f>G114+(G114*Inflación!F8)</f>
        <v>0</v>
      </c>
      <c r="I114" s="138">
        <f>H114+(H114*Inflación!G8)</f>
        <v>0</v>
      </c>
      <c r="J114" s="138">
        <f>I114+(I114*Inflación!H8)</f>
        <v>0</v>
      </c>
      <c r="K114" s="138">
        <f>J114+(J114*Inflación!I8)</f>
        <v>0</v>
      </c>
      <c r="L114" s="138">
        <f>K114+(K114*Inflación!J8)</f>
        <v>0</v>
      </c>
      <c r="M114" s="138">
        <f>L114+(L114*Inflación!K8)</f>
        <v>0</v>
      </c>
      <c r="N114" s="138">
        <f>M114+(M114*Inflación!L8)</f>
        <v>0</v>
      </c>
    </row>
    <row r="115" spans="1:14" x14ac:dyDescent="0.2">
      <c r="E115" s="25"/>
      <c r="F115" s="25"/>
      <c r="G115" s="25"/>
      <c r="H115" s="25"/>
      <c r="I115" s="25"/>
      <c r="J115" s="25"/>
      <c r="K115" s="25"/>
      <c r="L115" s="25"/>
      <c r="M115" s="25"/>
      <c r="N115" s="25"/>
    </row>
    <row r="116" spans="1:14" x14ac:dyDescent="0.2">
      <c r="A116" s="154" t="s">
        <v>18</v>
      </c>
      <c r="E116" s="25"/>
      <c r="F116" s="25"/>
      <c r="G116" s="25"/>
      <c r="H116" s="25"/>
      <c r="I116" s="25"/>
      <c r="J116" s="25"/>
      <c r="K116" s="25"/>
      <c r="L116" s="25"/>
      <c r="M116" s="25"/>
      <c r="N116" s="25"/>
    </row>
    <row r="117" spans="1:14" x14ac:dyDescent="0.2">
      <c r="A117" s="24" t="str">
        <f>A110</f>
        <v>Livianos</v>
      </c>
      <c r="E117" s="138">
        <f>E102*E110</f>
        <v>0</v>
      </c>
      <c r="F117" s="138">
        <f t="shared" ref="F117:N117" si="47">F102*F110</f>
        <v>0</v>
      </c>
      <c r="G117" s="138">
        <f t="shared" si="47"/>
        <v>0</v>
      </c>
      <c r="H117" s="138">
        <f t="shared" si="47"/>
        <v>0</v>
      </c>
      <c r="I117" s="138">
        <f t="shared" si="47"/>
        <v>0</v>
      </c>
      <c r="J117" s="138">
        <f t="shared" si="47"/>
        <v>0</v>
      </c>
      <c r="K117" s="138">
        <f t="shared" si="47"/>
        <v>0</v>
      </c>
      <c r="L117" s="138">
        <f t="shared" si="47"/>
        <v>0</v>
      </c>
      <c r="M117" s="138">
        <f t="shared" si="47"/>
        <v>0</v>
      </c>
      <c r="N117" s="138">
        <f t="shared" si="47"/>
        <v>0</v>
      </c>
    </row>
    <row r="118" spans="1:14" x14ac:dyDescent="0.2">
      <c r="A118" s="24" t="str">
        <f>A111</f>
        <v>Taxis y furgonetas</v>
      </c>
      <c r="E118" s="138">
        <f t="shared" ref="E118:N118" si="48">E103*E111</f>
        <v>0</v>
      </c>
      <c r="F118" s="138">
        <f t="shared" si="48"/>
        <v>0</v>
      </c>
      <c r="G118" s="138">
        <f t="shared" si="48"/>
        <v>0</v>
      </c>
      <c r="H118" s="138">
        <f t="shared" si="48"/>
        <v>0</v>
      </c>
      <c r="I118" s="138">
        <f t="shared" si="48"/>
        <v>0</v>
      </c>
      <c r="J118" s="138">
        <f t="shared" si="48"/>
        <v>0</v>
      </c>
      <c r="K118" s="138">
        <f t="shared" si="48"/>
        <v>0</v>
      </c>
      <c r="L118" s="138">
        <f t="shared" si="48"/>
        <v>0</v>
      </c>
      <c r="M118" s="138">
        <f t="shared" si="48"/>
        <v>0</v>
      </c>
      <c r="N118" s="138">
        <f t="shared" si="48"/>
        <v>0</v>
      </c>
    </row>
    <row r="119" spans="1:14" x14ac:dyDescent="0.2">
      <c r="A119" s="24" t="str">
        <f>A112</f>
        <v>Pesados</v>
      </c>
      <c r="E119" s="138">
        <f t="shared" ref="E119:N120" si="49">E104*E112</f>
        <v>0</v>
      </c>
      <c r="F119" s="138">
        <f t="shared" si="49"/>
        <v>0</v>
      </c>
      <c r="G119" s="138">
        <f t="shared" si="49"/>
        <v>0</v>
      </c>
      <c r="H119" s="138">
        <f t="shared" si="49"/>
        <v>0</v>
      </c>
      <c r="I119" s="138">
        <f t="shared" si="49"/>
        <v>0</v>
      </c>
      <c r="J119" s="138">
        <f t="shared" si="49"/>
        <v>0</v>
      </c>
      <c r="K119" s="138">
        <f t="shared" si="49"/>
        <v>0</v>
      </c>
      <c r="L119" s="138">
        <f t="shared" si="49"/>
        <v>0</v>
      </c>
      <c r="M119" s="138">
        <f t="shared" si="49"/>
        <v>0</v>
      </c>
      <c r="N119" s="138">
        <f t="shared" si="49"/>
        <v>0</v>
      </c>
    </row>
    <row r="120" spans="1:14" x14ac:dyDescent="0.2">
      <c r="A120" s="24" t="s">
        <v>171</v>
      </c>
      <c r="E120" s="138">
        <f t="shared" si="49"/>
        <v>0</v>
      </c>
      <c r="F120" s="138">
        <f t="shared" si="49"/>
        <v>0</v>
      </c>
      <c r="G120" s="138">
        <f t="shared" si="49"/>
        <v>0</v>
      </c>
      <c r="H120" s="138">
        <f t="shared" si="49"/>
        <v>0</v>
      </c>
      <c r="I120" s="138">
        <f t="shared" si="49"/>
        <v>0</v>
      </c>
      <c r="J120" s="138">
        <f t="shared" si="49"/>
        <v>0</v>
      </c>
      <c r="K120" s="138">
        <f t="shared" si="49"/>
        <v>0</v>
      </c>
      <c r="L120" s="138">
        <f t="shared" si="49"/>
        <v>0</v>
      </c>
      <c r="M120" s="138">
        <f t="shared" si="49"/>
        <v>0</v>
      </c>
      <c r="N120" s="138">
        <f t="shared" si="49"/>
        <v>0</v>
      </c>
    </row>
    <row r="121" spans="1:14" x14ac:dyDescent="0.2">
      <c r="A121" s="24" t="str">
        <f>A114</f>
        <v>Motos y otros</v>
      </c>
      <c r="E121" s="138">
        <f t="shared" ref="E121:N121" si="50">E106*E114</f>
        <v>0</v>
      </c>
      <c r="F121" s="138">
        <f t="shared" si="50"/>
        <v>0</v>
      </c>
      <c r="G121" s="138">
        <f t="shared" si="50"/>
        <v>0</v>
      </c>
      <c r="H121" s="138">
        <f t="shared" si="50"/>
        <v>0</v>
      </c>
      <c r="I121" s="138">
        <f t="shared" si="50"/>
        <v>0</v>
      </c>
      <c r="J121" s="138">
        <f t="shared" si="50"/>
        <v>0</v>
      </c>
      <c r="K121" s="138">
        <f t="shared" si="50"/>
        <v>0</v>
      </c>
      <c r="L121" s="138">
        <f t="shared" si="50"/>
        <v>0</v>
      </c>
      <c r="M121" s="138">
        <f t="shared" si="50"/>
        <v>0</v>
      </c>
      <c r="N121" s="138">
        <f t="shared" si="50"/>
        <v>0</v>
      </c>
    </row>
    <row r="122" spans="1:14" x14ac:dyDescent="0.2">
      <c r="E122" s="215">
        <f t="shared" ref="E122:N122" si="51">SUM(E117:E121)</f>
        <v>0</v>
      </c>
      <c r="F122" s="215">
        <f t="shared" si="51"/>
        <v>0</v>
      </c>
      <c r="G122" s="215">
        <f t="shared" si="51"/>
        <v>0</v>
      </c>
      <c r="H122" s="215">
        <f t="shared" si="51"/>
        <v>0</v>
      </c>
      <c r="I122" s="215">
        <f t="shared" si="51"/>
        <v>0</v>
      </c>
      <c r="J122" s="215">
        <f t="shared" si="51"/>
        <v>0</v>
      </c>
      <c r="K122" s="215">
        <f t="shared" si="51"/>
        <v>0</v>
      </c>
      <c r="L122" s="215">
        <f t="shared" si="51"/>
        <v>0</v>
      </c>
      <c r="M122" s="215">
        <f t="shared" si="51"/>
        <v>0</v>
      </c>
      <c r="N122" s="215">
        <f t="shared" si="51"/>
        <v>0</v>
      </c>
    </row>
    <row r="123" spans="1:14" x14ac:dyDescent="0.2">
      <c r="E123" s="25"/>
      <c r="F123" s="25"/>
      <c r="G123" s="25"/>
      <c r="H123" s="25"/>
      <c r="I123" s="25"/>
      <c r="J123" s="25"/>
      <c r="K123" s="25"/>
      <c r="L123" s="25"/>
      <c r="M123" s="25"/>
      <c r="N123" s="25"/>
    </row>
    <row r="124" spans="1:14" x14ac:dyDescent="0.2">
      <c r="A124" s="145" t="s">
        <v>20</v>
      </c>
      <c r="E124" s="25"/>
      <c r="F124" s="25"/>
      <c r="G124" s="25"/>
      <c r="H124" s="25"/>
      <c r="I124" s="25"/>
      <c r="J124" s="25"/>
      <c r="K124" s="25"/>
      <c r="L124" s="25"/>
      <c r="M124" s="25"/>
      <c r="N124" s="25"/>
    </row>
    <row r="125" spans="1:14" x14ac:dyDescent="0.2">
      <c r="E125" s="25"/>
      <c r="F125" s="25"/>
      <c r="G125" s="25"/>
      <c r="H125" s="25"/>
      <c r="I125" s="25"/>
      <c r="J125" s="25"/>
      <c r="K125" s="25"/>
      <c r="L125" s="25"/>
      <c r="M125" s="25"/>
      <c r="N125" s="25"/>
    </row>
    <row r="126" spans="1:14" x14ac:dyDescent="0.2">
      <c r="A126" s="154" t="s">
        <v>13</v>
      </c>
      <c r="E126" s="25"/>
      <c r="F126" s="25"/>
      <c r="G126" s="25"/>
      <c r="H126" s="25"/>
      <c r="I126" s="25"/>
      <c r="J126" s="25"/>
      <c r="K126" s="25"/>
      <c r="L126" s="25"/>
      <c r="M126" s="25"/>
      <c r="N126" s="25"/>
    </row>
    <row r="127" spans="1:14" x14ac:dyDescent="0.2">
      <c r="A127" s="24" t="str">
        <f>A117</f>
        <v>Livianos</v>
      </c>
      <c r="E127" s="143">
        <f>+Condiciones!$B$16</f>
        <v>0.1</v>
      </c>
      <c r="F127" s="143">
        <f>+E127</f>
        <v>0.1</v>
      </c>
      <c r="G127" s="143">
        <f t="shared" ref="G127:N127" si="52">+F127</f>
        <v>0.1</v>
      </c>
      <c r="H127" s="143">
        <f t="shared" si="52"/>
        <v>0.1</v>
      </c>
      <c r="I127" s="143">
        <f t="shared" si="52"/>
        <v>0.1</v>
      </c>
      <c r="J127" s="143">
        <f t="shared" si="52"/>
        <v>0.1</v>
      </c>
      <c r="K127" s="143">
        <f t="shared" si="52"/>
        <v>0.1</v>
      </c>
      <c r="L127" s="143">
        <f t="shared" si="52"/>
        <v>0.1</v>
      </c>
      <c r="M127" s="143">
        <f t="shared" si="52"/>
        <v>0.1</v>
      </c>
      <c r="N127" s="143">
        <f t="shared" si="52"/>
        <v>0.1</v>
      </c>
    </row>
    <row r="128" spans="1:14" x14ac:dyDescent="0.2">
      <c r="A128" s="24" t="str">
        <f>A118</f>
        <v>Taxis y furgonetas</v>
      </c>
      <c r="E128" s="143">
        <f>+Condiciones!$B$16</f>
        <v>0.1</v>
      </c>
      <c r="F128" s="143">
        <f t="shared" ref="F128:N131" si="53">+E128</f>
        <v>0.1</v>
      </c>
      <c r="G128" s="143">
        <f t="shared" si="53"/>
        <v>0.1</v>
      </c>
      <c r="H128" s="143">
        <f t="shared" si="53"/>
        <v>0.1</v>
      </c>
      <c r="I128" s="143">
        <f t="shared" si="53"/>
        <v>0.1</v>
      </c>
      <c r="J128" s="143">
        <f t="shared" si="53"/>
        <v>0.1</v>
      </c>
      <c r="K128" s="143">
        <f t="shared" si="53"/>
        <v>0.1</v>
      </c>
      <c r="L128" s="143">
        <f t="shared" si="53"/>
        <v>0.1</v>
      </c>
      <c r="M128" s="143">
        <f t="shared" si="53"/>
        <v>0.1</v>
      </c>
      <c r="N128" s="143">
        <f t="shared" si="53"/>
        <v>0.1</v>
      </c>
    </row>
    <row r="129" spans="1:14" x14ac:dyDescent="0.2">
      <c r="A129" s="24" t="str">
        <f>A119</f>
        <v>Pesados</v>
      </c>
      <c r="E129" s="143">
        <f>+Condiciones!$B$16</f>
        <v>0.1</v>
      </c>
      <c r="F129" s="143">
        <f t="shared" si="53"/>
        <v>0.1</v>
      </c>
      <c r="G129" s="143">
        <f t="shared" si="53"/>
        <v>0.1</v>
      </c>
      <c r="H129" s="143">
        <f t="shared" si="53"/>
        <v>0.1</v>
      </c>
      <c r="I129" s="143">
        <f t="shared" si="53"/>
        <v>0.1</v>
      </c>
      <c r="J129" s="143">
        <f t="shared" si="53"/>
        <v>0.1</v>
      </c>
      <c r="K129" s="143">
        <f t="shared" si="53"/>
        <v>0.1</v>
      </c>
      <c r="L129" s="143">
        <f t="shared" si="53"/>
        <v>0.1</v>
      </c>
      <c r="M129" s="143">
        <f t="shared" si="53"/>
        <v>0.1</v>
      </c>
      <c r="N129" s="143">
        <f t="shared" si="53"/>
        <v>0.1</v>
      </c>
    </row>
    <row r="130" spans="1:14" x14ac:dyDescent="0.2">
      <c r="A130" s="24" t="str">
        <f>A120</f>
        <v>Buses</v>
      </c>
      <c r="E130" s="143">
        <f>+Condiciones!$B$16</f>
        <v>0.1</v>
      </c>
      <c r="F130" s="143">
        <f t="shared" si="53"/>
        <v>0.1</v>
      </c>
      <c r="G130" s="143">
        <f t="shared" si="53"/>
        <v>0.1</v>
      </c>
      <c r="H130" s="143">
        <f t="shared" si="53"/>
        <v>0.1</v>
      </c>
      <c r="I130" s="143">
        <f t="shared" si="53"/>
        <v>0.1</v>
      </c>
      <c r="J130" s="143">
        <f t="shared" si="53"/>
        <v>0.1</v>
      </c>
      <c r="K130" s="143">
        <f t="shared" si="53"/>
        <v>0.1</v>
      </c>
      <c r="L130" s="143">
        <f t="shared" si="53"/>
        <v>0.1</v>
      </c>
      <c r="M130" s="143">
        <f t="shared" si="53"/>
        <v>0.1</v>
      </c>
      <c r="N130" s="143">
        <f t="shared" si="53"/>
        <v>0.1</v>
      </c>
    </row>
    <row r="131" spans="1:14" x14ac:dyDescent="0.2">
      <c r="A131" s="24" t="str">
        <f>A121</f>
        <v>Motos y otros</v>
      </c>
      <c r="E131" s="143">
        <f>+Condiciones!$B$16</f>
        <v>0.1</v>
      </c>
      <c r="F131" s="143">
        <f t="shared" si="53"/>
        <v>0.1</v>
      </c>
      <c r="G131" s="143">
        <f t="shared" si="53"/>
        <v>0.1</v>
      </c>
      <c r="H131" s="143">
        <f t="shared" si="53"/>
        <v>0.1</v>
      </c>
      <c r="I131" s="143">
        <f t="shared" si="53"/>
        <v>0.1</v>
      </c>
      <c r="J131" s="143">
        <f t="shared" si="53"/>
        <v>0.1</v>
      </c>
      <c r="K131" s="143">
        <f t="shared" si="53"/>
        <v>0.1</v>
      </c>
      <c r="L131" s="143">
        <f t="shared" si="53"/>
        <v>0.1</v>
      </c>
      <c r="M131" s="143">
        <f t="shared" si="53"/>
        <v>0.1</v>
      </c>
      <c r="N131" s="143">
        <f t="shared" si="53"/>
        <v>0.1</v>
      </c>
    </row>
    <row r="132" spans="1:14" x14ac:dyDescent="0.2">
      <c r="E132" s="25"/>
      <c r="F132" s="25"/>
      <c r="G132" s="25"/>
      <c r="H132" s="25"/>
      <c r="I132" s="25"/>
      <c r="J132" s="25"/>
      <c r="K132" s="25"/>
      <c r="L132" s="25"/>
      <c r="M132" s="25"/>
      <c r="N132" s="25"/>
    </row>
    <row r="133" spans="1:14" x14ac:dyDescent="0.2">
      <c r="A133" s="154" t="s">
        <v>14</v>
      </c>
      <c r="E133" s="25"/>
      <c r="F133" s="25"/>
      <c r="G133" s="25"/>
      <c r="H133" s="25"/>
      <c r="I133" s="25"/>
      <c r="J133" s="25"/>
      <c r="K133" s="25"/>
      <c r="L133" s="25"/>
      <c r="M133" s="25"/>
      <c r="N133" s="25"/>
    </row>
    <row r="134" spans="1:14" x14ac:dyDescent="0.2">
      <c r="A134" s="24" t="str">
        <f>A127</f>
        <v>Livianos</v>
      </c>
      <c r="E134" s="25">
        <f>E102*E127/1.3</f>
        <v>6879.2901230769221</v>
      </c>
      <c r="F134" s="25">
        <f t="shared" ref="F134:N134" si="54">F102*F127/1.3</f>
        <v>7360.840431692307</v>
      </c>
      <c r="G134" s="25">
        <f t="shared" si="54"/>
        <v>7876.0992619107683</v>
      </c>
      <c r="H134" s="25">
        <f t="shared" si="54"/>
        <v>8427.4262102445227</v>
      </c>
      <c r="I134" s="25">
        <f t="shared" si="54"/>
        <v>9017.3460449616396</v>
      </c>
      <c r="J134" s="25">
        <f t="shared" si="54"/>
        <v>9648.5602681089531</v>
      </c>
      <c r="K134" s="25">
        <f t="shared" si="54"/>
        <v>10323.959486876578</v>
      </c>
      <c r="L134" s="25">
        <f t="shared" si="54"/>
        <v>11046.63665095794</v>
      </c>
      <c r="M134" s="25">
        <f t="shared" si="54"/>
        <v>11819.901216524997</v>
      </c>
      <c r="N134" s="25">
        <f t="shared" si="54"/>
        <v>12647.294301681748</v>
      </c>
    </row>
    <row r="135" spans="1:14" x14ac:dyDescent="0.2">
      <c r="A135" s="24" t="str">
        <f>A128</f>
        <v>Taxis y furgonetas</v>
      </c>
      <c r="E135" s="25">
        <f t="shared" ref="E135:N138" si="55">E103*E128/1.3</f>
        <v>517.79603076923092</v>
      </c>
      <c r="F135" s="25">
        <f t="shared" si="55"/>
        <v>554.04175292307696</v>
      </c>
      <c r="G135" s="25">
        <f t="shared" si="55"/>
        <v>592.82467562769239</v>
      </c>
      <c r="H135" s="25">
        <f t="shared" si="55"/>
        <v>634.32240292163078</v>
      </c>
      <c r="I135" s="25">
        <f t="shared" si="55"/>
        <v>678.72497112614508</v>
      </c>
      <c r="J135" s="25">
        <f t="shared" si="55"/>
        <v>726.23571910497515</v>
      </c>
      <c r="K135" s="25">
        <f t="shared" si="55"/>
        <v>777.07221944232333</v>
      </c>
      <c r="L135" s="25">
        <f t="shared" si="55"/>
        <v>831.46727480328605</v>
      </c>
      <c r="M135" s="25">
        <f t="shared" si="55"/>
        <v>889.66998403951595</v>
      </c>
      <c r="N135" s="25">
        <f t="shared" si="55"/>
        <v>951.94688292228227</v>
      </c>
    </row>
    <row r="136" spans="1:14" x14ac:dyDescent="0.2">
      <c r="A136" s="24" t="str">
        <f>A129</f>
        <v>Pesados</v>
      </c>
      <c r="E136" s="25">
        <f t="shared" si="55"/>
        <v>316.08923076923077</v>
      </c>
      <c r="F136" s="25">
        <f t="shared" si="55"/>
        <v>325.57190769230772</v>
      </c>
      <c r="G136" s="25">
        <f t="shared" si="55"/>
        <v>335.33906492307688</v>
      </c>
      <c r="H136" s="25">
        <f t="shared" si="55"/>
        <v>345.39923687076924</v>
      </c>
      <c r="I136" s="25">
        <f t="shared" si="55"/>
        <v>355.76121397689229</v>
      </c>
      <c r="J136" s="25">
        <f t="shared" si="55"/>
        <v>366.43405039619904</v>
      </c>
      <c r="K136" s="25">
        <f t="shared" si="55"/>
        <v>377.427071908085</v>
      </c>
      <c r="L136" s="25">
        <f t="shared" si="55"/>
        <v>388.74988406532754</v>
      </c>
      <c r="M136" s="25">
        <f t="shared" si="55"/>
        <v>400.41238058728732</v>
      </c>
      <c r="N136" s="25">
        <f t="shared" si="55"/>
        <v>412.424752004906</v>
      </c>
    </row>
    <row r="137" spans="1:14" x14ac:dyDescent="0.2">
      <c r="A137" s="24" t="str">
        <f>A130</f>
        <v>Buses</v>
      </c>
      <c r="E137" s="25">
        <f t="shared" si="55"/>
        <v>258.61846153846159</v>
      </c>
      <c r="F137" s="25">
        <f t="shared" si="55"/>
        <v>266.37701538461539</v>
      </c>
      <c r="G137" s="25">
        <f t="shared" si="55"/>
        <v>274.36832584615382</v>
      </c>
      <c r="H137" s="25">
        <f t="shared" si="55"/>
        <v>282.59937562153846</v>
      </c>
      <c r="I137" s="25">
        <f t="shared" si="55"/>
        <v>291.0773568901846</v>
      </c>
      <c r="J137" s="25">
        <f t="shared" si="55"/>
        <v>299.80967759689014</v>
      </c>
      <c r="K137" s="25">
        <f t="shared" si="55"/>
        <v>308.80396792479678</v>
      </c>
      <c r="L137" s="25">
        <f t="shared" si="55"/>
        <v>318.06808696254075</v>
      </c>
      <c r="M137" s="25">
        <f t="shared" si="55"/>
        <v>327.61012957141696</v>
      </c>
      <c r="N137" s="25">
        <f t="shared" si="55"/>
        <v>337.43843345855936</v>
      </c>
    </row>
    <row r="138" spans="1:14" x14ac:dyDescent="0.2">
      <c r="A138" s="24" t="str">
        <f>A131</f>
        <v>Motos y otros</v>
      </c>
      <c r="E138" s="25">
        <f t="shared" si="55"/>
        <v>467.9930769230769</v>
      </c>
      <c r="F138" s="25">
        <f t="shared" si="55"/>
        <v>500.7525923076924</v>
      </c>
      <c r="G138" s="25">
        <f t="shared" si="55"/>
        <v>535.80527376923078</v>
      </c>
      <c r="H138" s="25">
        <f t="shared" si="55"/>
        <v>573.311642933077</v>
      </c>
      <c r="I138" s="25">
        <f t="shared" si="55"/>
        <v>613.4434579383925</v>
      </c>
      <c r="J138" s="25">
        <f t="shared" si="55"/>
        <v>656.38449999407999</v>
      </c>
      <c r="K138" s="25">
        <f t="shared" si="55"/>
        <v>702.33141499366559</v>
      </c>
      <c r="L138" s="25">
        <f t="shared" si="55"/>
        <v>751.49461404322221</v>
      </c>
      <c r="M138" s="25">
        <f t="shared" si="55"/>
        <v>804.09923702624781</v>
      </c>
      <c r="N138" s="25">
        <f t="shared" si="55"/>
        <v>860.38618361808528</v>
      </c>
    </row>
    <row r="139" spans="1:14" x14ac:dyDescent="0.2">
      <c r="E139" s="27">
        <f t="shared" ref="E139:N139" si="56">SUM(E134:E138)</f>
        <v>8439.7869230769229</v>
      </c>
      <c r="F139" s="27">
        <f t="shared" si="56"/>
        <v>9007.5836999999992</v>
      </c>
      <c r="G139" s="27">
        <f t="shared" si="56"/>
        <v>9614.4366020769212</v>
      </c>
      <c r="H139" s="27">
        <f t="shared" si="56"/>
        <v>10263.058868591539</v>
      </c>
      <c r="I139" s="27">
        <f t="shared" si="56"/>
        <v>10956.353044893252</v>
      </c>
      <c r="J139" s="27">
        <f t="shared" si="56"/>
        <v>11697.424215201097</v>
      </c>
      <c r="K139" s="27">
        <f t="shared" si="56"/>
        <v>12489.594161145449</v>
      </c>
      <c r="L139" s="27">
        <f t="shared" si="56"/>
        <v>13336.416510832318</v>
      </c>
      <c r="M139" s="27">
        <f t="shared" si="56"/>
        <v>14241.692947749465</v>
      </c>
      <c r="N139" s="27">
        <f t="shared" si="56"/>
        <v>15209.490553685582</v>
      </c>
    </row>
    <row r="140" spans="1:14" x14ac:dyDescent="0.2">
      <c r="E140" s="25"/>
      <c r="F140" s="25"/>
      <c r="G140" s="25"/>
      <c r="H140" s="25"/>
      <c r="I140" s="25"/>
      <c r="J140" s="25"/>
      <c r="K140" s="25"/>
      <c r="L140" s="25"/>
      <c r="M140" s="25"/>
      <c r="N140" s="25"/>
    </row>
    <row r="141" spans="1:14" x14ac:dyDescent="0.2">
      <c r="A141" s="154" t="s">
        <v>17</v>
      </c>
      <c r="E141" s="25"/>
      <c r="F141" s="25"/>
      <c r="G141" s="25"/>
      <c r="H141" s="25"/>
      <c r="I141" s="25"/>
      <c r="J141" s="25"/>
      <c r="K141" s="25"/>
      <c r="L141" s="25"/>
      <c r="M141" s="25"/>
      <c r="N141" s="25"/>
    </row>
    <row r="142" spans="1:14" x14ac:dyDescent="0.2">
      <c r="A142" s="24" t="str">
        <f>A134</f>
        <v>Livianos</v>
      </c>
      <c r="E142" s="138">
        <f>+Tarifa!B42</f>
        <v>9.5849999999999973</v>
      </c>
      <c r="F142" s="138">
        <f>+Tarifa!C42</f>
        <v>9.9683999999999973</v>
      </c>
      <c r="G142" s="138">
        <f>+Tarifa!D42</f>
        <v>10.367135999999997</v>
      </c>
      <c r="H142" s="138">
        <f>+Tarifa!E42</f>
        <v>10.781821439999996</v>
      </c>
      <c r="I142" s="138">
        <f>+Tarifa!F42</f>
        <v>11.213094297599996</v>
      </c>
      <c r="J142" s="138">
        <f>+Tarifa!G42</f>
        <v>11.661618069503996</v>
      </c>
      <c r="K142" s="138">
        <f>+Tarifa!H42</f>
        <v>12.128082792284156</v>
      </c>
      <c r="L142" s="138">
        <f>+Tarifa!I42</f>
        <v>12.613206103975521</v>
      </c>
      <c r="M142" s="138">
        <f>+Tarifa!J42</f>
        <v>13.117734348134542</v>
      </c>
      <c r="N142" s="138">
        <f>+Tarifa!K42</f>
        <v>13.642443722059925</v>
      </c>
    </row>
    <row r="143" spans="1:14" x14ac:dyDescent="0.2">
      <c r="A143" s="24" t="str">
        <f>A135</f>
        <v>Taxis y furgonetas</v>
      </c>
      <c r="E143" s="138">
        <f>+Tarifa!B43</f>
        <v>6.492857142857142</v>
      </c>
      <c r="F143" s="138">
        <f>+Tarifa!C43</f>
        <v>6.7525714285714278</v>
      </c>
      <c r="G143" s="138">
        <f>+Tarifa!D43</f>
        <v>7.0226742857142854</v>
      </c>
      <c r="H143" s="138">
        <f>+Tarifa!E43</f>
        <v>7.3035812571428567</v>
      </c>
      <c r="I143" s="138">
        <f>+Tarifa!F43</f>
        <v>7.5957245074285709</v>
      </c>
      <c r="J143" s="138">
        <f>+Tarifa!G43</f>
        <v>7.8995534877257141</v>
      </c>
      <c r="K143" s="138">
        <f>+Tarifa!H43</f>
        <v>8.2155356272347433</v>
      </c>
      <c r="L143" s="138">
        <f>+Tarifa!I43</f>
        <v>8.5441570523241328</v>
      </c>
      <c r="M143" s="138">
        <f>+Tarifa!J43</f>
        <v>8.8859233344170985</v>
      </c>
      <c r="N143" s="138">
        <f>+Tarifa!K43</f>
        <v>9.2413602677937821</v>
      </c>
    </row>
    <row r="144" spans="1:14" x14ac:dyDescent="0.2">
      <c r="A144" s="24" t="str">
        <f>A136</f>
        <v>Pesados</v>
      </c>
      <c r="E144" s="138">
        <f>+Tarifa!B44</f>
        <v>15.190714285714281</v>
      </c>
      <c r="F144" s="138">
        <f>+Tarifa!C44</f>
        <v>15.798342857142853</v>
      </c>
      <c r="G144" s="138">
        <f>+Tarifa!D44</f>
        <v>16.430276571428568</v>
      </c>
      <c r="H144" s="138">
        <f>+Tarifa!E44</f>
        <v>17.087487634285711</v>
      </c>
      <c r="I144" s="138">
        <f>+Tarifa!F44</f>
        <v>17.770987139657141</v>
      </c>
      <c r="J144" s="138">
        <f>+Tarifa!G44</f>
        <v>18.481826625243428</v>
      </c>
      <c r="K144" s="138">
        <f>+Tarifa!H44</f>
        <v>19.221099690253165</v>
      </c>
      <c r="L144" s="138">
        <f>+Tarifa!I44</f>
        <v>19.989943677863291</v>
      </c>
      <c r="M144" s="138">
        <f>+Tarifa!J44</f>
        <v>20.789541424977823</v>
      </c>
      <c r="N144" s="138">
        <f>+Tarifa!K44</f>
        <v>21.621123081976936</v>
      </c>
    </row>
    <row r="145" spans="1:14" x14ac:dyDescent="0.2">
      <c r="A145" s="24" t="str">
        <f>A137</f>
        <v>Buses</v>
      </c>
      <c r="E145" s="138">
        <f>+Tarifa!B45</f>
        <v>12.747857142857139</v>
      </c>
      <c r="F145" s="138">
        <f>+Tarifa!C45</f>
        <v>13.257771428571425</v>
      </c>
      <c r="G145" s="138">
        <f>+Tarifa!D45</f>
        <v>13.788082285714284</v>
      </c>
      <c r="H145" s="138">
        <f>+Tarifa!E45</f>
        <v>14.339605577142855</v>
      </c>
      <c r="I145" s="138">
        <f>+Tarifa!F45</f>
        <v>14.913189800228571</v>
      </c>
      <c r="J145" s="138">
        <f>+Tarifa!G45</f>
        <v>15.509717392237715</v>
      </c>
      <c r="K145" s="138">
        <f>+Tarifa!H45</f>
        <v>16.130106087927224</v>
      </c>
      <c r="L145" s="138">
        <f>+Tarifa!I45</f>
        <v>16.775310331444313</v>
      </c>
      <c r="M145" s="138">
        <f>+Tarifa!J45</f>
        <v>17.446322744702087</v>
      </c>
      <c r="N145" s="138">
        <f>+Tarifa!K45</f>
        <v>18.144175654490169</v>
      </c>
    </row>
    <row r="146" spans="1:14" x14ac:dyDescent="0.2">
      <c r="A146" s="24" t="str">
        <f>A138</f>
        <v>Motos y otros</v>
      </c>
      <c r="E146" s="138">
        <f>+Tarifa!B46</f>
        <v>5.6346428571428557</v>
      </c>
      <c r="F146" s="138">
        <f>+Tarifa!C46</f>
        <v>5.86002857142857</v>
      </c>
      <c r="G146" s="138">
        <f>+Tarifa!D46</f>
        <v>6.0944297142857131</v>
      </c>
      <c r="H146" s="138">
        <f>+Tarifa!E46</f>
        <v>6.3382069028571415</v>
      </c>
      <c r="I146" s="138">
        <f>+Tarifa!F46</f>
        <v>6.5917351789714278</v>
      </c>
      <c r="J146" s="138">
        <f>+Tarifa!G46</f>
        <v>6.8554045861302848</v>
      </c>
      <c r="K146" s="138">
        <f>+Tarifa!H46</f>
        <v>7.1296207695754967</v>
      </c>
      <c r="L146" s="138">
        <f>+Tarifa!I46</f>
        <v>7.414805600358517</v>
      </c>
      <c r="M146" s="138">
        <f>+Tarifa!J46</f>
        <v>7.7113978243728578</v>
      </c>
      <c r="N146" s="138">
        <f>+Tarifa!K46</f>
        <v>8.0198537373477716</v>
      </c>
    </row>
    <row r="147" spans="1:14" x14ac:dyDescent="0.2">
      <c r="E147" s="25"/>
      <c r="F147" s="25"/>
      <c r="G147" s="25"/>
      <c r="H147" s="25"/>
      <c r="I147" s="25"/>
      <c r="J147" s="25"/>
      <c r="K147" s="25"/>
      <c r="L147" s="25"/>
      <c r="M147" s="25"/>
      <c r="N147" s="25"/>
    </row>
    <row r="148" spans="1:14" x14ac:dyDescent="0.2">
      <c r="A148" s="154" t="s">
        <v>18</v>
      </c>
      <c r="E148" s="25"/>
      <c r="F148" s="25"/>
      <c r="G148" s="25"/>
      <c r="H148" s="25"/>
      <c r="I148" s="25"/>
      <c r="J148" s="25"/>
      <c r="K148" s="25"/>
      <c r="L148" s="25"/>
      <c r="M148" s="25"/>
      <c r="N148" s="25"/>
    </row>
    <row r="149" spans="1:14" x14ac:dyDescent="0.2">
      <c r="A149" s="24" t="str">
        <f>A142</f>
        <v>Livianos</v>
      </c>
      <c r="C149" s="187" t="s">
        <v>183</v>
      </c>
      <c r="D149" s="149" t="s">
        <v>183</v>
      </c>
      <c r="E149" s="25">
        <f>E134*E142</f>
        <v>65937.995829692285</v>
      </c>
      <c r="F149" s="25">
        <f t="shared" ref="F149:N149" si="57">F134*F142</f>
        <v>73375.801759281574</v>
      </c>
      <c r="G149" s="25">
        <f t="shared" si="57"/>
        <v>81652.592197728532</v>
      </c>
      <c r="H149" s="25">
        <f t="shared" si="57"/>
        <v>90863.004597632316</v>
      </c>
      <c r="I149" s="25">
        <f t="shared" si="57"/>
        <v>101112.35151624524</v>
      </c>
      <c r="J149" s="25">
        <f t="shared" si="57"/>
        <v>112517.82476727769</v>
      </c>
      <c r="K149" s="25">
        <f t="shared" si="57"/>
        <v>125209.83540102659</v>
      </c>
      <c r="L149" s="25">
        <f t="shared" si="57"/>
        <v>139333.50483426239</v>
      </c>
      <c r="M149" s="25">
        <f t="shared" si="57"/>
        <v>155050.32417956722</v>
      </c>
      <c r="N149" s="25">
        <f t="shared" si="57"/>
        <v>172540.00074702242</v>
      </c>
    </row>
    <row r="150" spans="1:14" x14ac:dyDescent="0.2">
      <c r="A150" s="24" t="str">
        <f>A143</f>
        <v>Taxis y furgonetas</v>
      </c>
      <c r="C150" s="187" t="s">
        <v>183</v>
      </c>
      <c r="D150" s="149" t="s">
        <v>183</v>
      </c>
      <c r="E150" s="25">
        <f t="shared" ref="E150:N153" si="58">E135*E143</f>
        <v>3361.9756569230776</v>
      </c>
      <c r="F150" s="25">
        <f t="shared" si="58"/>
        <v>3741.2065110239996</v>
      </c>
      <c r="G150" s="25">
        <f t="shared" si="58"/>
        <v>4163.2146054675077</v>
      </c>
      <c r="H150" s="25">
        <f t="shared" si="58"/>
        <v>4632.8252129642415</v>
      </c>
      <c r="I150" s="25">
        <f t="shared" si="58"/>
        <v>5155.4078969866096</v>
      </c>
      <c r="J150" s="25">
        <f t="shared" si="58"/>
        <v>5736.9379077666981</v>
      </c>
      <c r="K150" s="25">
        <f t="shared" si="58"/>
        <v>6384.0645037627819</v>
      </c>
      <c r="L150" s="25">
        <f t="shared" si="58"/>
        <v>7104.1869797872241</v>
      </c>
      <c r="M150" s="25">
        <f t="shared" si="58"/>
        <v>7905.5392711072227</v>
      </c>
      <c r="N150" s="25">
        <f t="shared" si="58"/>
        <v>8797.2841008881187</v>
      </c>
    </row>
    <row r="151" spans="1:14" x14ac:dyDescent="0.2">
      <c r="A151" s="24" t="str">
        <f>A144</f>
        <v>Pesados</v>
      </c>
      <c r="C151" s="187" t="s">
        <v>183</v>
      </c>
      <c r="D151" s="149" t="s">
        <v>183</v>
      </c>
      <c r="E151" s="25">
        <f t="shared" si="58"/>
        <v>4801.6211934065914</v>
      </c>
      <c r="F151" s="25">
        <f t="shared" si="58"/>
        <v>5143.4966223771416</v>
      </c>
      <c r="G151" s="25">
        <f t="shared" si="58"/>
        <v>5509.7135818903935</v>
      </c>
      <c r="H151" s="25">
        <f t="shared" si="58"/>
        <v>5902.0051889209908</v>
      </c>
      <c r="I151" s="25">
        <f t="shared" si="58"/>
        <v>6322.2279583721656</v>
      </c>
      <c r="J151" s="25">
        <f t="shared" si="58"/>
        <v>6772.3705890082638</v>
      </c>
      <c r="K151" s="25">
        <f t="shared" si="58"/>
        <v>7254.563374945652</v>
      </c>
      <c r="L151" s="25">
        <f t="shared" si="58"/>
        <v>7771.0882872417815</v>
      </c>
      <c r="M151" s="25">
        <f t="shared" si="58"/>
        <v>8324.3897732933965</v>
      </c>
      <c r="N151" s="25">
        <f t="shared" si="58"/>
        <v>8917.0863251518876</v>
      </c>
    </row>
    <row r="152" spans="1:14" x14ac:dyDescent="0.2">
      <c r="A152" s="24" t="str">
        <f>A145</f>
        <v>Buses</v>
      </c>
      <c r="C152" s="187" t="s">
        <v>183</v>
      </c>
      <c r="D152" s="149" t="s">
        <v>183</v>
      </c>
      <c r="E152" s="25">
        <f t="shared" si="58"/>
        <v>3296.8312021978018</v>
      </c>
      <c r="F152" s="25">
        <f t="shared" si="58"/>
        <v>3531.565583794285</v>
      </c>
      <c r="G152" s="25">
        <f t="shared" si="58"/>
        <v>3783.0130533604379</v>
      </c>
      <c r="H152" s="25">
        <f t="shared" si="58"/>
        <v>4052.3635827597013</v>
      </c>
      <c r="I152" s="25">
        <f t="shared" si="58"/>
        <v>4340.891869852192</v>
      </c>
      <c r="J152" s="25">
        <f t="shared" si="58"/>
        <v>4649.9633709856689</v>
      </c>
      <c r="K152" s="25">
        <f t="shared" si="58"/>
        <v>4981.0407629998481</v>
      </c>
      <c r="L152" s="25">
        <f t="shared" si="58"/>
        <v>5335.6908653254377</v>
      </c>
      <c r="M152" s="25">
        <f t="shared" si="58"/>
        <v>5715.5920549366092</v>
      </c>
      <c r="N152" s="25">
        <f t="shared" si="58"/>
        <v>6122.542209248094</v>
      </c>
    </row>
    <row r="153" spans="1:14" x14ac:dyDescent="0.2">
      <c r="A153" s="24" t="str">
        <f>A146</f>
        <v>Motos y otros</v>
      </c>
      <c r="C153" s="187" t="s">
        <v>183</v>
      </c>
      <c r="D153" s="149" t="s">
        <v>183</v>
      </c>
      <c r="E153" s="25">
        <f t="shared" si="58"/>
        <v>2636.9738480769224</v>
      </c>
      <c r="F153" s="25">
        <f t="shared" si="58"/>
        <v>2934.4244981399997</v>
      </c>
      <c r="G153" s="25">
        <f t="shared" si="58"/>
        <v>3265.4275815301912</v>
      </c>
      <c r="H153" s="25">
        <f t="shared" si="58"/>
        <v>3633.7678127267973</v>
      </c>
      <c r="I153" s="25">
        <f t="shared" si="58"/>
        <v>4043.6568220023814</v>
      </c>
      <c r="J153" s="25">
        <f t="shared" si="58"/>
        <v>4499.7813115242498</v>
      </c>
      <c r="K153" s="25">
        <f t="shared" si="58"/>
        <v>5007.3566434641853</v>
      </c>
      <c r="L153" s="25">
        <f t="shared" si="58"/>
        <v>5572.1864728469463</v>
      </c>
      <c r="M153" s="25">
        <f t="shared" si="58"/>
        <v>6200.7291069840821</v>
      </c>
      <c r="N153" s="25">
        <f t="shared" si="58"/>
        <v>6900.1713502518869</v>
      </c>
    </row>
    <row r="154" spans="1:14" x14ac:dyDescent="0.2">
      <c r="C154" s="187" t="s">
        <v>183</v>
      </c>
      <c r="D154" s="149" t="s">
        <v>183</v>
      </c>
      <c r="E154" s="27">
        <f>SUM(E149:E153)</f>
        <v>80035.397730296681</v>
      </c>
      <c r="F154" s="27">
        <f t="shared" ref="F154:N154" si="59">SUM(F149:F153)</f>
        <v>88726.494974617002</v>
      </c>
      <c r="G154" s="27">
        <f t="shared" si="59"/>
        <v>98373.961019977069</v>
      </c>
      <c r="H154" s="27">
        <f t="shared" si="59"/>
        <v>109083.96639500404</v>
      </c>
      <c r="I154" s="27">
        <f t="shared" si="59"/>
        <v>120974.53606345858</v>
      </c>
      <c r="J154" s="27">
        <f t="shared" si="59"/>
        <v>134176.87794656257</v>
      </c>
      <c r="K154" s="27">
        <f t="shared" si="59"/>
        <v>148836.86068619907</v>
      </c>
      <c r="L154" s="27">
        <f t="shared" si="59"/>
        <v>165116.6574394638</v>
      </c>
      <c r="M154" s="27">
        <f t="shared" si="59"/>
        <v>183196.57438588853</v>
      </c>
      <c r="N154" s="27">
        <f t="shared" si="59"/>
        <v>203277.08473256239</v>
      </c>
    </row>
    <row r="155" spans="1:14" x14ac:dyDescent="0.2">
      <c r="E155" s="25"/>
      <c r="F155" s="25"/>
      <c r="G155" s="25"/>
      <c r="H155" s="25"/>
      <c r="I155" s="25"/>
      <c r="J155" s="25"/>
      <c r="K155" s="25"/>
      <c r="L155" s="25"/>
      <c r="M155" s="25"/>
      <c r="N155" s="25"/>
    </row>
    <row r="156" spans="1:14" x14ac:dyDescent="0.2">
      <c r="A156" s="145" t="s">
        <v>21</v>
      </c>
      <c r="E156" s="25"/>
      <c r="F156" s="25"/>
      <c r="G156" s="25"/>
      <c r="H156" s="25"/>
      <c r="I156" s="25"/>
      <c r="J156" s="25"/>
      <c r="K156" s="25"/>
      <c r="L156" s="25"/>
      <c r="M156" s="25"/>
      <c r="N156" s="25"/>
    </row>
    <row r="157" spans="1:14" x14ac:dyDescent="0.2">
      <c r="E157" s="25"/>
      <c r="F157" s="25"/>
      <c r="G157" s="25"/>
      <c r="H157" s="25"/>
      <c r="I157" s="25"/>
      <c r="J157" s="25"/>
      <c r="K157" s="25"/>
      <c r="L157" s="25"/>
      <c r="M157" s="25"/>
      <c r="N157" s="25"/>
    </row>
    <row r="158" spans="1:14" x14ac:dyDescent="0.2">
      <c r="A158" s="154" t="s">
        <v>13</v>
      </c>
      <c r="E158" s="25"/>
      <c r="F158" s="25"/>
      <c r="G158" s="25"/>
      <c r="H158" s="25"/>
      <c r="I158" s="25"/>
      <c r="J158" s="25"/>
      <c r="K158" s="25"/>
      <c r="L158" s="25"/>
      <c r="M158" s="25"/>
      <c r="N158" s="25"/>
    </row>
    <row r="159" spans="1:14" x14ac:dyDescent="0.2">
      <c r="A159" s="24" t="str">
        <f>A149</f>
        <v>Livianos</v>
      </c>
      <c r="E159" s="143">
        <f>+Condiciones!$B$17</f>
        <v>0.05</v>
      </c>
      <c r="F159" s="143">
        <f>+E159</f>
        <v>0.05</v>
      </c>
      <c r="G159" s="143">
        <f t="shared" ref="G159:N159" si="60">+F159</f>
        <v>0.05</v>
      </c>
      <c r="H159" s="143">
        <f t="shared" si="60"/>
        <v>0.05</v>
      </c>
      <c r="I159" s="143">
        <f t="shared" si="60"/>
        <v>0.05</v>
      </c>
      <c r="J159" s="143">
        <f t="shared" si="60"/>
        <v>0.05</v>
      </c>
      <c r="K159" s="143">
        <f t="shared" si="60"/>
        <v>0.05</v>
      </c>
      <c r="L159" s="143">
        <f t="shared" si="60"/>
        <v>0.05</v>
      </c>
      <c r="M159" s="143">
        <f t="shared" si="60"/>
        <v>0.05</v>
      </c>
      <c r="N159" s="143">
        <f t="shared" si="60"/>
        <v>0.05</v>
      </c>
    </row>
    <row r="160" spans="1:14" x14ac:dyDescent="0.2">
      <c r="A160" s="24" t="str">
        <f>A150</f>
        <v>Taxis y furgonetas</v>
      </c>
      <c r="E160" s="143">
        <f>+Condiciones!$B$17</f>
        <v>0.05</v>
      </c>
      <c r="F160" s="143">
        <f t="shared" ref="F160:N163" si="61">+E160</f>
        <v>0.05</v>
      </c>
      <c r="G160" s="143">
        <f t="shared" si="61"/>
        <v>0.05</v>
      </c>
      <c r="H160" s="143">
        <f t="shared" si="61"/>
        <v>0.05</v>
      </c>
      <c r="I160" s="143">
        <f t="shared" si="61"/>
        <v>0.05</v>
      </c>
      <c r="J160" s="143">
        <f t="shared" si="61"/>
        <v>0.05</v>
      </c>
      <c r="K160" s="143">
        <f t="shared" si="61"/>
        <v>0.05</v>
      </c>
      <c r="L160" s="143">
        <f t="shared" si="61"/>
        <v>0.05</v>
      </c>
      <c r="M160" s="143">
        <f t="shared" si="61"/>
        <v>0.05</v>
      </c>
      <c r="N160" s="143">
        <f t="shared" si="61"/>
        <v>0.05</v>
      </c>
    </row>
    <row r="161" spans="1:14" x14ac:dyDescent="0.2">
      <c r="A161" s="24" t="str">
        <f>A151</f>
        <v>Pesados</v>
      </c>
      <c r="E161" s="143">
        <f>+Condiciones!$B$17</f>
        <v>0.05</v>
      </c>
      <c r="F161" s="143">
        <f t="shared" si="61"/>
        <v>0.05</v>
      </c>
      <c r="G161" s="143">
        <f t="shared" si="61"/>
        <v>0.05</v>
      </c>
      <c r="H161" s="143">
        <f t="shared" si="61"/>
        <v>0.05</v>
      </c>
      <c r="I161" s="143">
        <f t="shared" si="61"/>
        <v>0.05</v>
      </c>
      <c r="J161" s="143">
        <f t="shared" si="61"/>
        <v>0.05</v>
      </c>
      <c r="K161" s="143">
        <f t="shared" si="61"/>
        <v>0.05</v>
      </c>
      <c r="L161" s="143">
        <f t="shared" si="61"/>
        <v>0.05</v>
      </c>
      <c r="M161" s="143">
        <f t="shared" si="61"/>
        <v>0.05</v>
      </c>
      <c r="N161" s="143">
        <f t="shared" si="61"/>
        <v>0.05</v>
      </c>
    </row>
    <row r="162" spans="1:14" x14ac:dyDescent="0.2">
      <c r="A162" s="24" t="str">
        <f>A152</f>
        <v>Buses</v>
      </c>
      <c r="E162" s="143">
        <f>+Condiciones!$B$17</f>
        <v>0.05</v>
      </c>
      <c r="F162" s="143">
        <f t="shared" si="61"/>
        <v>0.05</v>
      </c>
      <c r="G162" s="143">
        <f t="shared" si="61"/>
        <v>0.05</v>
      </c>
      <c r="H162" s="143">
        <f t="shared" si="61"/>
        <v>0.05</v>
      </c>
      <c r="I162" s="143">
        <f t="shared" si="61"/>
        <v>0.05</v>
      </c>
      <c r="J162" s="143">
        <f t="shared" si="61"/>
        <v>0.05</v>
      </c>
      <c r="K162" s="143">
        <f t="shared" si="61"/>
        <v>0.05</v>
      </c>
      <c r="L162" s="143">
        <f t="shared" si="61"/>
        <v>0.05</v>
      </c>
      <c r="M162" s="143">
        <f t="shared" si="61"/>
        <v>0.05</v>
      </c>
      <c r="N162" s="143">
        <f t="shared" si="61"/>
        <v>0.05</v>
      </c>
    </row>
    <row r="163" spans="1:14" x14ac:dyDescent="0.2">
      <c r="A163" s="24" t="str">
        <f>A153</f>
        <v>Motos y otros</v>
      </c>
      <c r="E163" s="143">
        <f>+Condiciones!$B$17</f>
        <v>0.05</v>
      </c>
      <c r="F163" s="143">
        <f t="shared" si="61"/>
        <v>0.05</v>
      </c>
      <c r="G163" s="143">
        <f t="shared" si="61"/>
        <v>0.05</v>
      </c>
      <c r="H163" s="143">
        <f t="shared" si="61"/>
        <v>0.05</v>
      </c>
      <c r="I163" s="143">
        <f t="shared" si="61"/>
        <v>0.05</v>
      </c>
      <c r="J163" s="143">
        <f t="shared" si="61"/>
        <v>0.05</v>
      </c>
      <c r="K163" s="143">
        <f t="shared" si="61"/>
        <v>0.05</v>
      </c>
      <c r="L163" s="143">
        <f t="shared" si="61"/>
        <v>0.05</v>
      </c>
      <c r="M163" s="143">
        <f t="shared" si="61"/>
        <v>0.05</v>
      </c>
      <c r="N163" s="143">
        <f t="shared" si="61"/>
        <v>0.05</v>
      </c>
    </row>
    <row r="164" spans="1:14" x14ac:dyDescent="0.2">
      <c r="E164" s="25"/>
      <c r="F164" s="25"/>
      <c r="G164" s="25"/>
      <c r="H164" s="25"/>
      <c r="I164" s="25"/>
      <c r="J164" s="25"/>
      <c r="K164" s="25"/>
      <c r="L164" s="25"/>
      <c r="M164" s="25"/>
      <c r="N164" s="25"/>
    </row>
    <row r="165" spans="1:14" x14ac:dyDescent="0.2">
      <c r="A165" s="154" t="s">
        <v>14</v>
      </c>
      <c r="E165" s="25"/>
      <c r="F165" s="25"/>
      <c r="G165" s="25"/>
      <c r="H165" s="25"/>
      <c r="I165" s="25"/>
      <c r="J165" s="25"/>
      <c r="K165" s="25"/>
      <c r="L165" s="25"/>
      <c r="M165" s="25"/>
      <c r="N165" s="25"/>
    </row>
    <row r="166" spans="1:14" x14ac:dyDescent="0.2">
      <c r="A166" s="24" t="str">
        <f>A159</f>
        <v>Livianos</v>
      </c>
      <c r="E166" s="25">
        <f>E134*E159/1.3</f>
        <v>264.58808165680472</v>
      </c>
      <c r="F166" s="25">
        <f t="shared" ref="F166:N166" si="62">F134*F159</f>
        <v>368.04202158461538</v>
      </c>
      <c r="G166" s="25">
        <f t="shared" si="62"/>
        <v>393.80496309553843</v>
      </c>
      <c r="H166" s="25">
        <f t="shared" si="62"/>
        <v>421.37131051222616</v>
      </c>
      <c r="I166" s="25">
        <f t="shared" si="62"/>
        <v>450.86730224808201</v>
      </c>
      <c r="J166" s="25">
        <f t="shared" si="62"/>
        <v>482.4280134054477</v>
      </c>
      <c r="K166" s="25">
        <f t="shared" si="62"/>
        <v>516.19797434382895</v>
      </c>
      <c r="L166" s="25">
        <f t="shared" si="62"/>
        <v>552.33183254789708</v>
      </c>
      <c r="M166" s="25">
        <f t="shared" si="62"/>
        <v>590.99506082624987</v>
      </c>
      <c r="N166" s="25">
        <f t="shared" si="62"/>
        <v>632.36471508408749</v>
      </c>
    </row>
    <row r="167" spans="1:14" x14ac:dyDescent="0.2">
      <c r="A167" s="24" t="str">
        <f>A160</f>
        <v>Taxis y furgonetas</v>
      </c>
      <c r="E167" s="25">
        <f>E135*E160</f>
        <v>25.889801538461548</v>
      </c>
      <c r="F167" s="25">
        <f t="shared" ref="F167:N167" si="63">F135*F160</f>
        <v>27.702087646153849</v>
      </c>
      <c r="G167" s="25">
        <f t="shared" si="63"/>
        <v>29.641233781384621</v>
      </c>
      <c r="H167" s="25">
        <f t="shared" si="63"/>
        <v>31.71612014608154</v>
      </c>
      <c r="I167" s="25">
        <f t="shared" si="63"/>
        <v>33.936248556307255</v>
      </c>
      <c r="J167" s="25">
        <f t="shared" si="63"/>
        <v>36.311785955248759</v>
      </c>
      <c r="K167" s="25">
        <f t="shared" si="63"/>
        <v>38.853610972116172</v>
      </c>
      <c r="L167" s="25">
        <f t="shared" si="63"/>
        <v>41.573363740164304</v>
      </c>
      <c r="M167" s="25">
        <f t="shared" si="63"/>
        <v>44.483499201975803</v>
      </c>
      <c r="N167" s="25">
        <f t="shared" si="63"/>
        <v>47.597344146114118</v>
      </c>
    </row>
    <row r="168" spans="1:14" x14ac:dyDescent="0.2">
      <c r="A168" s="24" t="str">
        <f>A161</f>
        <v>Pesados</v>
      </c>
      <c r="E168" s="25">
        <f>E136*E161</f>
        <v>15.804461538461538</v>
      </c>
      <c r="F168" s="25">
        <f t="shared" ref="F168:N168" si="64">F136*F161</f>
        <v>16.278595384615386</v>
      </c>
      <c r="G168" s="25">
        <f t="shared" si="64"/>
        <v>16.766953246153843</v>
      </c>
      <c r="H168" s="25">
        <f t="shared" si="64"/>
        <v>17.269961843538464</v>
      </c>
      <c r="I168" s="25">
        <f t="shared" si="64"/>
        <v>17.788060698844614</v>
      </c>
      <c r="J168" s="25">
        <f t="shared" si="64"/>
        <v>18.321702519809953</v>
      </c>
      <c r="K168" s="25">
        <f t="shared" si="64"/>
        <v>18.871353595404251</v>
      </c>
      <c r="L168" s="25">
        <f t="shared" si="64"/>
        <v>19.437494203266379</v>
      </c>
      <c r="M168" s="25">
        <f t="shared" si="64"/>
        <v>20.020619029364369</v>
      </c>
      <c r="N168" s="25">
        <f t="shared" si="64"/>
        <v>20.621237600245301</v>
      </c>
    </row>
    <row r="169" spans="1:14" x14ac:dyDescent="0.2">
      <c r="A169" s="24" t="str">
        <f>A162</f>
        <v>Buses</v>
      </c>
      <c r="E169" s="25">
        <f>E137*E162</f>
        <v>12.930923076923079</v>
      </c>
      <c r="F169" s="25">
        <f t="shared" ref="F169:N169" si="65">F137*F162</f>
        <v>13.318850769230771</v>
      </c>
      <c r="G169" s="25">
        <f t="shared" si="65"/>
        <v>13.718416292307692</v>
      </c>
      <c r="H169" s="25">
        <f t="shared" si="65"/>
        <v>14.129968781076924</v>
      </c>
      <c r="I169" s="25">
        <f t="shared" si="65"/>
        <v>14.553867844509231</v>
      </c>
      <c r="J169" s="25">
        <f t="shared" si="65"/>
        <v>14.990483879844508</v>
      </c>
      <c r="K169" s="25">
        <f t="shared" si="65"/>
        <v>15.44019839623984</v>
      </c>
      <c r="L169" s="25">
        <f t="shared" si="65"/>
        <v>15.903404348127038</v>
      </c>
      <c r="M169" s="25">
        <f t="shared" si="65"/>
        <v>16.380506478570847</v>
      </c>
      <c r="N169" s="25">
        <f t="shared" si="65"/>
        <v>16.871921672927968</v>
      </c>
    </row>
    <row r="170" spans="1:14" x14ac:dyDescent="0.2">
      <c r="A170" s="24" t="str">
        <f>A163</f>
        <v>Motos y otros</v>
      </c>
      <c r="E170" s="25">
        <f>E138*E163</f>
        <v>23.399653846153846</v>
      </c>
      <c r="F170" s="25">
        <f t="shared" ref="F170:N170" si="66">F138*F163</f>
        <v>25.037629615384621</v>
      </c>
      <c r="G170" s="25">
        <f t="shared" si="66"/>
        <v>26.79026368846154</v>
      </c>
      <c r="H170" s="25">
        <f t="shared" si="66"/>
        <v>28.665582146653851</v>
      </c>
      <c r="I170" s="25">
        <f t="shared" si="66"/>
        <v>30.672172896919626</v>
      </c>
      <c r="J170" s="25">
        <f t="shared" si="66"/>
        <v>32.819224999703998</v>
      </c>
      <c r="K170" s="25">
        <f t="shared" si="66"/>
        <v>35.116570749683284</v>
      </c>
      <c r="L170" s="25">
        <f t="shared" si="66"/>
        <v>37.574730702161112</v>
      </c>
      <c r="M170" s="25">
        <f t="shared" si="66"/>
        <v>40.20496185131239</v>
      </c>
      <c r="N170" s="25">
        <f t="shared" si="66"/>
        <v>43.019309180904266</v>
      </c>
    </row>
    <row r="171" spans="1:14" x14ac:dyDescent="0.2">
      <c r="E171" s="27">
        <f t="shared" ref="E171:N171" si="67">SUM(E166:E170)</f>
        <v>342.6129216568047</v>
      </c>
      <c r="F171" s="27">
        <f t="shared" si="67"/>
        <v>450.37918500000006</v>
      </c>
      <c r="G171" s="27">
        <f t="shared" si="67"/>
        <v>480.72183010384612</v>
      </c>
      <c r="H171" s="27">
        <f t="shared" si="67"/>
        <v>513.15294342957691</v>
      </c>
      <c r="I171" s="27">
        <f t="shared" si="67"/>
        <v>547.81765224466278</v>
      </c>
      <c r="J171" s="27">
        <f t="shared" si="67"/>
        <v>584.87121076005496</v>
      </c>
      <c r="K171" s="27">
        <f t="shared" si="67"/>
        <v>624.47970805727243</v>
      </c>
      <c r="L171" s="27">
        <f t="shared" si="67"/>
        <v>666.82082554161593</v>
      </c>
      <c r="M171" s="27">
        <f t="shared" si="67"/>
        <v>712.08464738747341</v>
      </c>
      <c r="N171" s="27">
        <f t="shared" si="67"/>
        <v>760.47452768427922</v>
      </c>
    </row>
    <row r="172" spans="1:14" x14ac:dyDescent="0.2">
      <c r="E172" s="25"/>
      <c r="F172" s="25"/>
      <c r="G172" s="25"/>
      <c r="H172" s="25"/>
      <c r="I172" s="25"/>
      <c r="J172" s="25"/>
      <c r="K172" s="25"/>
      <c r="L172" s="25"/>
      <c r="M172" s="25"/>
      <c r="N172" s="25"/>
    </row>
    <row r="173" spans="1:14" x14ac:dyDescent="0.2">
      <c r="A173" s="154" t="s">
        <v>17</v>
      </c>
      <c r="E173" s="25"/>
      <c r="F173" s="25"/>
      <c r="G173" s="25"/>
      <c r="H173" s="25"/>
      <c r="I173" s="25"/>
      <c r="J173" s="25"/>
      <c r="K173" s="25"/>
      <c r="L173" s="25"/>
      <c r="M173" s="25"/>
      <c r="N173" s="25"/>
    </row>
    <row r="174" spans="1:14" x14ac:dyDescent="0.2">
      <c r="A174" s="24" t="str">
        <f>A166</f>
        <v>Livianos</v>
      </c>
      <c r="E174" s="138">
        <f>+E76</f>
        <v>19.169999999999995</v>
      </c>
      <c r="F174" s="138">
        <f t="shared" ref="F174:N174" si="68">+F76</f>
        <v>19.936799999999995</v>
      </c>
      <c r="G174" s="138">
        <f t="shared" si="68"/>
        <v>20.734271999999994</v>
      </c>
      <c r="H174" s="138">
        <f t="shared" si="68"/>
        <v>21.563642879999993</v>
      </c>
      <c r="I174" s="138">
        <f t="shared" si="68"/>
        <v>22.426188595199992</v>
      </c>
      <c r="J174" s="138">
        <f t="shared" si="68"/>
        <v>23.323236139007992</v>
      </c>
      <c r="K174" s="138">
        <f t="shared" si="68"/>
        <v>24.256165584568311</v>
      </c>
      <c r="L174" s="138">
        <f t="shared" si="68"/>
        <v>25.226412207951043</v>
      </c>
      <c r="M174" s="138">
        <f t="shared" si="68"/>
        <v>26.235468696269084</v>
      </c>
      <c r="N174" s="138">
        <f t="shared" si="68"/>
        <v>27.28488744411985</v>
      </c>
    </row>
    <row r="175" spans="1:14" x14ac:dyDescent="0.2">
      <c r="A175" s="24" t="str">
        <f>A167</f>
        <v>Taxis y furgonetas</v>
      </c>
      <c r="E175" s="138">
        <f>+E77</f>
        <v>12.985714285714284</v>
      </c>
      <c r="F175" s="138">
        <f t="shared" ref="F175:N175" si="69">+F77</f>
        <v>13.505142857142856</v>
      </c>
      <c r="G175" s="138">
        <f t="shared" si="69"/>
        <v>14.045348571428571</v>
      </c>
      <c r="H175" s="138">
        <f t="shared" si="69"/>
        <v>14.607162514285713</v>
      </c>
      <c r="I175" s="138">
        <f t="shared" si="69"/>
        <v>15.191449014857142</v>
      </c>
      <c r="J175" s="138">
        <f t="shared" si="69"/>
        <v>15.799106975451428</v>
      </c>
      <c r="K175" s="138">
        <f t="shared" si="69"/>
        <v>16.431071254469487</v>
      </c>
      <c r="L175" s="138">
        <f t="shared" si="69"/>
        <v>17.088314104648266</v>
      </c>
      <c r="M175" s="138">
        <f t="shared" si="69"/>
        <v>17.771846668834197</v>
      </c>
      <c r="N175" s="138">
        <f t="shared" si="69"/>
        <v>18.482720535587564</v>
      </c>
    </row>
    <row r="176" spans="1:14" x14ac:dyDescent="0.2">
      <c r="A176" s="24" t="str">
        <f>A168</f>
        <v>Pesados</v>
      </c>
      <c r="E176" s="138">
        <f>+E78</f>
        <v>30.381428571428561</v>
      </c>
      <c r="F176" s="138">
        <f t="shared" ref="F176:N176" si="70">+F78</f>
        <v>31.596685714285705</v>
      </c>
      <c r="G176" s="138">
        <f t="shared" si="70"/>
        <v>32.860553142857135</v>
      </c>
      <c r="H176" s="138">
        <f t="shared" si="70"/>
        <v>34.174975268571423</v>
      </c>
      <c r="I176" s="138">
        <f t="shared" si="70"/>
        <v>35.541974279314282</v>
      </c>
      <c r="J176" s="138">
        <f t="shared" si="70"/>
        <v>36.963653250486857</v>
      </c>
      <c r="K176" s="138">
        <f t="shared" si="70"/>
        <v>38.442199380506331</v>
      </c>
      <c r="L176" s="138">
        <f t="shared" si="70"/>
        <v>39.979887355726582</v>
      </c>
      <c r="M176" s="138">
        <f t="shared" si="70"/>
        <v>41.579082849955647</v>
      </c>
      <c r="N176" s="138">
        <f t="shared" si="70"/>
        <v>43.242246163953872</v>
      </c>
    </row>
    <row r="177" spans="1:14" x14ac:dyDescent="0.2">
      <c r="A177" s="24" t="str">
        <f>A169</f>
        <v>Buses</v>
      </c>
      <c r="E177" s="138">
        <f>+E79</f>
        <v>25.495714285714278</v>
      </c>
      <c r="F177" s="138">
        <f t="shared" ref="F177:N177" si="71">+F79</f>
        <v>26.515542857142851</v>
      </c>
      <c r="G177" s="138">
        <f t="shared" si="71"/>
        <v>27.576164571428567</v>
      </c>
      <c r="H177" s="138">
        <f t="shared" si="71"/>
        <v>28.67921115428571</v>
      </c>
      <c r="I177" s="138">
        <f t="shared" si="71"/>
        <v>29.826379600457141</v>
      </c>
      <c r="J177" s="138">
        <f t="shared" si="71"/>
        <v>31.019434784475429</v>
      </c>
      <c r="K177" s="138">
        <f t="shared" si="71"/>
        <v>32.260212175854448</v>
      </c>
      <c r="L177" s="138">
        <f t="shared" si="71"/>
        <v>33.550620662888626</v>
      </c>
      <c r="M177" s="138">
        <f t="shared" si="71"/>
        <v>34.892645489404174</v>
      </c>
      <c r="N177" s="138">
        <f t="shared" si="71"/>
        <v>36.288351308980339</v>
      </c>
    </row>
    <row r="178" spans="1:14" x14ac:dyDescent="0.2">
      <c r="A178" s="24" t="str">
        <f>A170</f>
        <v>Motos y otros</v>
      </c>
      <c r="E178" s="138">
        <f>+E80</f>
        <v>11.269285714285711</v>
      </c>
      <c r="F178" s="138">
        <f t="shared" ref="F178:N178" si="72">+F80</f>
        <v>11.72005714285714</v>
      </c>
      <c r="G178" s="138">
        <f t="shared" si="72"/>
        <v>12.188859428571426</v>
      </c>
      <c r="H178" s="138">
        <f t="shared" si="72"/>
        <v>12.676413805714283</v>
      </c>
      <c r="I178" s="138">
        <f t="shared" si="72"/>
        <v>13.183470357942856</v>
      </c>
      <c r="J178" s="138">
        <f t="shared" si="72"/>
        <v>13.71080917226057</v>
      </c>
      <c r="K178" s="138">
        <f t="shared" si="72"/>
        <v>14.259241539150993</v>
      </c>
      <c r="L178" s="138">
        <f t="shared" si="72"/>
        <v>14.829611200717034</v>
      </c>
      <c r="M178" s="138">
        <f t="shared" si="72"/>
        <v>15.422795648745716</v>
      </c>
      <c r="N178" s="138">
        <f t="shared" si="72"/>
        <v>16.039707474695543</v>
      </c>
    </row>
    <row r="179" spans="1:14" x14ac:dyDescent="0.2">
      <c r="E179" s="25"/>
      <c r="F179" s="25"/>
      <c r="G179" s="25"/>
      <c r="H179" s="25"/>
      <c r="I179" s="25"/>
      <c r="J179" s="25"/>
      <c r="K179" s="25"/>
      <c r="L179" s="25"/>
      <c r="M179" s="25"/>
      <c r="N179" s="25"/>
    </row>
    <row r="180" spans="1:14" x14ac:dyDescent="0.2">
      <c r="A180" s="154" t="s">
        <v>18</v>
      </c>
      <c r="E180" s="25"/>
      <c r="F180" s="25"/>
      <c r="G180" s="25"/>
      <c r="H180" s="25"/>
      <c r="I180" s="25"/>
      <c r="J180" s="25"/>
      <c r="K180" s="25"/>
      <c r="L180" s="25"/>
      <c r="M180" s="25"/>
      <c r="N180" s="25"/>
    </row>
    <row r="181" spans="1:14" x14ac:dyDescent="0.2">
      <c r="A181" s="24" t="str">
        <f>A174</f>
        <v>Livianos</v>
      </c>
      <c r="E181" s="25">
        <f>E166*E174</f>
        <v>5072.1535253609454</v>
      </c>
      <c r="F181" s="25">
        <f t="shared" ref="F181:N181" si="73">F166*F174</f>
        <v>7337.5801759281576</v>
      </c>
      <c r="G181" s="25">
        <f t="shared" si="73"/>
        <v>8165.2592197728536</v>
      </c>
      <c r="H181" s="25">
        <f t="shared" si="73"/>
        <v>9086.3004597632316</v>
      </c>
      <c r="I181" s="25">
        <f t="shared" si="73"/>
        <v>10111.235151624525</v>
      </c>
      <c r="J181" s="25">
        <f t="shared" si="73"/>
        <v>11251.782476727771</v>
      </c>
      <c r="K181" s="25">
        <f t="shared" si="73"/>
        <v>12520.983540102659</v>
      </c>
      <c r="L181" s="25">
        <f t="shared" si="73"/>
        <v>13933.350483426242</v>
      </c>
      <c r="M181" s="25">
        <f t="shared" si="73"/>
        <v>15505.032417956721</v>
      </c>
      <c r="N181" s="25">
        <f t="shared" si="73"/>
        <v>17254.000074702246</v>
      </c>
    </row>
    <row r="182" spans="1:14" x14ac:dyDescent="0.2">
      <c r="A182" s="24" t="str">
        <f>A175</f>
        <v>Taxis y furgonetas</v>
      </c>
      <c r="E182" s="25">
        <f t="shared" ref="E182:N182" si="74">E167*E175</f>
        <v>336.19756569230776</v>
      </c>
      <c r="F182" s="25">
        <f t="shared" si="74"/>
        <v>374.12065110240002</v>
      </c>
      <c r="G182" s="25">
        <f t="shared" si="74"/>
        <v>416.32146054675076</v>
      </c>
      <c r="H182" s="25">
        <f t="shared" si="74"/>
        <v>463.28252129642419</v>
      </c>
      <c r="I182" s="25">
        <f t="shared" si="74"/>
        <v>515.540789698661</v>
      </c>
      <c r="J182" s="25">
        <f t="shared" si="74"/>
        <v>573.69379077666986</v>
      </c>
      <c r="K182" s="25">
        <f t="shared" si="74"/>
        <v>638.40645037627826</v>
      </c>
      <c r="L182" s="25">
        <f t="shared" si="74"/>
        <v>710.41869797872243</v>
      </c>
      <c r="M182" s="25">
        <f t="shared" si="74"/>
        <v>790.55392711072238</v>
      </c>
      <c r="N182" s="25">
        <f t="shared" si="74"/>
        <v>879.72841008881198</v>
      </c>
    </row>
    <row r="183" spans="1:14" x14ac:dyDescent="0.2">
      <c r="A183" s="24" t="str">
        <f>A176</f>
        <v>Pesados</v>
      </c>
      <c r="E183" s="25">
        <f t="shared" ref="E183:N184" si="75">E168*E176</f>
        <v>480.16211934065916</v>
      </c>
      <c r="F183" s="25">
        <f t="shared" si="75"/>
        <v>514.34966223771414</v>
      </c>
      <c r="G183" s="25">
        <f t="shared" si="75"/>
        <v>550.97135818903928</v>
      </c>
      <c r="H183" s="25">
        <f t="shared" si="75"/>
        <v>590.20051889209913</v>
      </c>
      <c r="I183" s="25">
        <f t="shared" si="75"/>
        <v>632.22279583721649</v>
      </c>
      <c r="J183" s="25">
        <f t="shared" si="75"/>
        <v>677.23705890082647</v>
      </c>
      <c r="K183" s="25">
        <f t="shared" si="75"/>
        <v>725.45633749456522</v>
      </c>
      <c r="L183" s="25">
        <f t="shared" si="75"/>
        <v>777.10882872417824</v>
      </c>
      <c r="M183" s="25">
        <f t="shared" si="75"/>
        <v>832.43897732933965</v>
      </c>
      <c r="N183" s="25">
        <f t="shared" si="75"/>
        <v>891.7086325151887</v>
      </c>
    </row>
    <row r="184" spans="1:14" x14ac:dyDescent="0.2">
      <c r="A184" s="24" t="str">
        <f>A177</f>
        <v>Buses</v>
      </c>
      <c r="E184" s="25">
        <f t="shared" si="75"/>
        <v>329.68312021978016</v>
      </c>
      <c r="F184" s="25">
        <f t="shared" si="75"/>
        <v>353.15655837942853</v>
      </c>
      <c r="G184" s="25">
        <f t="shared" si="75"/>
        <v>378.30130533604381</v>
      </c>
      <c r="H184" s="25">
        <f t="shared" si="75"/>
        <v>405.23635827597019</v>
      </c>
      <c r="I184" s="25">
        <f t="shared" si="75"/>
        <v>434.08918698521927</v>
      </c>
      <c r="J184" s="25">
        <f t="shared" si="75"/>
        <v>464.99633709856693</v>
      </c>
      <c r="K184" s="25">
        <f t="shared" si="75"/>
        <v>498.1040762999848</v>
      </c>
      <c r="L184" s="25">
        <f t="shared" si="75"/>
        <v>533.56908653254379</v>
      </c>
      <c r="M184" s="25">
        <f t="shared" si="75"/>
        <v>571.5592054936609</v>
      </c>
      <c r="N184" s="25">
        <f t="shared" si="75"/>
        <v>612.25422092480937</v>
      </c>
    </row>
    <row r="185" spans="1:14" x14ac:dyDescent="0.2">
      <c r="A185" s="24" t="str">
        <f>A178</f>
        <v>Motos y otros</v>
      </c>
      <c r="E185" s="25">
        <f t="shared" ref="E185:N185" si="76">E170*E178</f>
        <v>263.69738480769223</v>
      </c>
      <c r="F185" s="25">
        <f t="shared" si="76"/>
        <v>293.44244981399999</v>
      </c>
      <c r="G185" s="25">
        <f t="shared" si="76"/>
        <v>326.54275815301918</v>
      </c>
      <c r="H185" s="25">
        <f t="shared" si="76"/>
        <v>363.37678127267975</v>
      </c>
      <c r="I185" s="25">
        <f t="shared" si="76"/>
        <v>404.36568220023815</v>
      </c>
      <c r="J185" s="25">
        <f t="shared" si="76"/>
        <v>449.97813115242496</v>
      </c>
      <c r="K185" s="25">
        <f t="shared" si="76"/>
        <v>500.73566434641862</v>
      </c>
      <c r="L185" s="25">
        <f t="shared" si="76"/>
        <v>557.21864728469461</v>
      </c>
      <c r="M185" s="25">
        <f t="shared" si="76"/>
        <v>620.07291069840824</v>
      </c>
      <c r="N185" s="25">
        <f t="shared" si="76"/>
        <v>690.01713502518874</v>
      </c>
    </row>
    <row r="186" spans="1:14" x14ac:dyDescent="0.2">
      <c r="E186" s="27">
        <f>SUM(E181:E185)</f>
        <v>6481.8937154213845</v>
      </c>
      <c r="F186" s="27">
        <f t="shared" ref="F186:N186" si="77">SUM(F181:F185)</f>
        <v>8872.6494974616999</v>
      </c>
      <c r="G186" s="27">
        <f t="shared" si="77"/>
        <v>9837.3961019977069</v>
      </c>
      <c r="H186" s="27">
        <f t="shared" si="77"/>
        <v>10908.396639500404</v>
      </c>
      <c r="I186" s="27">
        <f t="shared" si="77"/>
        <v>12097.45360634586</v>
      </c>
      <c r="J186" s="27">
        <f t="shared" si="77"/>
        <v>13417.687794656258</v>
      </c>
      <c r="K186" s="27">
        <f t="shared" si="77"/>
        <v>14883.686068619907</v>
      </c>
      <c r="L186" s="27">
        <f t="shared" si="77"/>
        <v>16511.665743946382</v>
      </c>
      <c r="M186" s="27">
        <f t="shared" si="77"/>
        <v>18319.657438588853</v>
      </c>
      <c r="N186" s="27">
        <f t="shared" si="77"/>
        <v>20327.708473256247</v>
      </c>
    </row>
    <row r="187" spans="1:14" x14ac:dyDescent="0.2">
      <c r="E187" s="25"/>
      <c r="F187" s="25"/>
      <c r="G187" s="25"/>
      <c r="H187" s="25"/>
      <c r="I187" s="25"/>
      <c r="J187" s="25"/>
      <c r="K187" s="25"/>
      <c r="L187" s="25"/>
      <c r="M187" s="25"/>
      <c r="N187" s="25"/>
    </row>
    <row r="188" spans="1:14" x14ac:dyDescent="0.2">
      <c r="A188" s="145" t="s">
        <v>634</v>
      </c>
      <c r="E188" s="25"/>
      <c r="F188" s="25"/>
      <c r="G188" s="25"/>
      <c r="H188" s="25"/>
      <c r="I188" s="25"/>
      <c r="J188" s="25"/>
      <c r="K188" s="25"/>
      <c r="L188" s="25"/>
      <c r="M188" s="25"/>
      <c r="N188" s="25"/>
    </row>
    <row r="189" spans="1:14" x14ac:dyDescent="0.2">
      <c r="A189" s="24" t="s">
        <v>23</v>
      </c>
      <c r="E189" s="25">
        <f>E90</f>
        <v>7039455.7263685688</v>
      </c>
      <c r="F189" s="25">
        <f t="shared" ref="F189:N189" si="78">F90</f>
        <v>7859590.3311152067</v>
      </c>
      <c r="G189" s="25">
        <f t="shared" si="78"/>
        <v>8726767.3162981197</v>
      </c>
      <c r="H189" s="25">
        <f t="shared" si="78"/>
        <v>9677993.2704987004</v>
      </c>
      <c r="I189" s="25">
        <f t="shared" si="78"/>
        <v>10733255.11502777</v>
      </c>
      <c r="J189" s="25">
        <f t="shared" si="78"/>
        <v>11904892.034396049</v>
      </c>
      <c r="K189" s="25">
        <f t="shared" si="78"/>
        <v>13205902.731332721</v>
      </c>
      <c r="L189" s="25">
        <f t="shared" si="78"/>
        <v>14650686.574847316</v>
      </c>
      <c r="M189" s="25">
        <f t="shared" si="78"/>
        <v>16255249.261276133</v>
      </c>
      <c r="N189" s="25">
        <f t="shared" si="78"/>
        <v>18037386.542033914</v>
      </c>
    </row>
    <row r="190" spans="1:14" x14ac:dyDescent="0.2">
      <c r="A190" s="24" t="s">
        <v>24</v>
      </c>
      <c r="E190" s="25">
        <f>E122</f>
        <v>0</v>
      </c>
      <c r="F190" s="25">
        <f t="shared" ref="F190:N190" si="79">F122</f>
        <v>0</v>
      </c>
      <c r="G190" s="25">
        <f t="shared" si="79"/>
        <v>0</v>
      </c>
      <c r="H190" s="25">
        <f t="shared" si="79"/>
        <v>0</v>
      </c>
      <c r="I190" s="25">
        <f t="shared" si="79"/>
        <v>0</v>
      </c>
      <c r="J190" s="25">
        <f t="shared" si="79"/>
        <v>0</v>
      </c>
      <c r="K190" s="25">
        <f t="shared" si="79"/>
        <v>0</v>
      </c>
      <c r="L190" s="25">
        <f t="shared" si="79"/>
        <v>0</v>
      </c>
      <c r="M190" s="25">
        <f t="shared" si="79"/>
        <v>0</v>
      </c>
      <c r="N190" s="25">
        <f t="shared" si="79"/>
        <v>0</v>
      </c>
    </row>
    <row r="191" spans="1:14" x14ac:dyDescent="0.2">
      <c r="A191" s="24" t="s">
        <v>25</v>
      </c>
      <c r="E191" s="25">
        <f>E154</f>
        <v>80035.397730296681</v>
      </c>
      <c r="F191" s="25">
        <f t="shared" ref="F191:N191" si="80">F154</f>
        <v>88726.494974617002</v>
      </c>
      <c r="G191" s="25">
        <f t="shared" si="80"/>
        <v>98373.961019977069</v>
      </c>
      <c r="H191" s="25">
        <f t="shared" si="80"/>
        <v>109083.96639500404</v>
      </c>
      <c r="I191" s="25">
        <f t="shared" si="80"/>
        <v>120974.53606345858</v>
      </c>
      <c r="J191" s="25">
        <f t="shared" si="80"/>
        <v>134176.87794656257</v>
      </c>
      <c r="K191" s="25">
        <f t="shared" si="80"/>
        <v>148836.86068619907</v>
      </c>
      <c r="L191" s="25">
        <f t="shared" si="80"/>
        <v>165116.6574394638</v>
      </c>
      <c r="M191" s="25">
        <f t="shared" si="80"/>
        <v>183196.57438588853</v>
      </c>
      <c r="N191" s="25">
        <f t="shared" si="80"/>
        <v>203277.08473256239</v>
      </c>
    </row>
    <row r="192" spans="1:14" x14ac:dyDescent="0.2">
      <c r="A192" s="24" t="s">
        <v>26</v>
      </c>
      <c r="E192" s="25">
        <f>E186</f>
        <v>6481.8937154213845</v>
      </c>
      <c r="F192" s="25">
        <f t="shared" ref="F192:N192" si="81">F186</f>
        <v>8872.6494974616999</v>
      </c>
      <c r="G192" s="25">
        <f t="shared" si="81"/>
        <v>9837.3961019977069</v>
      </c>
      <c r="H192" s="25">
        <f t="shared" si="81"/>
        <v>10908.396639500404</v>
      </c>
      <c r="I192" s="25">
        <f t="shared" si="81"/>
        <v>12097.45360634586</v>
      </c>
      <c r="J192" s="25">
        <f t="shared" si="81"/>
        <v>13417.687794656258</v>
      </c>
      <c r="K192" s="25">
        <f t="shared" si="81"/>
        <v>14883.686068619907</v>
      </c>
      <c r="L192" s="25">
        <f t="shared" si="81"/>
        <v>16511.665743946382</v>
      </c>
      <c r="M192" s="25">
        <f t="shared" si="81"/>
        <v>18319.657438588853</v>
      </c>
      <c r="N192" s="25">
        <f t="shared" si="81"/>
        <v>20327.708473256247</v>
      </c>
    </row>
    <row r="193" spans="1:14" x14ac:dyDescent="0.2">
      <c r="E193" s="27">
        <f>SUM(E189:E192)</f>
        <v>7125973.017814287</v>
      </c>
      <c r="F193" s="27">
        <f>SUM(F189:F192)</f>
        <v>7957189.4755872851</v>
      </c>
      <c r="G193" s="27">
        <f>SUM(G189:G192)</f>
        <v>8834978.6734200958</v>
      </c>
      <c r="H193" s="27">
        <f t="shared" ref="H193:N193" si="82">SUM(H189:H192)</f>
        <v>9797985.633533204</v>
      </c>
      <c r="I193" s="27">
        <f t="shared" si="82"/>
        <v>10866327.104697576</v>
      </c>
      <c r="J193" s="27">
        <f t="shared" si="82"/>
        <v>12052486.600137267</v>
      </c>
      <c r="K193" s="27">
        <f t="shared" si="82"/>
        <v>13369623.278087541</v>
      </c>
      <c r="L193" s="27">
        <f t="shared" si="82"/>
        <v>14832314.898030728</v>
      </c>
      <c r="M193" s="27">
        <f t="shared" si="82"/>
        <v>16456765.493100611</v>
      </c>
      <c r="N193" s="27">
        <f t="shared" si="82"/>
        <v>18260991.335239735</v>
      </c>
    </row>
    <row r="194" spans="1:14" x14ac:dyDescent="0.2">
      <c r="A194" s="24" t="s">
        <v>654</v>
      </c>
      <c r="E194" s="27">
        <f>E193*Condiciones!$B$23</f>
        <v>3103757.1366480016</v>
      </c>
      <c r="F194" s="27">
        <f>F193*Condiciones!$B$23</f>
        <v>3465798.0827002409</v>
      </c>
      <c r="G194" s="27">
        <f>G193*Condiciones!$B$23</f>
        <v>3848124.0444229762</v>
      </c>
      <c r="H194" s="27">
        <f>H193*Condiciones!$B$23</f>
        <v>4267567.0759389084</v>
      </c>
      <c r="I194" s="27">
        <f>I193*Condiciones!$B$23</f>
        <v>4732889.1389349457</v>
      </c>
      <c r="J194" s="27">
        <f>J193*Condiciones!$B$23</f>
        <v>5249527.496948678</v>
      </c>
      <c r="K194" s="27">
        <f>K193*Condiciones!$B$23</f>
        <v>5823213.6944559086</v>
      </c>
      <c r="L194" s="27">
        <f>L193*Condiciones!$B$23</f>
        <v>6460297.1555867195</v>
      </c>
      <c r="M194" s="27">
        <f>M193*Condiciones!$B$23</f>
        <v>7167835.6369949356</v>
      </c>
      <c r="N194" s="27">
        <f>N193*Condiciones!$B$23</f>
        <v>7953676.2260155315</v>
      </c>
    </row>
    <row r="195" spans="1:14" x14ac:dyDescent="0.2">
      <c r="F195" s="149" t="s">
        <v>183</v>
      </c>
    </row>
    <row r="196" spans="1:14" x14ac:dyDescent="0.2">
      <c r="F196" s="149" t="s">
        <v>183</v>
      </c>
    </row>
  </sheetData>
  <phoneticPr fontId="3" type="noConversion"/>
  <printOptions horizontalCentered="1" verticalCentered="1"/>
  <pageMargins left="0.9237007874015748" right="0.39370078740157483" top="0.39370078740157483" bottom="0.39370078740157483" header="0" footer="0"/>
  <pageSetup paperSize="9" scale="58" orientation="landscape" horizontalDpi="355" verticalDpi="464" r:id="rId1"/>
  <headerFooter alignWithMargins="0"/>
  <rowBreaks count="4" manualBreakCount="4">
    <brk id="53" max="16383" man="1"/>
    <brk id="91" max="16383" man="1"/>
    <brk id="123" max="16383" man="1"/>
    <brk id="155" max="16383" man="1"/>
  </rowBreaks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M271"/>
  <sheetViews>
    <sheetView zoomScale="80" zoomScaleNormal="80" workbookViewId="0">
      <pane ySplit="5" topLeftCell="A6" activePane="bottomLeft" state="frozen"/>
      <selection pane="bottomLeft" activeCell="C12" sqref="C12"/>
    </sheetView>
  </sheetViews>
  <sheetFormatPr baseColWidth="10" defaultColWidth="11.42578125" defaultRowHeight="12.75" x14ac:dyDescent="0.2"/>
  <cols>
    <col min="1" max="1" width="26.7109375" style="24" customWidth="1"/>
    <col min="2" max="2" width="6.140625" style="24" bestFit="1" customWidth="1"/>
    <col min="3" max="3" width="12" style="24" customWidth="1"/>
    <col min="4" max="4" width="12" style="24" bestFit="1" customWidth="1"/>
    <col min="5" max="5" width="11.5703125" style="24" bestFit="1" customWidth="1"/>
    <col min="6" max="7" width="12" style="24" bestFit="1" customWidth="1"/>
    <col min="8" max="12" width="11.5703125" style="24" bestFit="1" customWidth="1"/>
    <col min="13" max="16384" width="11.42578125" style="24"/>
  </cols>
  <sheetData>
    <row r="2" spans="1:12" ht="15.75" x14ac:dyDescent="0.25">
      <c r="A2" s="147" t="s">
        <v>140</v>
      </c>
    </row>
    <row r="3" spans="1:12" ht="16.5" x14ac:dyDescent="0.3">
      <c r="A3" s="148" t="s">
        <v>28</v>
      </c>
    </row>
    <row r="5" spans="1:12" x14ac:dyDescent="0.2">
      <c r="C5" s="28" t="s">
        <v>0</v>
      </c>
      <c r="D5" s="28" t="s">
        <v>1</v>
      </c>
      <c r="E5" s="28" t="s">
        <v>2</v>
      </c>
      <c r="F5" s="28" t="s">
        <v>3</v>
      </c>
      <c r="G5" s="28" t="s">
        <v>4</v>
      </c>
      <c r="H5" s="28" t="s">
        <v>5</v>
      </c>
      <c r="I5" s="28" t="s">
        <v>6</v>
      </c>
      <c r="J5" s="28" t="s">
        <v>7</v>
      </c>
      <c r="K5" s="28" t="s">
        <v>8</v>
      </c>
      <c r="L5" s="28" t="s">
        <v>9</v>
      </c>
    </row>
    <row r="7" spans="1:12" x14ac:dyDescent="0.2">
      <c r="A7" s="145" t="str">
        <f>+Inv.Rep.!A7</f>
        <v>Estaciones MDMQ</v>
      </c>
    </row>
    <row r="9" spans="1:12" x14ac:dyDescent="0.2">
      <c r="A9" s="154" t="s">
        <v>32</v>
      </c>
      <c r="C9" s="25"/>
      <c r="D9" s="25"/>
      <c r="E9" s="25"/>
      <c r="F9" s="25"/>
      <c r="G9" s="25"/>
      <c r="H9" s="25"/>
      <c r="I9" s="25"/>
      <c r="J9" s="25"/>
      <c r="K9" s="25"/>
      <c r="L9" s="25"/>
    </row>
    <row r="10" spans="1:12" x14ac:dyDescent="0.2">
      <c r="A10" s="24" t="s">
        <v>29</v>
      </c>
      <c r="C10" s="146">
        <f>'Plan Inversiones'!D12+'Plan Inversiones'!D13+'Plan Inversiones'!D14/3+Inv.Rep.!D9+4</f>
        <v>24</v>
      </c>
      <c r="D10" s="146">
        <f>+C10+Inv.Rep.!E9</f>
        <v>24</v>
      </c>
      <c r="E10" s="146">
        <f>+D10+Inv.Rep.!F9</f>
        <v>24</v>
      </c>
      <c r="F10" s="146">
        <f>+E10+Inv.Rep.!G9</f>
        <v>24</v>
      </c>
      <c r="G10" s="146">
        <f>+F10+Inv.Rep.!H9</f>
        <v>24</v>
      </c>
      <c r="H10" s="146">
        <f>+G10+Inv.Rep.!I9</f>
        <v>24</v>
      </c>
      <c r="I10" s="146">
        <f>+H10+Inv.Rep.!J9</f>
        <v>24</v>
      </c>
      <c r="J10" s="146">
        <f>+I10+Inv.Rep.!K9</f>
        <v>24</v>
      </c>
      <c r="K10" s="146">
        <f>+J10+Inv.Rep.!L9</f>
        <v>24</v>
      </c>
      <c r="L10" s="146">
        <f>+K10+Inv.Rep.!M9</f>
        <v>24</v>
      </c>
    </row>
    <row r="11" spans="1:12" x14ac:dyDescent="0.2">
      <c r="A11" s="24" t="s">
        <v>33</v>
      </c>
      <c r="B11" s="179"/>
      <c r="C11" s="155">
        <v>3</v>
      </c>
      <c r="D11" s="156">
        <f>+C11</f>
        <v>3</v>
      </c>
      <c r="E11" s="156">
        <f t="shared" ref="E11:L11" si="0">+D11</f>
        <v>3</v>
      </c>
      <c r="F11" s="156">
        <f t="shared" si="0"/>
        <v>3</v>
      </c>
      <c r="G11" s="156">
        <f t="shared" si="0"/>
        <v>3</v>
      </c>
      <c r="H11" s="156">
        <f t="shared" si="0"/>
        <v>3</v>
      </c>
      <c r="I11" s="156">
        <f t="shared" si="0"/>
        <v>3</v>
      </c>
      <c r="J11" s="156">
        <f t="shared" si="0"/>
        <v>3</v>
      </c>
      <c r="K11" s="156">
        <f t="shared" si="0"/>
        <v>3</v>
      </c>
      <c r="L11" s="156">
        <f t="shared" si="0"/>
        <v>3</v>
      </c>
    </row>
    <row r="12" spans="1:12" x14ac:dyDescent="0.2">
      <c r="A12" s="24" t="s">
        <v>34</v>
      </c>
      <c r="B12" s="24" t="s">
        <v>183</v>
      </c>
      <c r="C12" s="190">
        <f>C10*C11</f>
        <v>72</v>
      </c>
      <c r="D12" s="190">
        <f t="shared" ref="D12:L12" si="1">D10*D11</f>
        <v>72</v>
      </c>
      <c r="E12" s="190">
        <f t="shared" si="1"/>
        <v>72</v>
      </c>
      <c r="F12" s="190">
        <f t="shared" si="1"/>
        <v>72</v>
      </c>
      <c r="G12" s="190">
        <f t="shared" si="1"/>
        <v>72</v>
      </c>
      <c r="H12" s="190">
        <f t="shared" si="1"/>
        <v>72</v>
      </c>
      <c r="I12" s="190">
        <f t="shared" si="1"/>
        <v>72</v>
      </c>
      <c r="J12" s="190">
        <f t="shared" si="1"/>
        <v>72</v>
      </c>
      <c r="K12" s="190">
        <f t="shared" si="1"/>
        <v>72</v>
      </c>
      <c r="L12" s="190">
        <f t="shared" si="1"/>
        <v>72</v>
      </c>
    </row>
    <row r="13" spans="1:12" x14ac:dyDescent="0.2">
      <c r="A13" s="24" t="s">
        <v>35</v>
      </c>
      <c r="C13" s="155">
        <f>Condiciones!$B$32</f>
        <v>861</v>
      </c>
      <c r="D13" s="156">
        <f>+C13+(C13*Inflación!D8)</f>
        <v>895.44</v>
      </c>
      <c r="E13" s="156">
        <f>+D13+(D13*Inflación!E8)</f>
        <v>931.25760000000002</v>
      </c>
      <c r="F13" s="156">
        <f>+E13+(E13*Inflación!F8)</f>
        <v>968.50790400000005</v>
      </c>
      <c r="G13" s="156">
        <f>+F13+(F13*Inflación!G8)</f>
        <v>1007.2482201600001</v>
      </c>
      <c r="H13" s="156">
        <f>+G13+(G13*Inflación!H8)</f>
        <v>1047.5381489664001</v>
      </c>
      <c r="I13" s="156">
        <f>+H13+(H13*Inflación!I8)</f>
        <v>1089.4396749250561</v>
      </c>
      <c r="J13" s="156">
        <f>+I13+(I13*Inflación!J8)</f>
        <v>1133.0172619220584</v>
      </c>
      <c r="K13" s="156">
        <f>+J13+(J13*Inflación!K8)</f>
        <v>1178.3379523989408</v>
      </c>
      <c r="L13" s="156">
        <f>+K13+(K13*Inflación!L8)</f>
        <v>1225.4714704948985</v>
      </c>
    </row>
    <row r="14" spans="1:12" x14ac:dyDescent="0.2">
      <c r="A14" s="24" t="s">
        <v>36</v>
      </c>
      <c r="C14" s="156">
        <f>C12*C13</f>
        <v>61992</v>
      </c>
      <c r="D14" s="156">
        <f t="shared" ref="D14:L14" si="2">D12*D13</f>
        <v>64471.680000000008</v>
      </c>
      <c r="E14" s="156">
        <f t="shared" si="2"/>
        <v>67050.547200000001</v>
      </c>
      <c r="F14" s="156">
        <f t="shared" si="2"/>
        <v>69732.569088000004</v>
      </c>
      <c r="G14" s="156">
        <f t="shared" si="2"/>
        <v>72521.871851520002</v>
      </c>
      <c r="H14" s="156">
        <f t="shared" si="2"/>
        <v>75422.746725580801</v>
      </c>
      <c r="I14" s="156">
        <f t="shared" si="2"/>
        <v>78439.656594604035</v>
      </c>
      <c r="J14" s="156">
        <f t="shared" si="2"/>
        <v>81577.242858388199</v>
      </c>
      <c r="K14" s="156">
        <f t="shared" si="2"/>
        <v>84840.332572723739</v>
      </c>
      <c r="L14" s="156">
        <f t="shared" si="2"/>
        <v>88233.945875632693</v>
      </c>
    </row>
    <row r="15" spans="1:12" x14ac:dyDescent="0.2">
      <c r="A15" s="24" t="s">
        <v>37</v>
      </c>
      <c r="C15" s="156">
        <f>C14*12</f>
        <v>743904</v>
      </c>
      <c r="D15" s="156">
        <f t="shared" ref="D15:L15" si="3">D14*12</f>
        <v>773660.16000000015</v>
      </c>
      <c r="E15" s="156">
        <f t="shared" si="3"/>
        <v>804606.56640000001</v>
      </c>
      <c r="F15" s="156">
        <f t="shared" si="3"/>
        <v>836790.8290560001</v>
      </c>
      <c r="G15" s="156">
        <f t="shared" si="3"/>
        <v>870262.46221824002</v>
      </c>
      <c r="H15" s="156">
        <f t="shared" si="3"/>
        <v>905072.96070696961</v>
      </c>
      <c r="I15" s="156">
        <f t="shared" si="3"/>
        <v>941275.87913524848</v>
      </c>
      <c r="J15" s="156">
        <f t="shared" si="3"/>
        <v>978926.91430065839</v>
      </c>
      <c r="K15" s="156">
        <f t="shared" si="3"/>
        <v>1018083.9908726849</v>
      </c>
      <c r="L15" s="156">
        <f t="shared" si="3"/>
        <v>1058807.3505075923</v>
      </c>
    </row>
    <row r="16" spans="1:12" x14ac:dyDescent="0.2">
      <c r="C16" s="156"/>
      <c r="D16" s="156"/>
      <c r="E16" s="156"/>
      <c r="F16" s="156"/>
      <c r="G16" s="156"/>
      <c r="H16" s="156"/>
      <c r="I16" s="156"/>
      <c r="J16" s="156"/>
      <c r="K16" s="156"/>
      <c r="L16" s="156"/>
    </row>
    <row r="17" spans="1:12" x14ac:dyDescent="0.2">
      <c r="A17" s="154" t="s">
        <v>197</v>
      </c>
      <c r="C17" s="25"/>
      <c r="D17" s="25"/>
      <c r="E17" s="25"/>
      <c r="F17" s="25"/>
      <c r="G17" s="25"/>
      <c r="H17" s="25"/>
      <c r="I17" s="25"/>
      <c r="J17" s="25"/>
      <c r="K17" s="25"/>
      <c r="L17" s="25"/>
    </row>
    <row r="18" spans="1:12" x14ac:dyDescent="0.2">
      <c r="A18" s="24" t="s">
        <v>29</v>
      </c>
      <c r="C18" s="146">
        <f>+C10</f>
        <v>24</v>
      </c>
      <c r="D18" s="146">
        <f t="shared" ref="D18:L18" si="4">+D10</f>
        <v>24</v>
      </c>
      <c r="E18" s="146">
        <f t="shared" si="4"/>
        <v>24</v>
      </c>
      <c r="F18" s="146">
        <f t="shared" si="4"/>
        <v>24</v>
      </c>
      <c r="G18" s="146">
        <f t="shared" si="4"/>
        <v>24</v>
      </c>
      <c r="H18" s="146">
        <f t="shared" si="4"/>
        <v>24</v>
      </c>
      <c r="I18" s="146">
        <f t="shared" si="4"/>
        <v>24</v>
      </c>
      <c r="J18" s="146">
        <f t="shared" si="4"/>
        <v>24</v>
      </c>
      <c r="K18" s="146">
        <f t="shared" si="4"/>
        <v>24</v>
      </c>
      <c r="L18" s="146">
        <f t="shared" si="4"/>
        <v>24</v>
      </c>
    </row>
    <row r="19" spans="1:12" x14ac:dyDescent="0.2">
      <c r="A19" s="24" t="s">
        <v>38</v>
      </c>
      <c r="B19" s="179"/>
      <c r="C19" s="155">
        <v>2.5</v>
      </c>
      <c r="D19" s="156">
        <f>+C19</f>
        <v>2.5</v>
      </c>
      <c r="E19" s="156">
        <f t="shared" ref="E19:L19" si="5">+D19</f>
        <v>2.5</v>
      </c>
      <c r="F19" s="156">
        <f t="shared" si="5"/>
        <v>2.5</v>
      </c>
      <c r="G19" s="156">
        <f t="shared" si="5"/>
        <v>2.5</v>
      </c>
      <c r="H19" s="156">
        <f t="shared" si="5"/>
        <v>2.5</v>
      </c>
      <c r="I19" s="156">
        <f t="shared" si="5"/>
        <v>2.5</v>
      </c>
      <c r="J19" s="156">
        <f t="shared" si="5"/>
        <v>2.5</v>
      </c>
      <c r="K19" s="156">
        <f t="shared" si="5"/>
        <v>2.5</v>
      </c>
      <c r="L19" s="156">
        <f t="shared" si="5"/>
        <v>2.5</v>
      </c>
    </row>
    <row r="20" spans="1:12" x14ac:dyDescent="0.2">
      <c r="A20" s="24" t="s">
        <v>39</v>
      </c>
      <c r="C20" s="190">
        <f>C18*C19</f>
        <v>60</v>
      </c>
      <c r="D20" s="190">
        <f t="shared" ref="D20:L20" si="6">D18*D19</f>
        <v>60</v>
      </c>
      <c r="E20" s="190">
        <f t="shared" si="6"/>
        <v>60</v>
      </c>
      <c r="F20" s="190">
        <f t="shared" si="6"/>
        <v>60</v>
      </c>
      <c r="G20" s="190">
        <f t="shared" si="6"/>
        <v>60</v>
      </c>
      <c r="H20" s="190">
        <f t="shared" si="6"/>
        <v>60</v>
      </c>
      <c r="I20" s="190">
        <f t="shared" si="6"/>
        <v>60</v>
      </c>
      <c r="J20" s="190">
        <f t="shared" si="6"/>
        <v>60</v>
      </c>
      <c r="K20" s="190">
        <f t="shared" si="6"/>
        <v>60</v>
      </c>
      <c r="L20" s="190">
        <f t="shared" si="6"/>
        <v>60</v>
      </c>
    </row>
    <row r="21" spans="1:12" x14ac:dyDescent="0.2">
      <c r="A21" s="24" t="s">
        <v>35</v>
      </c>
      <c r="C21" s="155">
        <f>Condiciones!$B$33</f>
        <v>968.625</v>
      </c>
      <c r="D21" s="156">
        <f>+C21+(C21*Inflación!D8)</f>
        <v>1007.37</v>
      </c>
      <c r="E21" s="156">
        <f>+D21+(D21*Inflación!E8)</f>
        <v>1047.6648</v>
      </c>
      <c r="F21" s="156">
        <f>+E21+(E21*Inflación!F8)</f>
        <v>1089.5713920000001</v>
      </c>
      <c r="G21" s="156">
        <f>+F21+(F21*Inflación!G8)</f>
        <v>1133.15424768</v>
      </c>
      <c r="H21" s="156">
        <f>+G21+(G21*Inflación!H8)</f>
        <v>1178.4804175872</v>
      </c>
      <c r="I21" s="156">
        <f>+H21+(H21*Inflación!I8)</f>
        <v>1225.6196342906881</v>
      </c>
      <c r="J21" s="156">
        <f>+I21+(I21*Inflación!J8)</f>
        <v>1274.6444196623156</v>
      </c>
      <c r="K21" s="156">
        <f>+J21+(J21*Inflación!K8)</f>
        <v>1325.6301964488082</v>
      </c>
      <c r="L21" s="156">
        <f>+K21+(K21*Inflación!L8)</f>
        <v>1378.6554043067606</v>
      </c>
    </row>
    <row r="22" spans="1:12" x14ac:dyDescent="0.2">
      <c r="A22" s="24" t="s">
        <v>36</v>
      </c>
      <c r="C22" s="156">
        <f>C20*C21</f>
        <v>58117.5</v>
      </c>
      <c r="D22" s="156">
        <f t="shared" ref="D22:L22" si="7">D20*D21</f>
        <v>60442.2</v>
      </c>
      <c r="E22" s="156">
        <f t="shared" si="7"/>
        <v>62859.887999999999</v>
      </c>
      <c r="F22" s="156">
        <f t="shared" si="7"/>
        <v>65374.283520000005</v>
      </c>
      <c r="G22" s="156">
        <f t="shared" si="7"/>
        <v>67989.254860800007</v>
      </c>
      <c r="H22" s="156">
        <f t="shared" si="7"/>
        <v>70708.825055231995</v>
      </c>
      <c r="I22" s="156">
        <f t="shared" si="7"/>
        <v>73537.178057441284</v>
      </c>
      <c r="J22" s="156">
        <f t="shared" si="7"/>
        <v>76478.665179738935</v>
      </c>
      <c r="K22" s="156">
        <f t="shared" si="7"/>
        <v>79537.811786928491</v>
      </c>
      <c r="L22" s="156">
        <f t="shared" si="7"/>
        <v>82719.324258405642</v>
      </c>
    </row>
    <row r="23" spans="1:12" x14ac:dyDescent="0.2">
      <c r="A23" s="24" t="s">
        <v>37</v>
      </c>
      <c r="C23" s="156">
        <f>C22*12</f>
        <v>697410</v>
      </c>
      <c r="D23" s="156">
        <f t="shared" ref="D23:L23" si="8">D22*12</f>
        <v>725306.39999999991</v>
      </c>
      <c r="E23" s="156">
        <f t="shared" si="8"/>
        <v>754318.65599999996</v>
      </c>
      <c r="F23" s="156">
        <f t="shared" si="8"/>
        <v>784491.40224000008</v>
      </c>
      <c r="G23" s="156">
        <f t="shared" si="8"/>
        <v>815871.05832960014</v>
      </c>
      <c r="H23" s="156">
        <f t="shared" si="8"/>
        <v>848505.900662784</v>
      </c>
      <c r="I23" s="156">
        <f t="shared" si="8"/>
        <v>882446.13668929541</v>
      </c>
      <c r="J23" s="156">
        <f t="shared" si="8"/>
        <v>917743.98215686716</v>
      </c>
      <c r="K23" s="156">
        <f t="shared" si="8"/>
        <v>954453.74144314183</v>
      </c>
      <c r="L23" s="156">
        <f t="shared" si="8"/>
        <v>992631.89110086765</v>
      </c>
    </row>
    <row r="24" spans="1:12" x14ac:dyDescent="0.2">
      <c r="C24" s="156"/>
      <c r="D24" s="156"/>
      <c r="E24" s="156"/>
      <c r="F24" s="156"/>
      <c r="G24" s="156"/>
      <c r="H24" s="156"/>
      <c r="I24" s="156"/>
      <c r="J24" s="156"/>
      <c r="K24" s="156"/>
      <c r="L24" s="156"/>
    </row>
    <row r="25" spans="1:12" x14ac:dyDescent="0.2">
      <c r="A25" s="154" t="s">
        <v>198</v>
      </c>
      <c r="C25" s="25"/>
      <c r="D25" s="25"/>
      <c r="E25" s="25"/>
      <c r="F25" s="25"/>
      <c r="G25" s="25"/>
      <c r="H25" s="25"/>
      <c r="I25" s="25"/>
      <c r="J25" s="25"/>
      <c r="K25" s="25"/>
      <c r="L25" s="25"/>
    </row>
    <row r="26" spans="1:12" x14ac:dyDescent="0.2">
      <c r="A26" s="24" t="s">
        <v>41</v>
      </c>
      <c r="B26" s="179"/>
      <c r="C26" s="155">
        <v>7</v>
      </c>
      <c r="D26" s="156">
        <f>+C26</f>
        <v>7</v>
      </c>
      <c r="E26" s="156">
        <f t="shared" ref="E26:L26" si="9">+D26</f>
        <v>7</v>
      </c>
      <c r="F26" s="156">
        <f t="shared" si="9"/>
        <v>7</v>
      </c>
      <c r="G26" s="156">
        <f t="shared" si="9"/>
        <v>7</v>
      </c>
      <c r="H26" s="156">
        <f t="shared" si="9"/>
        <v>7</v>
      </c>
      <c r="I26" s="156">
        <f t="shared" si="9"/>
        <v>7</v>
      </c>
      <c r="J26" s="156">
        <f t="shared" si="9"/>
        <v>7</v>
      </c>
      <c r="K26" s="156">
        <f t="shared" si="9"/>
        <v>7</v>
      </c>
      <c r="L26" s="156">
        <f t="shared" si="9"/>
        <v>7</v>
      </c>
    </row>
    <row r="27" spans="1:12" x14ac:dyDescent="0.2">
      <c r="A27" s="24" t="s">
        <v>35</v>
      </c>
      <c r="C27" s="155">
        <f>Condiciones!$B$34</f>
        <v>1400</v>
      </c>
      <c r="D27" s="156">
        <f>+C27+(C27*Inflación!D8)</f>
        <v>1456</v>
      </c>
      <c r="E27" s="156">
        <f>+D27+(D27*Inflación!E8)</f>
        <v>1514.24</v>
      </c>
      <c r="F27" s="156">
        <f>+E27+(E27*Inflación!F8)</f>
        <v>1574.8096</v>
      </c>
      <c r="G27" s="156">
        <f>+F27+(F27*Inflación!G8)</f>
        <v>1637.8019839999999</v>
      </c>
      <c r="H27" s="156">
        <f>+G27+(G27*Inflación!H8)</f>
        <v>1703.3140633599999</v>
      </c>
      <c r="I27" s="156">
        <f>+H27+(H27*Inflación!I8)</f>
        <v>1771.4466258943999</v>
      </c>
      <c r="J27" s="156">
        <f>+I27+(I27*Inflación!J8)</f>
        <v>1842.3044909301759</v>
      </c>
      <c r="K27" s="156">
        <f>+J27+(J27*Inflación!K8)</f>
        <v>1915.996670567383</v>
      </c>
      <c r="L27" s="156">
        <f>+K27+(K27*Inflación!L8)</f>
        <v>1992.6365373900783</v>
      </c>
    </row>
    <row r="28" spans="1:12" x14ac:dyDescent="0.2">
      <c r="A28" s="24" t="s">
        <v>37</v>
      </c>
      <c r="C28" s="156">
        <f>C26*C27*12</f>
        <v>117600</v>
      </c>
      <c r="D28" s="156">
        <f t="shared" ref="D28:L28" si="10">D26*D27*12</f>
        <v>122304</v>
      </c>
      <c r="E28" s="156">
        <f t="shared" si="10"/>
        <v>127196.16</v>
      </c>
      <c r="F28" s="156">
        <f t="shared" si="10"/>
        <v>132284.00640000001</v>
      </c>
      <c r="G28" s="156">
        <f t="shared" si="10"/>
        <v>137575.366656</v>
      </c>
      <c r="H28" s="156">
        <f t="shared" si="10"/>
        <v>143078.38132223999</v>
      </c>
      <c r="I28" s="156">
        <f t="shared" si="10"/>
        <v>148801.51657512959</v>
      </c>
      <c r="J28" s="156">
        <f t="shared" si="10"/>
        <v>154753.57723813478</v>
      </c>
      <c r="K28" s="156">
        <f t="shared" si="10"/>
        <v>160943.72032766018</v>
      </c>
      <c r="L28" s="156">
        <f t="shared" si="10"/>
        <v>167381.46914076657</v>
      </c>
    </row>
    <row r="29" spans="1:12" x14ac:dyDescent="0.2">
      <c r="C29" s="156"/>
      <c r="D29" s="156"/>
      <c r="E29" s="156"/>
      <c r="F29" s="156"/>
      <c r="G29" s="156"/>
      <c r="H29" s="156"/>
      <c r="I29" s="156"/>
      <c r="J29" s="156"/>
      <c r="K29" s="156"/>
      <c r="L29" s="156"/>
    </row>
    <row r="30" spans="1:12" x14ac:dyDescent="0.2">
      <c r="A30" s="154" t="s">
        <v>40</v>
      </c>
      <c r="C30" s="25"/>
      <c r="D30" s="25"/>
      <c r="E30" s="25"/>
      <c r="F30" s="25"/>
      <c r="G30" s="25"/>
      <c r="H30" s="25"/>
      <c r="I30" s="25"/>
      <c r="J30" s="25"/>
      <c r="K30" s="25"/>
      <c r="L30" s="25"/>
    </row>
    <row r="31" spans="1:12" x14ac:dyDescent="0.2">
      <c r="A31" s="24" t="s">
        <v>41</v>
      </c>
      <c r="B31" s="179"/>
      <c r="C31" s="155">
        <v>7</v>
      </c>
      <c r="D31" s="156">
        <f>+C31</f>
        <v>7</v>
      </c>
      <c r="E31" s="156">
        <f t="shared" ref="E31:L31" si="11">+D31</f>
        <v>7</v>
      </c>
      <c r="F31" s="156">
        <f t="shared" si="11"/>
        <v>7</v>
      </c>
      <c r="G31" s="156">
        <f t="shared" si="11"/>
        <v>7</v>
      </c>
      <c r="H31" s="156">
        <f t="shared" si="11"/>
        <v>7</v>
      </c>
      <c r="I31" s="156">
        <f t="shared" si="11"/>
        <v>7</v>
      </c>
      <c r="J31" s="156">
        <f t="shared" si="11"/>
        <v>7</v>
      </c>
      <c r="K31" s="156">
        <f t="shared" si="11"/>
        <v>7</v>
      </c>
      <c r="L31" s="156">
        <f t="shared" si="11"/>
        <v>7</v>
      </c>
    </row>
    <row r="32" spans="1:12" x14ac:dyDescent="0.2">
      <c r="A32" s="24" t="s">
        <v>35</v>
      </c>
      <c r="C32" s="155">
        <f>Condiciones!$B$35</f>
        <v>1500</v>
      </c>
      <c r="D32" s="156">
        <f>+C32+(C32*Inflación!D8)</f>
        <v>1560</v>
      </c>
      <c r="E32" s="156">
        <f>+D32+(D32*Inflación!E8)</f>
        <v>1622.4</v>
      </c>
      <c r="F32" s="156">
        <f>+E32+(E32*Inflación!F8)</f>
        <v>1687.296</v>
      </c>
      <c r="G32" s="156">
        <f>+F32+(F32*Inflación!G8)</f>
        <v>1754.78784</v>
      </c>
      <c r="H32" s="156">
        <f>+G32+(G32*Inflación!H8)</f>
        <v>1824.9793536</v>
      </c>
      <c r="I32" s="156">
        <f>+H32+(H32*Inflación!I8)</f>
        <v>1897.9785277440001</v>
      </c>
      <c r="J32" s="156">
        <f>+I32+(I32*Inflación!J8)</f>
        <v>1973.89766885376</v>
      </c>
      <c r="K32" s="156">
        <f>+J32+(J32*Inflación!K8)</f>
        <v>2052.8535756079104</v>
      </c>
      <c r="L32" s="156">
        <f>+K32+(K32*Inflación!L8)</f>
        <v>2134.9677186322269</v>
      </c>
    </row>
    <row r="33" spans="1:12" x14ac:dyDescent="0.2">
      <c r="A33" s="24" t="s">
        <v>37</v>
      </c>
      <c r="C33" s="156">
        <f>C31*C32*12</f>
        <v>126000</v>
      </c>
      <c r="D33" s="156">
        <f t="shared" ref="D33:L33" si="12">D31*D32*12</f>
        <v>131040</v>
      </c>
      <c r="E33" s="156">
        <f t="shared" si="12"/>
        <v>136281.60000000001</v>
      </c>
      <c r="F33" s="156">
        <f t="shared" si="12"/>
        <v>141732.864</v>
      </c>
      <c r="G33" s="156">
        <f t="shared" si="12"/>
        <v>147402.17855999997</v>
      </c>
      <c r="H33" s="156">
        <f t="shared" si="12"/>
        <v>153298.26570240001</v>
      </c>
      <c r="I33" s="156">
        <f t="shared" si="12"/>
        <v>159430.19633049599</v>
      </c>
      <c r="J33" s="156">
        <f t="shared" si="12"/>
        <v>165807.40418371584</v>
      </c>
      <c r="K33" s="156">
        <f t="shared" si="12"/>
        <v>172439.70035106447</v>
      </c>
      <c r="L33" s="156">
        <f t="shared" si="12"/>
        <v>179337.28836510709</v>
      </c>
    </row>
    <row r="34" spans="1:12" x14ac:dyDescent="0.2">
      <c r="C34" s="156"/>
      <c r="D34" s="156"/>
      <c r="E34" s="156"/>
      <c r="F34" s="156"/>
      <c r="G34" s="156"/>
      <c r="H34" s="156"/>
      <c r="I34" s="156"/>
      <c r="J34" s="156"/>
      <c r="K34" s="156"/>
      <c r="L34" s="156"/>
    </row>
    <row r="35" spans="1:12" x14ac:dyDescent="0.2">
      <c r="A35" s="154" t="s">
        <v>42</v>
      </c>
      <c r="C35" s="25"/>
      <c r="D35" s="25"/>
      <c r="E35" s="25"/>
      <c r="F35" s="25"/>
      <c r="G35" s="25"/>
      <c r="H35" s="25"/>
      <c r="I35" s="25"/>
      <c r="J35" s="25"/>
      <c r="K35" s="25"/>
      <c r="L35" s="25"/>
    </row>
    <row r="36" spans="1:12" x14ac:dyDescent="0.2">
      <c r="A36" s="24" t="s">
        <v>41</v>
      </c>
      <c r="B36" s="179"/>
      <c r="C36" s="155">
        <v>21</v>
      </c>
      <c r="D36" s="156">
        <f>+C36</f>
        <v>21</v>
      </c>
      <c r="E36" s="156">
        <f t="shared" ref="E36:L36" si="13">+D36</f>
        <v>21</v>
      </c>
      <c r="F36" s="156">
        <f t="shared" si="13"/>
        <v>21</v>
      </c>
      <c r="G36" s="156">
        <f t="shared" si="13"/>
        <v>21</v>
      </c>
      <c r="H36" s="156">
        <f t="shared" si="13"/>
        <v>21</v>
      </c>
      <c r="I36" s="156">
        <f t="shared" si="13"/>
        <v>21</v>
      </c>
      <c r="J36" s="156">
        <f t="shared" si="13"/>
        <v>21</v>
      </c>
      <c r="K36" s="156">
        <f t="shared" si="13"/>
        <v>21</v>
      </c>
      <c r="L36" s="156">
        <f t="shared" si="13"/>
        <v>21</v>
      </c>
    </row>
    <row r="37" spans="1:12" x14ac:dyDescent="0.2">
      <c r="A37" s="24" t="s">
        <v>35</v>
      </c>
      <c r="C37" s="155">
        <f>Condiciones!$B$36</f>
        <v>615</v>
      </c>
      <c r="D37" s="156">
        <f>+C37+(C37*Inflación!D8)</f>
        <v>639.6</v>
      </c>
      <c r="E37" s="156">
        <f>+D37+(D37*Inflación!E8)</f>
        <v>665.18399999999997</v>
      </c>
      <c r="F37" s="156">
        <f>+E37+(E37*Inflación!F8)</f>
        <v>691.79135999999994</v>
      </c>
      <c r="G37" s="156">
        <f>+F37+(F37*Inflación!G8)</f>
        <v>719.46301439999991</v>
      </c>
      <c r="H37" s="156">
        <f>+G37+(G37*Inflación!H8)</f>
        <v>748.24153497599991</v>
      </c>
      <c r="I37" s="156">
        <f>+H37+(H37*Inflación!I8)</f>
        <v>778.17119637503993</v>
      </c>
      <c r="J37" s="156">
        <f>+I37+(I37*Inflación!J8)</f>
        <v>809.29804423004157</v>
      </c>
      <c r="K37" s="156">
        <f>+J37+(J37*Inflación!K8)</f>
        <v>841.66996599924323</v>
      </c>
      <c r="L37" s="156">
        <f>+K37+(K37*Inflación!L8)</f>
        <v>875.33676463921302</v>
      </c>
    </row>
    <row r="38" spans="1:12" x14ac:dyDescent="0.2">
      <c r="A38" s="24" t="s">
        <v>37</v>
      </c>
      <c r="C38" s="156">
        <f>C36*C37*12</f>
        <v>154980</v>
      </c>
      <c r="D38" s="156">
        <f t="shared" ref="D38:L38" si="14">D36*D37*12</f>
        <v>161179.20000000001</v>
      </c>
      <c r="E38" s="156">
        <f t="shared" si="14"/>
        <v>167626.36799999999</v>
      </c>
      <c r="F38" s="156">
        <f t="shared" si="14"/>
        <v>174331.42271999997</v>
      </c>
      <c r="G38" s="156">
        <f t="shared" si="14"/>
        <v>181304.67962879996</v>
      </c>
      <c r="H38" s="156">
        <f t="shared" si="14"/>
        <v>188556.86681395199</v>
      </c>
      <c r="I38" s="156">
        <f t="shared" si="14"/>
        <v>196099.14148651005</v>
      </c>
      <c r="J38" s="156">
        <f t="shared" si="14"/>
        <v>203943.10714597048</v>
      </c>
      <c r="K38" s="156">
        <f t="shared" si="14"/>
        <v>212100.83143180929</v>
      </c>
      <c r="L38" s="156">
        <f t="shared" si="14"/>
        <v>220584.86468908167</v>
      </c>
    </row>
    <row r="39" spans="1:12" x14ac:dyDescent="0.2">
      <c r="C39" s="156"/>
      <c r="D39" s="156"/>
      <c r="E39" s="156"/>
      <c r="F39" s="156"/>
      <c r="G39" s="156"/>
      <c r="H39" s="156"/>
      <c r="I39" s="156"/>
      <c r="J39" s="156"/>
      <c r="K39" s="156"/>
      <c r="L39" s="156"/>
    </row>
    <row r="40" spans="1:12" x14ac:dyDescent="0.2">
      <c r="A40" s="154" t="s">
        <v>43</v>
      </c>
      <c r="C40" s="25"/>
      <c r="D40" s="25"/>
      <c r="E40" s="25"/>
      <c r="F40" s="25"/>
      <c r="G40" s="25"/>
      <c r="H40" s="25"/>
      <c r="I40" s="25"/>
      <c r="J40" s="25"/>
      <c r="K40" s="25"/>
      <c r="L40" s="25"/>
    </row>
    <row r="41" spans="1:12" x14ac:dyDescent="0.2">
      <c r="A41" s="24" t="s">
        <v>41</v>
      </c>
      <c r="B41" s="179"/>
      <c r="C41" s="155">
        <v>7</v>
      </c>
      <c r="D41" s="156">
        <f>+C41</f>
        <v>7</v>
      </c>
      <c r="E41" s="156">
        <f t="shared" ref="E41:L41" si="15">+D41</f>
        <v>7</v>
      </c>
      <c r="F41" s="156">
        <f t="shared" si="15"/>
        <v>7</v>
      </c>
      <c r="G41" s="156">
        <f t="shared" si="15"/>
        <v>7</v>
      </c>
      <c r="H41" s="156">
        <f t="shared" si="15"/>
        <v>7</v>
      </c>
      <c r="I41" s="156">
        <f t="shared" si="15"/>
        <v>7</v>
      </c>
      <c r="J41" s="156">
        <f t="shared" si="15"/>
        <v>7</v>
      </c>
      <c r="K41" s="156">
        <f t="shared" si="15"/>
        <v>7</v>
      </c>
      <c r="L41" s="156">
        <f t="shared" si="15"/>
        <v>7</v>
      </c>
    </row>
    <row r="42" spans="1:12" x14ac:dyDescent="0.2">
      <c r="A42" s="24" t="s">
        <v>35</v>
      </c>
      <c r="C42" s="155">
        <f>Condiciones!$B$38</f>
        <v>350</v>
      </c>
      <c r="D42" s="156">
        <f>+C42+(C42*Inflación!D8)</f>
        <v>364</v>
      </c>
      <c r="E42" s="156">
        <f>+D42+(D42*Inflación!E8)</f>
        <v>378.56</v>
      </c>
      <c r="F42" s="156">
        <f>+E42+(E42*Inflación!F8)</f>
        <v>393.70240000000001</v>
      </c>
      <c r="G42" s="156">
        <f>+F42+(F42*Inflación!G8)</f>
        <v>409.45049599999999</v>
      </c>
      <c r="H42" s="156">
        <f>+G42+(G42*Inflación!H8)</f>
        <v>425.82851583999997</v>
      </c>
      <c r="I42" s="156">
        <f>+H42+(H42*Inflación!I8)</f>
        <v>442.86165647359996</v>
      </c>
      <c r="J42" s="156">
        <f>+I42+(I42*Inflación!J8)</f>
        <v>460.57612273254398</v>
      </c>
      <c r="K42" s="156">
        <f>+J42+(J42*Inflación!K8)</f>
        <v>478.99916764184576</v>
      </c>
      <c r="L42" s="156">
        <f>+K42+(K42*Inflación!L8)</f>
        <v>498.15913434751957</v>
      </c>
    </row>
    <row r="43" spans="1:12" x14ac:dyDescent="0.2">
      <c r="A43" s="24" t="s">
        <v>37</v>
      </c>
      <c r="C43" s="156">
        <f>C41*C42*12</f>
        <v>29400</v>
      </c>
      <c r="D43" s="156">
        <f t="shared" ref="D43:L43" si="16">D41*D42*12</f>
        <v>30576</v>
      </c>
      <c r="E43" s="156">
        <f t="shared" si="16"/>
        <v>31799.040000000001</v>
      </c>
      <c r="F43" s="156">
        <f t="shared" si="16"/>
        <v>33071.001600000003</v>
      </c>
      <c r="G43" s="156">
        <f t="shared" si="16"/>
        <v>34393.841664</v>
      </c>
      <c r="H43" s="156">
        <f t="shared" si="16"/>
        <v>35769.595330559998</v>
      </c>
      <c r="I43" s="156">
        <f t="shared" si="16"/>
        <v>37200.379143782397</v>
      </c>
      <c r="J43" s="156">
        <f t="shared" si="16"/>
        <v>38688.394309533694</v>
      </c>
      <c r="K43" s="156">
        <f t="shared" si="16"/>
        <v>40235.930081915045</v>
      </c>
      <c r="L43" s="156">
        <f t="shared" si="16"/>
        <v>41845.367285191642</v>
      </c>
    </row>
    <row r="44" spans="1:12" x14ac:dyDescent="0.2">
      <c r="C44" s="156"/>
      <c r="D44" s="156"/>
      <c r="E44" s="156"/>
      <c r="F44" s="156"/>
      <c r="G44" s="156"/>
      <c r="H44" s="156"/>
      <c r="I44" s="156"/>
      <c r="J44" s="156"/>
      <c r="K44" s="156"/>
      <c r="L44" s="156"/>
    </row>
    <row r="45" spans="1:12" x14ac:dyDescent="0.2">
      <c r="A45" s="154" t="s">
        <v>44</v>
      </c>
      <c r="C45" s="25"/>
      <c r="D45" s="25"/>
      <c r="E45" s="25"/>
      <c r="F45" s="25"/>
      <c r="G45" s="25"/>
      <c r="H45" s="25"/>
      <c r="I45" s="25"/>
      <c r="J45" s="25"/>
      <c r="K45" s="25"/>
      <c r="L45" s="25"/>
    </row>
    <row r="46" spans="1:12" x14ac:dyDescent="0.2">
      <c r="A46" s="24" t="s">
        <v>41</v>
      </c>
      <c r="B46" s="179"/>
      <c r="C46" s="155">
        <v>10</v>
      </c>
      <c r="D46" s="156">
        <f>+C46</f>
        <v>10</v>
      </c>
      <c r="E46" s="156">
        <f t="shared" ref="E46:L46" si="17">+D46</f>
        <v>10</v>
      </c>
      <c r="F46" s="156">
        <f t="shared" si="17"/>
        <v>10</v>
      </c>
      <c r="G46" s="156">
        <f t="shared" si="17"/>
        <v>10</v>
      </c>
      <c r="H46" s="156">
        <f t="shared" si="17"/>
        <v>10</v>
      </c>
      <c r="I46" s="156">
        <f t="shared" si="17"/>
        <v>10</v>
      </c>
      <c r="J46" s="156">
        <f t="shared" si="17"/>
        <v>10</v>
      </c>
      <c r="K46" s="156">
        <f t="shared" si="17"/>
        <v>10</v>
      </c>
      <c r="L46" s="156">
        <f t="shared" si="17"/>
        <v>10</v>
      </c>
    </row>
    <row r="47" spans="1:12" x14ac:dyDescent="0.2">
      <c r="A47" s="24" t="s">
        <v>35</v>
      </c>
      <c r="C47" s="155">
        <f>Condiciones!$B$39</f>
        <v>850</v>
      </c>
      <c r="D47" s="156">
        <f>+C47+(C47*Inflación!D8)</f>
        <v>884</v>
      </c>
      <c r="E47" s="156">
        <f>+D47+(D47*Inflación!E8)</f>
        <v>919.36</v>
      </c>
      <c r="F47" s="156">
        <f>+E47+(E47*Inflación!F8)</f>
        <v>956.13440000000003</v>
      </c>
      <c r="G47" s="156">
        <f>+F47+(F47*Inflación!G8)</f>
        <v>994.37977599999999</v>
      </c>
      <c r="H47" s="156">
        <f>+G47+(G47*Inflación!H8)</f>
        <v>1034.15496704</v>
      </c>
      <c r="I47" s="156">
        <f>+H47+(H47*Inflación!I8)</f>
        <v>1075.5211657216</v>
      </c>
      <c r="J47" s="156">
        <f>+I47+(I47*Inflación!J8)</f>
        <v>1118.5420123504641</v>
      </c>
      <c r="K47" s="156">
        <f>+J47+(J47*Inflación!K8)</f>
        <v>1163.2836928444826</v>
      </c>
      <c r="L47" s="156">
        <f>+K47+(K47*Inflación!L8)</f>
        <v>1209.8150405582619</v>
      </c>
    </row>
    <row r="48" spans="1:12" x14ac:dyDescent="0.2">
      <c r="A48" s="24" t="s">
        <v>37</v>
      </c>
      <c r="C48" s="156">
        <f>C46*C47*12</f>
        <v>102000</v>
      </c>
      <c r="D48" s="156">
        <f t="shared" ref="D48:L48" si="18">D46*D47*12</f>
        <v>106080</v>
      </c>
      <c r="E48" s="156">
        <f t="shared" si="18"/>
        <v>110323.20000000001</v>
      </c>
      <c r="F48" s="156">
        <f t="shared" si="18"/>
        <v>114736.12800000001</v>
      </c>
      <c r="G48" s="156">
        <f t="shared" si="18"/>
        <v>119325.57311999999</v>
      </c>
      <c r="H48" s="156">
        <f t="shared" si="18"/>
        <v>124098.5960448</v>
      </c>
      <c r="I48" s="156">
        <f t="shared" si="18"/>
        <v>129062.53988659201</v>
      </c>
      <c r="J48" s="156">
        <f t="shared" si="18"/>
        <v>134225.04148205571</v>
      </c>
      <c r="K48" s="156">
        <f t="shared" si="18"/>
        <v>139594.04314133793</v>
      </c>
      <c r="L48" s="156">
        <f t="shared" si="18"/>
        <v>145177.80486699141</v>
      </c>
    </row>
    <row r="49" spans="1:12" x14ac:dyDescent="0.2">
      <c r="C49" s="156"/>
      <c r="D49" s="156"/>
      <c r="E49" s="156"/>
      <c r="F49" s="156"/>
      <c r="G49" s="156"/>
      <c r="H49" s="156"/>
      <c r="I49" s="156"/>
      <c r="J49" s="156"/>
      <c r="K49" s="156"/>
      <c r="L49" s="156"/>
    </row>
    <row r="50" spans="1:12" x14ac:dyDescent="0.2">
      <c r="A50" s="154" t="s">
        <v>49</v>
      </c>
      <c r="D50" s="156"/>
      <c r="E50" s="155"/>
      <c r="F50" s="155"/>
      <c r="G50" s="155"/>
      <c r="H50" s="155"/>
      <c r="I50" s="155"/>
      <c r="J50" s="155"/>
      <c r="K50" s="155"/>
      <c r="L50" s="155"/>
    </row>
    <row r="51" spans="1:12" x14ac:dyDescent="0.2">
      <c r="A51" s="24" t="s">
        <v>96</v>
      </c>
      <c r="C51" s="156">
        <f>(C12+C20+C26+C31+C36+C41+C46)</f>
        <v>184</v>
      </c>
      <c r="D51" s="156">
        <f t="shared" ref="D51:L51" si="19">(D12+D20+D26+D31+D36+D41+D46)</f>
        <v>184</v>
      </c>
      <c r="E51" s="156">
        <f t="shared" si="19"/>
        <v>184</v>
      </c>
      <c r="F51" s="156">
        <f t="shared" si="19"/>
        <v>184</v>
      </c>
      <c r="G51" s="156">
        <f t="shared" si="19"/>
        <v>184</v>
      </c>
      <c r="H51" s="156">
        <f t="shared" si="19"/>
        <v>184</v>
      </c>
      <c r="I51" s="156">
        <f t="shared" si="19"/>
        <v>184</v>
      </c>
      <c r="J51" s="156">
        <f t="shared" si="19"/>
        <v>184</v>
      </c>
      <c r="K51" s="156">
        <f t="shared" si="19"/>
        <v>184</v>
      </c>
      <c r="L51" s="156">
        <f t="shared" si="19"/>
        <v>184</v>
      </c>
    </row>
    <row r="52" spans="1:12" x14ac:dyDescent="0.2">
      <c r="A52" s="24" t="s">
        <v>97</v>
      </c>
      <c r="C52" s="155">
        <f>Condiciones!$B$40</f>
        <v>130</v>
      </c>
      <c r="D52" s="156">
        <f>C52+(C52*Inflación!D8)</f>
        <v>135.19999999999999</v>
      </c>
      <c r="E52" s="156">
        <f>D52+(D52*Inflación!E8)</f>
        <v>140.60799999999998</v>
      </c>
      <c r="F52" s="156">
        <f>E52+(E52*Inflación!F8)</f>
        <v>146.23231999999999</v>
      </c>
      <c r="G52" s="156">
        <f>F52+(F52*Inflación!G8)</f>
        <v>152.08161279999999</v>
      </c>
      <c r="H52" s="156">
        <f>G52+(G52*Inflación!H8)</f>
        <v>158.16487731199999</v>
      </c>
      <c r="I52" s="156">
        <f>H52+(H52*Inflación!I8)</f>
        <v>164.49147240447999</v>
      </c>
      <c r="J52" s="156">
        <f>I52+(I52*Inflación!J8)</f>
        <v>171.0711313006592</v>
      </c>
      <c r="K52" s="156">
        <f>J52+(J52*Inflación!K8)</f>
        <v>177.91397655268557</v>
      </c>
      <c r="L52" s="156">
        <f>K52+(K52*Inflación!L8)</f>
        <v>185.030535614793</v>
      </c>
    </row>
    <row r="53" spans="1:12" x14ac:dyDescent="0.2">
      <c r="A53" s="24" t="s">
        <v>37</v>
      </c>
      <c r="C53" s="156">
        <f>C51*C52</f>
        <v>23920</v>
      </c>
      <c r="D53" s="156">
        <f>D51*D52</f>
        <v>24876.799999999999</v>
      </c>
      <c r="E53" s="156">
        <f t="shared" ref="E53:L53" si="20">E51*E52</f>
        <v>25871.871999999996</v>
      </c>
      <c r="F53" s="156">
        <f t="shared" si="20"/>
        <v>26906.746879999999</v>
      </c>
      <c r="G53" s="156">
        <f t="shared" si="20"/>
        <v>27983.016755199998</v>
      </c>
      <c r="H53" s="156">
        <f t="shared" si="20"/>
        <v>29102.337425407997</v>
      </c>
      <c r="I53" s="156">
        <f t="shared" si="20"/>
        <v>30266.430922424319</v>
      </c>
      <c r="J53" s="156">
        <f t="shared" si="20"/>
        <v>31477.088159321294</v>
      </c>
      <c r="K53" s="156">
        <f t="shared" si="20"/>
        <v>32736.171685694146</v>
      </c>
      <c r="L53" s="156">
        <f t="shared" si="20"/>
        <v>34045.618553121909</v>
      </c>
    </row>
    <row r="54" spans="1:12" x14ac:dyDescent="0.2">
      <c r="C54" s="156"/>
      <c r="D54" s="156"/>
      <c r="E54" s="156"/>
      <c r="F54" s="156"/>
      <c r="G54" s="156"/>
      <c r="H54" s="156"/>
      <c r="I54" s="156"/>
      <c r="J54" s="156"/>
      <c r="K54" s="156"/>
      <c r="L54" s="156"/>
    </row>
    <row r="55" spans="1:12" x14ac:dyDescent="0.2">
      <c r="A55" s="154" t="s">
        <v>52</v>
      </c>
      <c r="C55" s="155"/>
      <c r="D55" s="156"/>
      <c r="E55" s="155"/>
      <c r="F55" s="155"/>
      <c r="G55" s="155"/>
      <c r="H55" s="155"/>
      <c r="I55" s="155"/>
      <c r="J55" s="155"/>
      <c r="K55" s="155"/>
      <c r="L55" s="155"/>
    </row>
    <row r="56" spans="1:12" x14ac:dyDescent="0.2">
      <c r="A56" s="24" t="s">
        <v>96</v>
      </c>
      <c r="C56" s="156">
        <f>C51</f>
        <v>184</v>
      </c>
      <c r="D56" s="156">
        <f t="shared" ref="D56:L56" si="21">D51</f>
        <v>184</v>
      </c>
      <c r="E56" s="156">
        <f t="shared" si="21"/>
        <v>184</v>
      </c>
      <c r="F56" s="156">
        <f t="shared" si="21"/>
        <v>184</v>
      </c>
      <c r="G56" s="156">
        <f t="shared" si="21"/>
        <v>184</v>
      </c>
      <c r="H56" s="156">
        <f t="shared" si="21"/>
        <v>184</v>
      </c>
      <c r="I56" s="156">
        <f t="shared" si="21"/>
        <v>184</v>
      </c>
      <c r="J56" s="156">
        <f t="shared" si="21"/>
        <v>184</v>
      </c>
      <c r="K56" s="156">
        <f t="shared" si="21"/>
        <v>184</v>
      </c>
      <c r="L56" s="156">
        <f t="shared" si="21"/>
        <v>184</v>
      </c>
    </row>
    <row r="57" spans="1:12" x14ac:dyDescent="0.2">
      <c r="A57" s="24" t="s">
        <v>97</v>
      </c>
      <c r="C57" s="155">
        <f>Condiciones!$B$41</f>
        <v>1.25</v>
      </c>
      <c r="D57" s="146">
        <f>C57+(C57*Inflación!D8)</f>
        <v>1.3</v>
      </c>
      <c r="E57" s="146">
        <f>D57+(D57*Inflación!E8)</f>
        <v>1.3520000000000001</v>
      </c>
      <c r="F57" s="146">
        <f>E57+(E57*Inflación!F8)</f>
        <v>1.40608</v>
      </c>
      <c r="G57" s="146">
        <f>F57+(F57*Inflación!G8)</f>
        <v>1.4623231999999999</v>
      </c>
      <c r="H57" s="146">
        <f>G57+(G57*Inflación!H8)</f>
        <v>1.5208161279999999</v>
      </c>
      <c r="I57" s="146">
        <f>H57+(H57*Inflación!I8)</f>
        <v>1.58164877312</v>
      </c>
      <c r="J57" s="146">
        <f>I57+(I57*Inflación!J8)</f>
        <v>1.6449147240447999</v>
      </c>
      <c r="K57" s="146">
        <f>J57+(J57*Inflación!K8)</f>
        <v>1.7107113130065918</v>
      </c>
      <c r="L57" s="146">
        <f>K57+(K57*Inflación!L8)</f>
        <v>1.7791397655268555</v>
      </c>
    </row>
    <row r="58" spans="1:12" x14ac:dyDescent="0.2">
      <c r="A58" s="24" t="s">
        <v>30</v>
      </c>
      <c r="C58" s="155">
        <v>270</v>
      </c>
      <c r="D58" s="155">
        <v>270</v>
      </c>
      <c r="E58" s="155">
        <v>270</v>
      </c>
      <c r="F58" s="155">
        <v>270</v>
      </c>
      <c r="G58" s="155">
        <v>270</v>
      </c>
      <c r="H58" s="155">
        <v>270</v>
      </c>
      <c r="I58" s="155">
        <v>270</v>
      </c>
      <c r="J58" s="155">
        <v>270</v>
      </c>
      <c r="K58" s="155">
        <v>270</v>
      </c>
      <c r="L58" s="155">
        <v>270</v>
      </c>
    </row>
    <row r="59" spans="1:12" x14ac:dyDescent="0.2">
      <c r="A59" s="24" t="s">
        <v>37</v>
      </c>
      <c r="C59" s="156">
        <f>C56*C57*C58</f>
        <v>62100</v>
      </c>
      <c r="D59" s="156">
        <f t="shared" ref="D59:L59" si="22">D56*D57*D58</f>
        <v>64584.000000000007</v>
      </c>
      <c r="E59" s="156">
        <f t="shared" si="22"/>
        <v>67167.360000000015</v>
      </c>
      <c r="F59" s="156">
        <f t="shared" si="22"/>
        <v>69854.054400000008</v>
      </c>
      <c r="G59" s="156">
        <f t="shared" si="22"/>
        <v>72648.216575999992</v>
      </c>
      <c r="H59" s="156">
        <f t="shared" si="22"/>
        <v>75554.145239039994</v>
      </c>
      <c r="I59" s="156">
        <f t="shared" si="22"/>
        <v>78576.311048601608</v>
      </c>
      <c r="J59" s="156">
        <f t="shared" si="22"/>
        <v>81719.363490545657</v>
      </c>
      <c r="K59" s="156">
        <f t="shared" si="22"/>
        <v>84988.13803016748</v>
      </c>
      <c r="L59" s="156">
        <f t="shared" si="22"/>
        <v>88387.663551374178</v>
      </c>
    </row>
    <row r="60" spans="1:12" x14ac:dyDescent="0.2">
      <c r="C60" s="156"/>
      <c r="D60" s="156"/>
      <c r="E60" s="156"/>
      <c r="F60" s="156"/>
      <c r="G60" s="156"/>
      <c r="H60" s="156"/>
      <c r="I60" s="156"/>
      <c r="J60" s="156"/>
      <c r="K60" s="156"/>
      <c r="L60" s="156"/>
    </row>
    <row r="61" spans="1:12" x14ac:dyDescent="0.2">
      <c r="A61" s="154" t="s">
        <v>50</v>
      </c>
      <c r="C61" s="155"/>
      <c r="D61" s="156"/>
      <c r="E61" s="155"/>
      <c r="F61" s="155"/>
      <c r="G61" s="155"/>
      <c r="H61" s="155"/>
      <c r="I61" s="155"/>
      <c r="J61" s="155"/>
      <c r="K61" s="155"/>
      <c r="L61" s="155"/>
    </row>
    <row r="62" spans="1:12" x14ac:dyDescent="0.2">
      <c r="A62" s="24" t="s">
        <v>29</v>
      </c>
      <c r="C62" s="156">
        <f>+C10</f>
        <v>24</v>
      </c>
      <c r="D62" s="156">
        <f>+D10</f>
        <v>24</v>
      </c>
      <c r="E62" s="156">
        <f t="shared" ref="E62:L62" si="23">+E10</f>
        <v>24</v>
      </c>
      <c r="F62" s="156">
        <f t="shared" si="23"/>
        <v>24</v>
      </c>
      <c r="G62" s="156">
        <f t="shared" si="23"/>
        <v>24</v>
      </c>
      <c r="H62" s="156">
        <f t="shared" si="23"/>
        <v>24</v>
      </c>
      <c r="I62" s="156">
        <f t="shared" si="23"/>
        <v>24</v>
      </c>
      <c r="J62" s="156">
        <f t="shared" si="23"/>
        <v>24</v>
      </c>
      <c r="K62" s="156">
        <f t="shared" si="23"/>
        <v>24</v>
      </c>
      <c r="L62" s="156">
        <f t="shared" si="23"/>
        <v>24</v>
      </c>
    </row>
    <row r="63" spans="1:12" x14ac:dyDescent="0.2">
      <c r="A63" s="24" t="s">
        <v>98</v>
      </c>
      <c r="C63" s="155">
        <f>Condiciones!$B$42</f>
        <v>3200</v>
      </c>
      <c r="D63" s="156">
        <f>C63+(C63*Inflación!D8)</f>
        <v>3328</v>
      </c>
      <c r="E63" s="156">
        <f>D63+(D63*Inflación!E8)</f>
        <v>3461.12</v>
      </c>
      <c r="F63" s="156">
        <f>E63+(E63*Inflación!F8)</f>
        <v>3599.5648000000001</v>
      </c>
      <c r="G63" s="156">
        <f>F63+(F63*Inflación!G8)</f>
        <v>3743.5473919999999</v>
      </c>
      <c r="H63" s="156">
        <f>G63+(G63*Inflación!H8)</f>
        <v>3893.2892876800001</v>
      </c>
      <c r="I63" s="156">
        <f>H63+(H63*Inflación!I8)</f>
        <v>4049.0208591872001</v>
      </c>
      <c r="J63" s="156">
        <f>I63+(I63*Inflación!J8)</f>
        <v>4210.9816935546878</v>
      </c>
      <c r="K63" s="156">
        <f>J63+(J63*Inflación!K8)</f>
        <v>4379.4209612968752</v>
      </c>
      <c r="L63" s="156">
        <f>K63+(K63*Inflación!L8)</f>
        <v>4554.5977997487498</v>
      </c>
    </row>
    <row r="64" spans="1:12" x14ac:dyDescent="0.2">
      <c r="A64" s="24" t="s">
        <v>37</v>
      </c>
      <c r="C64" s="156">
        <f>C62*C63</f>
        <v>76800</v>
      </c>
      <c r="D64" s="156">
        <f>D62*D63</f>
        <v>79872</v>
      </c>
      <c r="E64" s="156">
        <f t="shared" ref="E64:L64" si="24">E62*E63</f>
        <v>83066.880000000005</v>
      </c>
      <c r="F64" s="156">
        <f t="shared" si="24"/>
        <v>86389.555200000003</v>
      </c>
      <c r="G64" s="156">
        <f t="shared" si="24"/>
        <v>89845.137407999995</v>
      </c>
      <c r="H64" s="156">
        <f t="shared" si="24"/>
        <v>93438.942904320007</v>
      </c>
      <c r="I64" s="156">
        <f t="shared" si="24"/>
        <v>97176.500620492807</v>
      </c>
      <c r="J64" s="156">
        <f t="shared" si="24"/>
        <v>101063.56064531251</v>
      </c>
      <c r="K64" s="156">
        <f t="shared" si="24"/>
        <v>105106.10307112501</v>
      </c>
      <c r="L64" s="156">
        <f t="shared" si="24"/>
        <v>109310.34719397</v>
      </c>
    </row>
    <row r="65" spans="1:12" x14ac:dyDescent="0.2">
      <c r="C65" s="156"/>
      <c r="D65" s="156"/>
      <c r="E65" s="156"/>
      <c r="F65" s="156"/>
      <c r="G65" s="156"/>
      <c r="H65" s="156"/>
      <c r="I65" s="156"/>
      <c r="J65" s="156"/>
      <c r="K65" s="156"/>
      <c r="L65" s="156"/>
    </row>
    <row r="66" spans="1:12" x14ac:dyDescent="0.2">
      <c r="A66" s="154" t="s">
        <v>45</v>
      </c>
    </row>
    <row r="67" spans="1:12" x14ac:dyDescent="0.2">
      <c r="A67" s="24" t="s">
        <v>46</v>
      </c>
      <c r="C67" s="155">
        <f>Condiciones!$B$43</f>
        <v>5000</v>
      </c>
      <c r="D67" s="156">
        <f>C67+(C67*Inflación!D8)</f>
        <v>5200</v>
      </c>
      <c r="E67" s="156">
        <f>D67+(D67*Inflación!E8)</f>
        <v>5408</v>
      </c>
      <c r="F67" s="156">
        <f>E67+(E67*Inflación!F8)</f>
        <v>5624.32</v>
      </c>
      <c r="G67" s="156">
        <f>F67+(F67*Inflación!G8)</f>
        <v>5849.2927999999993</v>
      </c>
      <c r="H67" s="156">
        <f>G67+(G67*Inflación!H8)</f>
        <v>6083.2645119999988</v>
      </c>
      <c r="I67" s="156">
        <f>H67+(H67*Inflación!I8)</f>
        <v>6326.595092479999</v>
      </c>
      <c r="J67" s="156">
        <f>I67+(I67*Inflación!J8)</f>
        <v>6579.6588961791986</v>
      </c>
      <c r="K67" s="156">
        <f>J67+(J67*Inflación!K8)</f>
        <v>6842.8452520263663</v>
      </c>
      <c r="L67" s="156">
        <f>K67+(K67*Inflación!L8)</f>
        <v>7116.5590621074207</v>
      </c>
    </row>
    <row r="68" spans="1:12" x14ac:dyDescent="0.2">
      <c r="A68" s="24" t="s">
        <v>47</v>
      </c>
      <c r="C68" s="155">
        <f>Condiciones!$B$44</f>
        <v>11000</v>
      </c>
      <c r="D68" s="156">
        <f>C68+(C68*Inflación!D8)</f>
        <v>11440</v>
      </c>
      <c r="E68" s="156">
        <f>D68+(D68*Inflación!E8)</f>
        <v>11897.6</v>
      </c>
      <c r="F68" s="156">
        <f>E68+(E68*Inflación!F8)</f>
        <v>12373.504000000001</v>
      </c>
      <c r="G68" s="156">
        <f>F68+(F68*Inflación!G8)</f>
        <v>12868.444160000001</v>
      </c>
      <c r="H68" s="156">
        <f>G68+(G68*Inflación!H8)</f>
        <v>13383.181926400001</v>
      </c>
      <c r="I68" s="156">
        <f>H68+(H68*Inflación!I8)</f>
        <v>13918.509203456</v>
      </c>
      <c r="J68" s="156">
        <f>I68+(I68*Inflación!J8)</f>
        <v>14475.24957159424</v>
      </c>
      <c r="K68" s="156">
        <f>J68+(J68*Inflación!K8)</f>
        <v>15054.259554458011</v>
      </c>
      <c r="L68" s="156">
        <f>K68+(K68*Inflación!L8)</f>
        <v>15656.429936636332</v>
      </c>
    </row>
    <row r="69" spans="1:12" x14ac:dyDescent="0.2">
      <c r="A69" s="24" t="s">
        <v>48</v>
      </c>
      <c r="C69" s="155">
        <f>Condiciones!$B$45</f>
        <v>2500</v>
      </c>
      <c r="D69" s="156">
        <f>C69+(C69*Inflación!D8)</f>
        <v>2600</v>
      </c>
      <c r="E69" s="156">
        <f>D69+(D69*Inflación!E8)</f>
        <v>2704</v>
      </c>
      <c r="F69" s="156">
        <f>E69+(E69*Inflación!F8)</f>
        <v>2812.16</v>
      </c>
      <c r="G69" s="156">
        <f>F69+(F69*Inflación!G8)</f>
        <v>2924.6463999999996</v>
      </c>
      <c r="H69" s="156">
        <f>G69+(G69*Inflación!H8)</f>
        <v>3041.6322559999994</v>
      </c>
      <c r="I69" s="156">
        <f>H69+(H69*Inflación!I8)</f>
        <v>3163.2975462399995</v>
      </c>
      <c r="J69" s="156">
        <f>I69+(I69*Inflación!J8)</f>
        <v>3289.8294480895993</v>
      </c>
      <c r="K69" s="156">
        <f>J69+(J69*Inflación!K8)</f>
        <v>3421.4226260131832</v>
      </c>
      <c r="L69" s="156">
        <f>K69+(K69*Inflación!L8)</f>
        <v>3558.2795310537103</v>
      </c>
    </row>
    <row r="70" spans="1:12" x14ac:dyDescent="0.2">
      <c r="A70" s="24" t="s">
        <v>51</v>
      </c>
      <c r="C70" s="155">
        <f>Condiciones!$B$46</f>
        <v>6500</v>
      </c>
      <c r="D70" s="156">
        <f>C70+(C70*Inflación!D8)</f>
        <v>6760</v>
      </c>
      <c r="E70" s="156">
        <f>D70+(D70*Inflación!E8)</f>
        <v>7030.4</v>
      </c>
      <c r="F70" s="156">
        <f>E70+(E70*Inflación!F8)</f>
        <v>7311.616</v>
      </c>
      <c r="G70" s="156">
        <f>F70+(F70*Inflación!G8)</f>
        <v>7604.0806400000001</v>
      </c>
      <c r="H70" s="156">
        <f>G70+(G70*Inflación!H8)</f>
        <v>7908.2438656000004</v>
      </c>
      <c r="I70" s="156">
        <f>H70+(H70*Inflación!I8)</f>
        <v>8224.5736202240005</v>
      </c>
      <c r="J70" s="156">
        <f>I70+(I70*Inflación!J8)</f>
        <v>8553.5565650329609</v>
      </c>
      <c r="K70" s="156">
        <f>J70+(J70*Inflación!K8)</f>
        <v>8895.69882763428</v>
      </c>
      <c r="L70" s="156">
        <f>K70+(K70*Inflación!L8)</f>
        <v>9251.5267807396503</v>
      </c>
    </row>
    <row r="71" spans="1:12" x14ac:dyDescent="0.2">
      <c r="A71" s="24" t="s">
        <v>56</v>
      </c>
      <c r="C71" s="155">
        <f>Condiciones!$B$47</f>
        <v>700</v>
      </c>
      <c r="D71" s="156">
        <f>C71+(C71*Inflación!D8)</f>
        <v>728</v>
      </c>
      <c r="E71" s="156">
        <f>D71+(D71*Inflación!E8)</f>
        <v>757.12</v>
      </c>
      <c r="F71" s="156">
        <f>E71+(E71*Inflación!F8)</f>
        <v>787.40480000000002</v>
      </c>
      <c r="G71" s="156">
        <f>F71+(F71*Inflación!G8)</f>
        <v>818.90099199999997</v>
      </c>
      <c r="H71" s="156">
        <f>G71+(G71*Inflación!H8)</f>
        <v>851.65703167999993</v>
      </c>
      <c r="I71" s="156">
        <f>H71+(H71*Inflación!I8)</f>
        <v>885.72331294719993</v>
      </c>
      <c r="J71" s="156">
        <f>I71+(I71*Inflación!J8)</f>
        <v>921.15224546508796</v>
      </c>
      <c r="K71" s="156">
        <f>J71+(J71*Inflación!K8)</f>
        <v>957.99833528369152</v>
      </c>
      <c r="L71" s="156">
        <f>K71+(K71*Inflación!L8)</f>
        <v>996.31826869503914</v>
      </c>
    </row>
    <row r="72" spans="1:12" x14ac:dyDescent="0.2">
      <c r="A72" s="24" t="s">
        <v>133</v>
      </c>
      <c r="C72" s="155">
        <f>Condiciones!$B$48</f>
        <v>700</v>
      </c>
      <c r="D72" s="156">
        <f>C72+(C72*Inflación!D8)</f>
        <v>728</v>
      </c>
      <c r="E72" s="156">
        <f>D72+(D72*Inflación!E8)</f>
        <v>757.12</v>
      </c>
      <c r="F72" s="156">
        <f>E72+(E72*Inflación!F8)</f>
        <v>787.40480000000002</v>
      </c>
      <c r="G72" s="156">
        <f>F72+(F72*Inflación!G8)</f>
        <v>818.90099199999997</v>
      </c>
      <c r="H72" s="156">
        <f>G72+(G72*Inflación!H8)</f>
        <v>851.65703167999993</v>
      </c>
      <c r="I72" s="156">
        <f>H72+(H72*Inflación!I8)</f>
        <v>885.72331294719993</v>
      </c>
      <c r="J72" s="156">
        <f>I72+(I72*Inflación!J8)</f>
        <v>921.15224546508796</v>
      </c>
      <c r="K72" s="156">
        <f>J72+(J72*Inflación!K8)</f>
        <v>957.99833528369152</v>
      </c>
      <c r="L72" s="156">
        <f>K72+(K72*Inflación!L8)</f>
        <v>996.31826869503914</v>
      </c>
    </row>
    <row r="73" spans="1:12" x14ac:dyDescent="0.2">
      <c r="A73" s="242" t="str">
        <f>Condiciones!A49</f>
        <v>Alquiler de Suelo</v>
      </c>
      <c r="C73" s="155">
        <f>Condiciones!B49*'Plan Inversiones'!D28*12</f>
        <v>0</v>
      </c>
      <c r="D73" s="156">
        <f>C73+(C73*Inflación!D8)</f>
        <v>0</v>
      </c>
      <c r="E73" s="156">
        <f>D73+(D73*Inflación!E8)</f>
        <v>0</v>
      </c>
      <c r="F73" s="156">
        <f>E73+(E73*Inflación!F8)</f>
        <v>0</v>
      </c>
      <c r="G73" s="156">
        <f>F73+(F73*Inflación!G8)</f>
        <v>0</v>
      </c>
      <c r="H73" s="156">
        <f>G73+(G73*Inflación!H8)</f>
        <v>0</v>
      </c>
      <c r="I73" s="156">
        <f>H73+(H73*Inflación!I8)</f>
        <v>0</v>
      </c>
      <c r="J73" s="156">
        <f>I73+(I73*Inflación!J8)</f>
        <v>0</v>
      </c>
      <c r="K73" s="156">
        <f>J73+(J73*Inflación!K8)</f>
        <v>0</v>
      </c>
      <c r="L73" s="156">
        <f>K73+(K73*Inflación!L8)</f>
        <v>0</v>
      </c>
    </row>
    <row r="74" spans="1:12" x14ac:dyDescent="0.2">
      <c r="C74" s="156">
        <f>SUM(C67:C73)</f>
        <v>26400</v>
      </c>
      <c r="D74" s="156">
        <f t="shared" ref="D74:L74" si="25">SUM(D67:D73)</f>
        <v>27456</v>
      </c>
      <c r="E74" s="156">
        <f t="shared" si="25"/>
        <v>28554.239999999998</v>
      </c>
      <c r="F74" s="156">
        <f t="shared" si="25"/>
        <v>29696.409599999999</v>
      </c>
      <c r="G74" s="156">
        <f t="shared" si="25"/>
        <v>30884.265983999998</v>
      </c>
      <c r="H74" s="156">
        <f t="shared" si="25"/>
        <v>32119.636623359998</v>
      </c>
      <c r="I74" s="156">
        <f t="shared" si="25"/>
        <v>33404.422088294399</v>
      </c>
      <c r="J74" s="156">
        <f t="shared" si="25"/>
        <v>34740.598971826184</v>
      </c>
      <c r="K74" s="156">
        <f t="shared" si="25"/>
        <v>36130.22293069923</v>
      </c>
      <c r="L74" s="156">
        <f t="shared" si="25"/>
        <v>37575.43184792719</v>
      </c>
    </row>
    <row r="76" spans="1:12" x14ac:dyDescent="0.2">
      <c r="A76" s="145" t="s">
        <v>676</v>
      </c>
      <c r="C76" s="157">
        <f>C15+C23+C28+C33+C38+C43+C48+C53+C59+C64+C74</f>
        <v>2160514</v>
      </c>
      <c r="D76" s="157">
        <f t="shared" ref="D76:L76" si="26">D15+D23+D28+D33+D38+D43+D48+D53+D59+D64+D74</f>
        <v>2246934.56</v>
      </c>
      <c r="E76" s="157">
        <f t="shared" si="26"/>
        <v>2336811.9424000001</v>
      </c>
      <c r="F76" s="157">
        <f t="shared" si="26"/>
        <v>2430284.4200959997</v>
      </c>
      <c r="G76" s="157">
        <f t="shared" si="26"/>
        <v>2527495.7968998402</v>
      </c>
      <c r="H76" s="157">
        <f t="shared" si="26"/>
        <v>2628595.6287758336</v>
      </c>
      <c r="I76" s="157">
        <f t="shared" si="26"/>
        <v>2733739.4539268673</v>
      </c>
      <c r="J76" s="157">
        <f t="shared" si="26"/>
        <v>2843089.0320839416</v>
      </c>
      <c r="K76" s="157">
        <f t="shared" si="26"/>
        <v>2956812.5933673</v>
      </c>
      <c r="L76" s="157">
        <f t="shared" si="26"/>
        <v>3075085.097101992</v>
      </c>
    </row>
    <row r="77" spans="1:12" x14ac:dyDescent="0.2">
      <c r="C77" s="156"/>
      <c r="D77" s="156"/>
      <c r="E77" s="156"/>
      <c r="F77" s="156"/>
      <c r="G77" s="156"/>
      <c r="H77" s="156"/>
      <c r="I77" s="156"/>
      <c r="J77" s="156"/>
      <c r="K77" s="156"/>
      <c r="L77" s="156"/>
    </row>
    <row r="78" spans="1:12" x14ac:dyDescent="0.2">
      <c r="A78" s="26" t="s">
        <v>553</v>
      </c>
      <c r="B78" s="26"/>
      <c r="C78" s="157">
        <f>+C48+C53+C64+C74</f>
        <v>229120</v>
      </c>
      <c r="D78" s="157">
        <f t="shared" ref="D78:L78" si="27">+D48+D53+D64+D74</f>
        <v>238284.79999999999</v>
      </c>
      <c r="E78" s="157">
        <f t="shared" si="27"/>
        <v>247816.19200000001</v>
      </c>
      <c r="F78" s="157">
        <f t="shared" si="27"/>
        <v>257728.83968000003</v>
      </c>
      <c r="G78" s="157">
        <f t="shared" si="27"/>
        <v>268037.99326719996</v>
      </c>
      <c r="H78" s="157">
        <f t="shared" si="27"/>
        <v>278759.51299788797</v>
      </c>
      <c r="I78" s="157">
        <f t="shared" si="27"/>
        <v>289909.89351780352</v>
      </c>
      <c r="J78" s="157">
        <f t="shared" si="27"/>
        <v>301506.2892585157</v>
      </c>
      <c r="K78" s="157">
        <f t="shared" si="27"/>
        <v>313566.54082885629</v>
      </c>
      <c r="L78" s="157">
        <f t="shared" si="27"/>
        <v>326109.20246201055</v>
      </c>
    </row>
    <row r="79" spans="1:12" x14ac:dyDescent="0.2">
      <c r="C79" s="156"/>
      <c r="D79" s="156"/>
      <c r="E79" s="156"/>
      <c r="F79" s="156"/>
      <c r="G79" s="156"/>
      <c r="H79" s="156"/>
      <c r="I79" s="156"/>
      <c r="J79" s="156"/>
      <c r="K79" s="156"/>
      <c r="L79" s="156"/>
    </row>
    <row r="80" spans="1:12" x14ac:dyDescent="0.2">
      <c r="C80" s="146"/>
      <c r="D80" s="146"/>
      <c r="E80" s="146"/>
      <c r="F80" s="146"/>
      <c r="G80" s="146"/>
      <c r="H80" s="146"/>
      <c r="I80" s="146"/>
      <c r="J80" s="146"/>
      <c r="K80" s="146"/>
      <c r="L80" s="146"/>
    </row>
    <row r="81" spans="1:12" hidden="1" x14ac:dyDescent="0.2">
      <c r="C81" s="156"/>
      <c r="D81" s="156"/>
      <c r="E81" s="156"/>
      <c r="F81" s="156"/>
      <c r="G81" s="156"/>
      <c r="H81" s="156"/>
      <c r="I81" s="156"/>
      <c r="J81" s="156"/>
      <c r="K81" s="156"/>
      <c r="L81" s="156"/>
    </row>
    <row r="82" spans="1:12" hidden="1" x14ac:dyDescent="0.2">
      <c r="A82" s="145"/>
      <c r="C82" s="157"/>
      <c r="D82" s="157"/>
      <c r="E82" s="157"/>
      <c r="F82" s="157"/>
      <c r="G82" s="157"/>
      <c r="H82" s="157"/>
      <c r="I82" s="157"/>
      <c r="J82" s="157"/>
      <c r="K82" s="157"/>
      <c r="L82" s="157"/>
    </row>
    <row r="83" spans="1:12" hidden="1" x14ac:dyDescent="0.2">
      <c r="A83" s="145"/>
      <c r="C83" s="157"/>
      <c r="D83" s="157"/>
      <c r="E83" s="157"/>
      <c r="F83" s="157"/>
      <c r="G83" s="157"/>
      <c r="H83" s="157"/>
      <c r="I83" s="157"/>
      <c r="J83" s="157"/>
      <c r="K83" s="157"/>
      <c r="L83" s="157"/>
    </row>
    <row r="84" spans="1:12" hidden="1" x14ac:dyDescent="0.2">
      <c r="A84" s="26"/>
      <c r="B84" s="242"/>
      <c r="C84" s="157"/>
      <c r="D84" s="157"/>
      <c r="E84" s="157"/>
      <c r="F84" s="157"/>
      <c r="G84" s="157"/>
      <c r="H84" s="157"/>
      <c r="I84" s="157"/>
      <c r="J84" s="157"/>
      <c r="K84" s="157"/>
      <c r="L84" s="157"/>
    </row>
    <row r="85" spans="1:12" hidden="1" x14ac:dyDescent="0.2">
      <c r="C85" s="146"/>
      <c r="D85" s="146"/>
      <c r="E85" s="146"/>
      <c r="F85" s="146"/>
      <c r="G85" s="146"/>
      <c r="H85" s="146"/>
      <c r="I85" s="146"/>
      <c r="J85" s="146"/>
      <c r="K85" s="146"/>
      <c r="L85" s="146"/>
    </row>
    <row r="86" spans="1:12" hidden="1" x14ac:dyDescent="0.2">
      <c r="A86" s="26"/>
      <c r="C86" s="157"/>
      <c r="D86" s="157"/>
      <c r="E86" s="157"/>
      <c r="F86" s="157"/>
      <c r="G86" s="157"/>
      <c r="H86" s="157"/>
      <c r="I86" s="157"/>
      <c r="J86" s="157"/>
      <c r="K86" s="157"/>
      <c r="L86" s="157"/>
    </row>
    <row r="87" spans="1:12" x14ac:dyDescent="0.2">
      <c r="C87" s="146"/>
      <c r="D87" s="146"/>
      <c r="E87" s="146"/>
      <c r="F87" s="146"/>
      <c r="G87" s="146"/>
      <c r="H87" s="146"/>
      <c r="I87" s="146"/>
      <c r="J87" s="146"/>
      <c r="K87" s="146"/>
      <c r="L87" s="146"/>
    </row>
    <row r="88" spans="1:12" x14ac:dyDescent="0.2">
      <c r="A88" s="145" t="str">
        <f>'Plan Inversiones'!A32</f>
        <v>Central:</v>
      </c>
    </row>
    <row r="90" spans="1:12" x14ac:dyDescent="0.2">
      <c r="A90" s="154" t="s">
        <v>160</v>
      </c>
      <c r="C90" s="25"/>
      <c r="D90" s="25"/>
      <c r="E90" s="25"/>
      <c r="F90" s="25"/>
      <c r="G90" s="25"/>
      <c r="H90" s="25"/>
      <c r="I90" s="25"/>
      <c r="J90" s="25"/>
      <c r="K90" s="25"/>
      <c r="L90" s="25"/>
    </row>
    <row r="91" spans="1:12" x14ac:dyDescent="0.2">
      <c r="A91" s="24" t="s">
        <v>41</v>
      </c>
      <c r="B91" s="179"/>
      <c r="C91" s="155">
        <v>1</v>
      </c>
      <c r="D91" s="156">
        <f>+C91</f>
        <v>1</v>
      </c>
      <c r="E91" s="156">
        <f t="shared" ref="E91:L91" si="28">+D91</f>
        <v>1</v>
      </c>
      <c r="F91" s="156">
        <f t="shared" si="28"/>
        <v>1</v>
      </c>
      <c r="G91" s="156">
        <f t="shared" si="28"/>
        <v>1</v>
      </c>
      <c r="H91" s="156">
        <f t="shared" si="28"/>
        <v>1</v>
      </c>
      <c r="I91" s="156">
        <f t="shared" si="28"/>
        <v>1</v>
      </c>
      <c r="J91" s="156">
        <f t="shared" si="28"/>
        <v>1</v>
      </c>
      <c r="K91" s="156">
        <f t="shared" si="28"/>
        <v>1</v>
      </c>
      <c r="L91" s="156">
        <f t="shared" si="28"/>
        <v>1</v>
      </c>
    </row>
    <row r="92" spans="1:12" x14ac:dyDescent="0.2">
      <c r="A92" s="24" t="s">
        <v>35</v>
      </c>
      <c r="C92" s="155">
        <f>Condiciones!B54</f>
        <v>3000</v>
      </c>
      <c r="D92" s="156">
        <f>C92+(C92*Inflación!D8)</f>
        <v>3120</v>
      </c>
      <c r="E92" s="156">
        <f>D92+(D92*Inflación!E8)</f>
        <v>3244.8</v>
      </c>
      <c r="F92" s="156">
        <f>E92+(E92*Inflación!F8)</f>
        <v>3374.5920000000001</v>
      </c>
      <c r="G92" s="156">
        <f>F92+(F92*Inflación!G8)</f>
        <v>3509.5756799999999</v>
      </c>
      <c r="H92" s="156">
        <f>G92+(G92*Inflación!H8)</f>
        <v>3649.9587071999999</v>
      </c>
      <c r="I92" s="156">
        <f>H92+(H92*Inflación!I8)</f>
        <v>3795.9570554880002</v>
      </c>
      <c r="J92" s="156">
        <f>I92+(I92*Inflación!J8)</f>
        <v>3947.79533770752</v>
      </c>
      <c r="K92" s="156">
        <f>J92+(J92*Inflación!K8)</f>
        <v>4105.7071512158209</v>
      </c>
      <c r="L92" s="156">
        <f>K92+(K92*Inflación!L8)</f>
        <v>4269.9354372644539</v>
      </c>
    </row>
    <row r="93" spans="1:12" x14ac:dyDescent="0.2">
      <c r="A93" s="24" t="s">
        <v>37</v>
      </c>
      <c r="C93" s="156">
        <f>C91*C92*12</f>
        <v>36000</v>
      </c>
      <c r="D93" s="156">
        <f t="shared" ref="D93:L93" si="29">D91*D92*12</f>
        <v>37440</v>
      </c>
      <c r="E93" s="156">
        <f t="shared" si="29"/>
        <v>38937.600000000006</v>
      </c>
      <c r="F93" s="156">
        <f t="shared" si="29"/>
        <v>40495.103999999999</v>
      </c>
      <c r="G93" s="156">
        <f t="shared" si="29"/>
        <v>42114.908159999999</v>
      </c>
      <c r="H93" s="156">
        <f t="shared" si="29"/>
        <v>43799.504486400001</v>
      </c>
      <c r="I93" s="156">
        <f t="shared" si="29"/>
        <v>45551.484665855998</v>
      </c>
      <c r="J93" s="156">
        <f t="shared" si="29"/>
        <v>47373.544052490237</v>
      </c>
      <c r="K93" s="156">
        <f t="shared" si="29"/>
        <v>49268.485814589847</v>
      </c>
      <c r="L93" s="156">
        <f t="shared" si="29"/>
        <v>51239.225247173446</v>
      </c>
    </row>
    <row r="94" spans="1:12" x14ac:dyDescent="0.2">
      <c r="C94" s="156"/>
      <c r="D94" s="156"/>
      <c r="E94" s="156"/>
      <c r="F94" s="156"/>
      <c r="G94" s="156"/>
      <c r="H94" s="156"/>
      <c r="I94" s="156"/>
      <c r="J94" s="156"/>
      <c r="K94" s="156"/>
      <c r="L94" s="156"/>
    </row>
    <row r="95" spans="1:12" x14ac:dyDescent="0.2">
      <c r="A95" s="154" t="s">
        <v>163</v>
      </c>
      <c r="C95" s="25"/>
      <c r="D95" s="25"/>
      <c r="E95" s="25"/>
      <c r="F95" s="25"/>
      <c r="G95" s="25"/>
      <c r="H95" s="25"/>
      <c r="I95" s="25"/>
      <c r="J95" s="25"/>
      <c r="K95" s="25"/>
      <c r="L95" s="25"/>
    </row>
    <row r="96" spans="1:12" x14ac:dyDescent="0.2">
      <c r="A96" s="24" t="s">
        <v>41</v>
      </c>
      <c r="B96" s="179"/>
      <c r="C96" s="155">
        <v>1</v>
      </c>
      <c r="D96" s="156">
        <f>+C96</f>
        <v>1</v>
      </c>
      <c r="E96" s="156">
        <f t="shared" ref="E96:L96" si="30">+D96</f>
        <v>1</v>
      </c>
      <c r="F96" s="156">
        <f t="shared" si="30"/>
        <v>1</v>
      </c>
      <c r="G96" s="156">
        <f t="shared" si="30"/>
        <v>1</v>
      </c>
      <c r="H96" s="156">
        <f t="shared" si="30"/>
        <v>1</v>
      </c>
      <c r="I96" s="156">
        <f t="shared" si="30"/>
        <v>1</v>
      </c>
      <c r="J96" s="156">
        <f t="shared" si="30"/>
        <v>1</v>
      </c>
      <c r="K96" s="156">
        <f t="shared" si="30"/>
        <v>1</v>
      </c>
      <c r="L96" s="156">
        <f t="shared" si="30"/>
        <v>1</v>
      </c>
    </row>
    <row r="97" spans="1:12" x14ac:dyDescent="0.2">
      <c r="A97" s="24" t="s">
        <v>35</v>
      </c>
      <c r="C97" s="155">
        <f>Condiciones!B55</f>
        <v>1500</v>
      </c>
      <c r="D97" s="156">
        <f>C97+(C97*Inflación!D8)</f>
        <v>1560</v>
      </c>
      <c r="E97" s="156">
        <f>D97+(D97*Inflación!E8)</f>
        <v>1622.4</v>
      </c>
      <c r="F97" s="156">
        <f>E97+(E97*Inflación!F8)</f>
        <v>1687.296</v>
      </c>
      <c r="G97" s="156">
        <f>F97+(F97*Inflación!G8)</f>
        <v>1754.78784</v>
      </c>
      <c r="H97" s="156">
        <f>G97+(G97*Inflación!H8)</f>
        <v>1824.9793536</v>
      </c>
      <c r="I97" s="156">
        <f>H97+(H97*Inflación!I8)</f>
        <v>1897.9785277440001</v>
      </c>
      <c r="J97" s="156">
        <f>I97+(I97*Inflación!J8)</f>
        <v>1973.89766885376</v>
      </c>
      <c r="K97" s="156">
        <f>J97+(J97*Inflación!K8)</f>
        <v>2052.8535756079104</v>
      </c>
      <c r="L97" s="156">
        <f>K97+(K97*Inflación!L8)</f>
        <v>2134.9677186322269</v>
      </c>
    </row>
    <row r="98" spans="1:12" x14ac:dyDescent="0.2">
      <c r="A98" s="24" t="s">
        <v>37</v>
      </c>
      <c r="C98" s="156">
        <f>C96*C97*12</f>
        <v>18000</v>
      </c>
      <c r="D98" s="156">
        <f t="shared" ref="D98:L98" si="31">D96*D97*12</f>
        <v>18720</v>
      </c>
      <c r="E98" s="156">
        <f t="shared" si="31"/>
        <v>19468.800000000003</v>
      </c>
      <c r="F98" s="156">
        <f t="shared" si="31"/>
        <v>20247.552</v>
      </c>
      <c r="G98" s="156">
        <f t="shared" si="31"/>
        <v>21057.45408</v>
      </c>
      <c r="H98" s="156">
        <f t="shared" si="31"/>
        <v>21899.752243200001</v>
      </c>
      <c r="I98" s="156">
        <f t="shared" si="31"/>
        <v>22775.742332927999</v>
      </c>
      <c r="J98" s="156">
        <f t="shared" si="31"/>
        <v>23686.772026245118</v>
      </c>
      <c r="K98" s="156">
        <f t="shared" si="31"/>
        <v>24634.242907294923</v>
      </c>
      <c r="L98" s="156">
        <f t="shared" si="31"/>
        <v>25619.612623586723</v>
      </c>
    </row>
    <row r="99" spans="1:12" x14ac:dyDescent="0.2">
      <c r="C99" s="156"/>
      <c r="D99" s="156"/>
      <c r="E99" s="156"/>
      <c r="F99" s="156"/>
      <c r="G99" s="156"/>
      <c r="H99" s="156"/>
      <c r="I99" s="156"/>
      <c r="J99" s="156"/>
      <c r="K99" s="156"/>
      <c r="L99" s="156"/>
    </row>
    <row r="100" spans="1:12" x14ac:dyDescent="0.2">
      <c r="A100" s="154" t="s">
        <v>164</v>
      </c>
      <c r="C100" s="25"/>
      <c r="D100" s="25"/>
      <c r="E100" s="25"/>
      <c r="F100" s="25"/>
      <c r="G100" s="25"/>
      <c r="H100" s="25"/>
      <c r="I100" s="25"/>
      <c r="J100" s="25"/>
      <c r="K100" s="25"/>
      <c r="L100" s="25"/>
    </row>
    <row r="101" spans="1:12" x14ac:dyDescent="0.2">
      <c r="A101" s="24" t="s">
        <v>41</v>
      </c>
      <c r="B101" s="179"/>
      <c r="C101" s="155">
        <v>1</v>
      </c>
      <c r="D101" s="156">
        <f>+C101</f>
        <v>1</v>
      </c>
      <c r="E101" s="156">
        <f t="shared" ref="E101:L101" si="32">+D101</f>
        <v>1</v>
      </c>
      <c r="F101" s="156">
        <f t="shared" si="32"/>
        <v>1</v>
      </c>
      <c r="G101" s="156">
        <f t="shared" si="32"/>
        <v>1</v>
      </c>
      <c r="H101" s="156">
        <f t="shared" si="32"/>
        <v>1</v>
      </c>
      <c r="I101" s="156">
        <f t="shared" si="32"/>
        <v>1</v>
      </c>
      <c r="J101" s="156">
        <f t="shared" si="32"/>
        <v>1</v>
      </c>
      <c r="K101" s="156">
        <f t="shared" si="32"/>
        <v>1</v>
      </c>
      <c r="L101" s="156">
        <f t="shared" si="32"/>
        <v>1</v>
      </c>
    </row>
    <row r="102" spans="1:12" x14ac:dyDescent="0.2">
      <c r="A102" s="24" t="s">
        <v>35</v>
      </c>
      <c r="C102" s="155">
        <f>Condiciones!B56</f>
        <v>2500</v>
      </c>
      <c r="D102" s="156">
        <f>C102+(C102*Inflación!D8)</f>
        <v>2600</v>
      </c>
      <c r="E102" s="156">
        <f>D102+(D102*Inflación!E8)</f>
        <v>2704</v>
      </c>
      <c r="F102" s="156">
        <f>E102+(E102*Inflación!F8)</f>
        <v>2812.16</v>
      </c>
      <c r="G102" s="156">
        <f>F102+(F102*Inflación!G8)</f>
        <v>2924.6463999999996</v>
      </c>
      <c r="H102" s="156">
        <f>G102+(G102*Inflación!H8)</f>
        <v>3041.6322559999994</v>
      </c>
      <c r="I102" s="156">
        <f>H102+(H102*Inflación!I8)</f>
        <v>3163.2975462399995</v>
      </c>
      <c r="J102" s="156">
        <f>I102+(I102*Inflación!J8)</f>
        <v>3289.8294480895993</v>
      </c>
      <c r="K102" s="156">
        <f>J102+(J102*Inflación!K8)</f>
        <v>3421.4226260131832</v>
      </c>
      <c r="L102" s="156">
        <f>K102+(K102*Inflación!L8)</f>
        <v>3558.2795310537103</v>
      </c>
    </row>
    <row r="103" spans="1:12" x14ac:dyDescent="0.2">
      <c r="A103" s="24" t="s">
        <v>37</v>
      </c>
      <c r="C103" s="156">
        <f>C101*C102*12</f>
        <v>30000</v>
      </c>
      <c r="D103" s="156">
        <f t="shared" ref="D103:L103" si="33">D101*D102*12</f>
        <v>31200</v>
      </c>
      <c r="E103" s="156">
        <f t="shared" si="33"/>
        <v>32448</v>
      </c>
      <c r="F103" s="156">
        <f t="shared" si="33"/>
        <v>33745.919999999998</v>
      </c>
      <c r="G103" s="156">
        <f t="shared" si="33"/>
        <v>35095.756799999996</v>
      </c>
      <c r="H103" s="156">
        <f t="shared" si="33"/>
        <v>36499.587071999995</v>
      </c>
      <c r="I103" s="156">
        <f t="shared" si="33"/>
        <v>37959.570554879996</v>
      </c>
      <c r="J103" s="156">
        <f t="shared" si="33"/>
        <v>39477.953377075188</v>
      </c>
      <c r="K103" s="156">
        <f t="shared" si="33"/>
        <v>41057.071512158196</v>
      </c>
      <c r="L103" s="156">
        <f t="shared" si="33"/>
        <v>42699.35437264452</v>
      </c>
    </row>
    <row r="104" spans="1:12" x14ac:dyDescent="0.2">
      <c r="C104" s="156"/>
      <c r="D104" s="156"/>
      <c r="E104" s="156"/>
      <c r="F104" s="156"/>
      <c r="G104" s="156"/>
      <c r="H104" s="156"/>
      <c r="I104" s="156"/>
      <c r="J104" s="156"/>
      <c r="K104" s="156"/>
      <c r="L104" s="156"/>
    </row>
    <row r="105" spans="1:12" x14ac:dyDescent="0.2">
      <c r="A105" s="154" t="s">
        <v>57</v>
      </c>
      <c r="C105" s="25"/>
      <c r="D105" s="25"/>
      <c r="E105" s="25"/>
      <c r="F105" s="25"/>
      <c r="G105" s="25"/>
      <c r="H105" s="25"/>
      <c r="I105" s="25"/>
      <c r="J105" s="25"/>
      <c r="K105" s="25"/>
      <c r="L105" s="25"/>
    </row>
    <row r="106" spans="1:12" x14ac:dyDescent="0.2">
      <c r="A106" s="24" t="s">
        <v>41</v>
      </c>
      <c r="B106" s="179"/>
      <c r="C106" s="155">
        <v>1</v>
      </c>
      <c r="D106" s="156">
        <f>+C106</f>
        <v>1</v>
      </c>
      <c r="E106" s="156">
        <f t="shared" ref="E106:L106" si="34">+D106</f>
        <v>1</v>
      </c>
      <c r="F106" s="156">
        <f t="shared" si="34"/>
        <v>1</v>
      </c>
      <c r="G106" s="156">
        <f t="shared" si="34"/>
        <v>1</v>
      </c>
      <c r="H106" s="156">
        <f t="shared" si="34"/>
        <v>1</v>
      </c>
      <c r="I106" s="156">
        <f t="shared" si="34"/>
        <v>1</v>
      </c>
      <c r="J106" s="156">
        <f t="shared" si="34"/>
        <v>1</v>
      </c>
      <c r="K106" s="156">
        <f t="shared" si="34"/>
        <v>1</v>
      </c>
      <c r="L106" s="156">
        <f t="shared" si="34"/>
        <v>1</v>
      </c>
    </row>
    <row r="107" spans="1:12" x14ac:dyDescent="0.2">
      <c r="A107" s="24" t="s">
        <v>35</v>
      </c>
      <c r="C107" s="155">
        <f>Condiciones!B57</f>
        <v>1500</v>
      </c>
      <c r="D107" s="156">
        <f>C107+(C107*Inflación!D8)</f>
        <v>1560</v>
      </c>
      <c r="E107" s="156">
        <f>D107+(D107*Inflación!E8)</f>
        <v>1622.4</v>
      </c>
      <c r="F107" s="156">
        <f>E107+(E107*Inflación!F8)</f>
        <v>1687.296</v>
      </c>
      <c r="G107" s="156">
        <f>F107+(F107*Inflación!G8)</f>
        <v>1754.78784</v>
      </c>
      <c r="H107" s="156">
        <f>G107+(G107*Inflación!H8)</f>
        <v>1824.9793536</v>
      </c>
      <c r="I107" s="156">
        <f>H107+(H107*Inflación!I8)</f>
        <v>1897.9785277440001</v>
      </c>
      <c r="J107" s="156">
        <f>I107+(I107*Inflación!J8)</f>
        <v>1973.89766885376</v>
      </c>
      <c r="K107" s="156">
        <f>J107+(J107*Inflación!K8)</f>
        <v>2052.8535756079104</v>
      </c>
      <c r="L107" s="156">
        <f>K107+(K107*Inflación!L8)</f>
        <v>2134.9677186322269</v>
      </c>
    </row>
    <row r="108" spans="1:12" x14ac:dyDescent="0.2">
      <c r="A108" s="24" t="s">
        <v>37</v>
      </c>
      <c r="C108" s="156">
        <f>C106*C107*12</f>
        <v>18000</v>
      </c>
      <c r="D108" s="156">
        <f t="shared" ref="D108:L108" si="35">D106*D107*12</f>
        <v>18720</v>
      </c>
      <c r="E108" s="156">
        <f t="shared" si="35"/>
        <v>19468.800000000003</v>
      </c>
      <c r="F108" s="156">
        <f t="shared" si="35"/>
        <v>20247.552</v>
      </c>
      <c r="G108" s="156">
        <f t="shared" si="35"/>
        <v>21057.45408</v>
      </c>
      <c r="H108" s="156">
        <f t="shared" si="35"/>
        <v>21899.752243200001</v>
      </c>
      <c r="I108" s="156">
        <f t="shared" si="35"/>
        <v>22775.742332927999</v>
      </c>
      <c r="J108" s="156">
        <f t="shared" si="35"/>
        <v>23686.772026245118</v>
      </c>
      <c r="K108" s="156">
        <f t="shared" si="35"/>
        <v>24634.242907294923</v>
      </c>
      <c r="L108" s="156">
        <f t="shared" si="35"/>
        <v>25619.612623586723</v>
      </c>
    </row>
    <row r="109" spans="1:12" x14ac:dyDescent="0.2">
      <c r="C109" s="156"/>
      <c r="D109" s="156"/>
      <c r="E109" s="156"/>
      <c r="F109" s="156"/>
      <c r="G109" s="156"/>
      <c r="H109" s="156"/>
      <c r="I109" s="156"/>
      <c r="J109" s="156"/>
      <c r="K109" s="156"/>
      <c r="L109" s="156"/>
    </row>
    <row r="110" spans="1:12" x14ac:dyDescent="0.2">
      <c r="A110" s="154" t="s">
        <v>200</v>
      </c>
      <c r="C110" s="25"/>
      <c r="D110" s="25"/>
      <c r="E110" s="25"/>
      <c r="F110" s="25"/>
      <c r="G110" s="25"/>
      <c r="H110" s="25"/>
      <c r="I110" s="25"/>
      <c r="J110" s="25"/>
      <c r="K110" s="25"/>
      <c r="L110" s="25"/>
    </row>
    <row r="111" spans="1:12" x14ac:dyDescent="0.2">
      <c r="A111" s="24" t="s">
        <v>41</v>
      </c>
      <c r="B111" s="179"/>
      <c r="C111" s="155">
        <v>3</v>
      </c>
      <c r="D111" s="156">
        <f>+C111</f>
        <v>3</v>
      </c>
      <c r="E111" s="156">
        <f t="shared" ref="E111:L111" si="36">+D111</f>
        <v>3</v>
      </c>
      <c r="F111" s="156">
        <f t="shared" si="36"/>
        <v>3</v>
      </c>
      <c r="G111" s="156">
        <f t="shared" si="36"/>
        <v>3</v>
      </c>
      <c r="H111" s="156">
        <f t="shared" si="36"/>
        <v>3</v>
      </c>
      <c r="I111" s="156">
        <f t="shared" si="36"/>
        <v>3</v>
      </c>
      <c r="J111" s="156">
        <f t="shared" si="36"/>
        <v>3</v>
      </c>
      <c r="K111" s="156">
        <f t="shared" si="36"/>
        <v>3</v>
      </c>
      <c r="L111" s="156">
        <f t="shared" si="36"/>
        <v>3</v>
      </c>
    </row>
    <row r="112" spans="1:12" x14ac:dyDescent="0.2">
      <c r="A112" s="24" t="s">
        <v>35</v>
      </c>
      <c r="C112" s="155">
        <f>Condiciones!B58</f>
        <v>950</v>
      </c>
      <c r="D112" s="156">
        <f>C112+(C112*Inflación!D8)</f>
        <v>988</v>
      </c>
      <c r="E112" s="156">
        <f>D112+(D112*Inflación!E8)</f>
        <v>1027.52</v>
      </c>
      <c r="F112" s="156">
        <f>E112+(E112*Inflación!F8)</f>
        <v>1068.6207999999999</v>
      </c>
      <c r="G112" s="156">
        <f>F112+(F112*Inflación!G8)</f>
        <v>1111.365632</v>
      </c>
      <c r="H112" s="156">
        <f>G112+(G112*Inflación!H8)</f>
        <v>1155.8202572800001</v>
      </c>
      <c r="I112" s="156">
        <f>H112+(H112*Inflación!I8)</f>
        <v>1202.0530675712</v>
      </c>
      <c r="J112" s="156">
        <f>I112+(I112*Inflación!J8)</f>
        <v>1250.135190274048</v>
      </c>
      <c r="K112" s="156">
        <f>J112+(J112*Inflación!K8)</f>
        <v>1300.1405978850098</v>
      </c>
      <c r="L112" s="156">
        <f>K112+(K112*Inflación!L8)</f>
        <v>1352.1462218004101</v>
      </c>
    </row>
    <row r="113" spans="1:12" x14ac:dyDescent="0.2">
      <c r="A113" s="24" t="s">
        <v>37</v>
      </c>
      <c r="C113" s="156">
        <f>C111*C112*12</f>
        <v>34200</v>
      </c>
      <c r="D113" s="156">
        <f t="shared" ref="D113:L113" si="37">D111*D112*12</f>
        <v>35568</v>
      </c>
      <c r="E113" s="156">
        <f t="shared" si="37"/>
        <v>36990.720000000001</v>
      </c>
      <c r="F113" s="156">
        <f t="shared" si="37"/>
        <v>38470.3488</v>
      </c>
      <c r="G113" s="156">
        <f t="shared" si="37"/>
        <v>40009.162752000004</v>
      </c>
      <c r="H113" s="156">
        <f t="shared" si="37"/>
        <v>41609.529262080003</v>
      </c>
      <c r="I113" s="156">
        <f t="shared" si="37"/>
        <v>43273.910432563207</v>
      </c>
      <c r="J113" s="156">
        <f t="shared" si="37"/>
        <v>45004.866849865728</v>
      </c>
      <c r="K113" s="156">
        <f t="shared" si="37"/>
        <v>46805.06152386035</v>
      </c>
      <c r="L113" s="156">
        <f t="shared" si="37"/>
        <v>48677.263984814766</v>
      </c>
    </row>
    <row r="114" spans="1:12" x14ac:dyDescent="0.2">
      <c r="C114" s="156"/>
      <c r="D114" s="156"/>
      <c r="E114" s="156"/>
      <c r="F114" s="156"/>
      <c r="G114" s="156"/>
      <c r="H114" s="156"/>
      <c r="I114" s="156"/>
      <c r="J114" s="156"/>
      <c r="K114" s="156"/>
      <c r="L114" s="156"/>
    </row>
    <row r="115" spans="1:12" x14ac:dyDescent="0.2">
      <c r="A115" s="154" t="s">
        <v>201</v>
      </c>
      <c r="C115" s="25"/>
      <c r="D115" s="25"/>
      <c r="E115" s="25"/>
      <c r="F115" s="25"/>
      <c r="G115" s="25"/>
      <c r="H115" s="25"/>
      <c r="I115" s="25"/>
      <c r="J115" s="25"/>
      <c r="K115" s="25"/>
      <c r="L115" s="25"/>
    </row>
    <row r="116" spans="1:12" x14ac:dyDescent="0.2">
      <c r="A116" s="24" t="s">
        <v>41</v>
      </c>
      <c r="B116" s="179"/>
      <c r="C116" s="155">
        <v>1</v>
      </c>
      <c r="D116" s="156">
        <f>+C116</f>
        <v>1</v>
      </c>
      <c r="E116" s="156">
        <f t="shared" ref="E116:L116" si="38">+D116</f>
        <v>1</v>
      </c>
      <c r="F116" s="156">
        <f t="shared" si="38"/>
        <v>1</v>
      </c>
      <c r="G116" s="156">
        <f t="shared" si="38"/>
        <v>1</v>
      </c>
      <c r="H116" s="156">
        <f t="shared" si="38"/>
        <v>1</v>
      </c>
      <c r="I116" s="156">
        <f t="shared" si="38"/>
        <v>1</v>
      </c>
      <c r="J116" s="156">
        <f t="shared" si="38"/>
        <v>1</v>
      </c>
      <c r="K116" s="156">
        <f t="shared" si="38"/>
        <v>1</v>
      </c>
      <c r="L116" s="156">
        <f t="shared" si="38"/>
        <v>1</v>
      </c>
    </row>
    <row r="117" spans="1:12" x14ac:dyDescent="0.2">
      <c r="A117" s="24" t="s">
        <v>35</v>
      </c>
      <c r="C117" s="155">
        <f>Condiciones!B59</f>
        <v>2500</v>
      </c>
      <c r="D117" s="156">
        <f>C117+(C117*Inflación!D8)</f>
        <v>2600</v>
      </c>
      <c r="E117" s="156">
        <f>D117+(D117*Inflación!E8)</f>
        <v>2704</v>
      </c>
      <c r="F117" s="156">
        <f>E117+(E117*Inflación!F8)</f>
        <v>2812.16</v>
      </c>
      <c r="G117" s="156">
        <f>F117+(F117*Inflación!G8)</f>
        <v>2924.6463999999996</v>
      </c>
      <c r="H117" s="156">
        <f>G117+(G117*Inflación!H8)</f>
        <v>3041.6322559999994</v>
      </c>
      <c r="I117" s="156">
        <f>H117+(H117*Inflación!I8)</f>
        <v>3163.2975462399995</v>
      </c>
      <c r="J117" s="156">
        <f>I117+(I117*Inflación!J8)</f>
        <v>3289.8294480895993</v>
      </c>
      <c r="K117" s="156">
        <f>J117+(J117*Inflación!K8)</f>
        <v>3421.4226260131832</v>
      </c>
      <c r="L117" s="156">
        <f>K117+(K117*Inflación!L8)</f>
        <v>3558.2795310537103</v>
      </c>
    </row>
    <row r="118" spans="1:12" x14ac:dyDescent="0.2">
      <c r="A118" s="24" t="s">
        <v>37</v>
      </c>
      <c r="C118" s="156">
        <f>C116*C117*12</f>
        <v>30000</v>
      </c>
      <c r="D118" s="156">
        <f t="shared" ref="D118:L118" si="39">D116*D117*12</f>
        <v>31200</v>
      </c>
      <c r="E118" s="156">
        <f t="shared" si="39"/>
        <v>32448</v>
      </c>
      <c r="F118" s="156">
        <f t="shared" si="39"/>
        <v>33745.919999999998</v>
      </c>
      <c r="G118" s="156">
        <f t="shared" si="39"/>
        <v>35095.756799999996</v>
      </c>
      <c r="H118" s="156">
        <f t="shared" si="39"/>
        <v>36499.587071999995</v>
      </c>
      <c r="I118" s="156">
        <f t="shared" si="39"/>
        <v>37959.570554879996</v>
      </c>
      <c r="J118" s="156">
        <f t="shared" si="39"/>
        <v>39477.953377075188</v>
      </c>
      <c r="K118" s="156">
        <f t="shared" si="39"/>
        <v>41057.071512158196</v>
      </c>
      <c r="L118" s="156">
        <f t="shared" si="39"/>
        <v>42699.35437264452</v>
      </c>
    </row>
    <row r="119" spans="1:12" x14ac:dyDescent="0.2">
      <c r="C119" s="156"/>
      <c r="D119" s="156"/>
      <c r="E119" s="156"/>
      <c r="F119" s="156"/>
      <c r="G119" s="156"/>
      <c r="H119" s="156"/>
      <c r="I119" s="156"/>
      <c r="J119" s="156"/>
      <c r="K119" s="156"/>
      <c r="L119" s="156"/>
    </row>
    <row r="120" spans="1:12" x14ac:dyDescent="0.2">
      <c r="A120" s="154" t="s">
        <v>165</v>
      </c>
      <c r="C120" s="25"/>
      <c r="D120" s="25"/>
      <c r="E120" s="25"/>
      <c r="F120" s="25"/>
      <c r="G120" s="25"/>
      <c r="H120" s="25"/>
      <c r="I120" s="25"/>
      <c r="J120" s="25"/>
      <c r="K120" s="25"/>
      <c r="L120" s="25"/>
    </row>
    <row r="121" spans="1:12" x14ac:dyDescent="0.2">
      <c r="A121" s="24" t="s">
        <v>41</v>
      </c>
      <c r="B121" s="179"/>
      <c r="C121" s="155">
        <v>1</v>
      </c>
      <c r="D121" s="156">
        <f>+C121</f>
        <v>1</v>
      </c>
      <c r="E121" s="156">
        <f t="shared" ref="E121:L121" si="40">+D121</f>
        <v>1</v>
      </c>
      <c r="F121" s="156">
        <f t="shared" si="40"/>
        <v>1</v>
      </c>
      <c r="G121" s="156">
        <f t="shared" si="40"/>
        <v>1</v>
      </c>
      <c r="H121" s="156">
        <f t="shared" si="40"/>
        <v>1</v>
      </c>
      <c r="I121" s="156">
        <f t="shared" si="40"/>
        <v>1</v>
      </c>
      <c r="J121" s="156">
        <f t="shared" si="40"/>
        <v>1</v>
      </c>
      <c r="K121" s="156">
        <f t="shared" si="40"/>
        <v>1</v>
      </c>
      <c r="L121" s="156">
        <f t="shared" si="40"/>
        <v>1</v>
      </c>
    </row>
    <row r="122" spans="1:12" x14ac:dyDescent="0.2">
      <c r="A122" s="24" t="s">
        <v>35</v>
      </c>
      <c r="C122" s="155">
        <f>Condiciones!B60</f>
        <v>2500</v>
      </c>
      <c r="D122" s="156">
        <f>C122+(C122*Inflación!D8)</f>
        <v>2600</v>
      </c>
      <c r="E122" s="156">
        <f>D122+(D122*Inflación!E8)</f>
        <v>2704</v>
      </c>
      <c r="F122" s="156">
        <f>E122+(E122*Inflación!F8)</f>
        <v>2812.16</v>
      </c>
      <c r="G122" s="156">
        <f>F122+(F122*Inflación!G8)</f>
        <v>2924.6463999999996</v>
      </c>
      <c r="H122" s="156">
        <f>G122+(G122*Inflación!H8)</f>
        <v>3041.6322559999994</v>
      </c>
      <c r="I122" s="156">
        <f>H122+(H122*Inflación!I8)</f>
        <v>3163.2975462399995</v>
      </c>
      <c r="J122" s="156">
        <f>I122+(I122*Inflación!J8)</f>
        <v>3289.8294480895993</v>
      </c>
      <c r="K122" s="156">
        <f>J122+(J122*Inflación!K8)</f>
        <v>3421.4226260131832</v>
      </c>
      <c r="L122" s="156">
        <f>K122+(K122*Inflación!L8)</f>
        <v>3558.2795310537103</v>
      </c>
    </row>
    <row r="123" spans="1:12" x14ac:dyDescent="0.2">
      <c r="A123" s="24" t="s">
        <v>37</v>
      </c>
      <c r="C123" s="156">
        <f>C121*C122*12</f>
        <v>30000</v>
      </c>
      <c r="D123" s="156">
        <f t="shared" ref="D123:L123" si="41">D121*D122*12</f>
        <v>31200</v>
      </c>
      <c r="E123" s="156">
        <f t="shared" si="41"/>
        <v>32448</v>
      </c>
      <c r="F123" s="156">
        <f t="shared" si="41"/>
        <v>33745.919999999998</v>
      </c>
      <c r="G123" s="156">
        <f t="shared" si="41"/>
        <v>35095.756799999996</v>
      </c>
      <c r="H123" s="156">
        <f t="shared" si="41"/>
        <v>36499.587071999995</v>
      </c>
      <c r="I123" s="156">
        <f t="shared" si="41"/>
        <v>37959.570554879996</v>
      </c>
      <c r="J123" s="156">
        <f t="shared" si="41"/>
        <v>39477.953377075188</v>
      </c>
      <c r="K123" s="156">
        <f t="shared" si="41"/>
        <v>41057.071512158196</v>
      </c>
      <c r="L123" s="156">
        <f t="shared" si="41"/>
        <v>42699.35437264452</v>
      </c>
    </row>
    <row r="124" spans="1:12" x14ac:dyDescent="0.2">
      <c r="C124" s="156"/>
      <c r="D124" s="156"/>
      <c r="E124" s="156"/>
      <c r="F124" s="156"/>
      <c r="G124" s="156"/>
      <c r="H124" s="156"/>
      <c r="I124" s="156"/>
      <c r="J124" s="156"/>
      <c r="K124" s="156"/>
      <c r="L124" s="156"/>
    </row>
    <row r="125" spans="1:12" x14ac:dyDescent="0.2">
      <c r="A125" s="154" t="s">
        <v>54</v>
      </c>
      <c r="C125" s="25"/>
      <c r="D125" s="25"/>
      <c r="E125" s="25"/>
      <c r="F125" s="25"/>
      <c r="G125" s="25"/>
      <c r="H125" s="25"/>
      <c r="I125" s="25"/>
      <c r="J125" s="25"/>
      <c r="K125" s="25"/>
      <c r="L125" s="25"/>
    </row>
    <row r="126" spans="1:12" x14ac:dyDescent="0.2">
      <c r="A126" s="24" t="s">
        <v>41</v>
      </c>
      <c r="B126" s="179"/>
      <c r="C126" s="155">
        <v>1</v>
      </c>
      <c r="D126" s="156">
        <f>+C126</f>
        <v>1</v>
      </c>
      <c r="E126" s="156">
        <f t="shared" ref="E126:L126" si="42">+D126</f>
        <v>1</v>
      </c>
      <c r="F126" s="156">
        <f t="shared" si="42"/>
        <v>1</v>
      </c>
      <c r="G126" s="156">
        <f t="shared" si="42"/>
        <v>1</v>
      </c>
      <c r="H126" s="156">
        <f t="shared" si="42"/>
        <v>1</v>
      </c>
      <c r="I126" s="156">
        <f t="shared" si="42"/>
        <v>1</v>
      </c>
      <c r="J126" s="156">
        <f t="shared" si="42"/>
        <v>1</v>
      </c>
      <c r="K126" s="156">
        <f t="shared" si="42"/>
        <v>1</v>
      </c>
      <c r="L126" s="156">
        <f t="shared" si="42"/>
        <v>1</v>
      </c>
    </row>
    <row r="127" spans="1:12" x14ac:dyDescent="0.2">
      <c r="A127" s="24" t="s">
        <v>35</v>
      </c>
      <c r="C127" s="155">
        <f>Condiciones!B61</f>
        <v>1500</v>
      </c>
      <c r="D127" s="156">
        <f>C127+(C127*Inflación!D8)</f>
        <v>1560</v>
      </c>
      <c r="E127" s="156">
        <f>D127+(D127*Inflación!E8)</f>
        <v>1622.4</v>
      </c>
      <c r="F127" s="156">
        <f>E127+(E127*Inflación!F8)</f>
        <v>1687.296</v>
      </c>
      <c r="G127" s="156">
        <f>F127+(F127*Inflación!G8)</f>
        <v>1754.78784</v>
      </c>
      <c r="H127" s="156">
        <f>G127+(G127*Inflación!H8)</f>
        <v>1824.9793536</v>
      </c>
      <c r="I127" s="156">
        <f>H127+(H127*Inflación!I8)</f>
        <v>1897.9785277440001</v>
      </c>
      <c r="J127" s="156">
        <f>I127+(I127*Inflación!J8)</f>
        <v>1973.89766885376</v>
      </c>
      <c r="K127" s="156">
        <f>J127+(J127*Inflación!K8)</f>
        <v>2052.8535756079104</v>
      </c>
      <c r="L127" s="156">
        <f>K127+(K127*Inflación!L8)</f>
        <v>2134.9677186322269</v>
      </c>
    </row>
    <row r="128" spans="1:12" x14ac:dyDescent="0.2">
      <c r="A128" s="24" t="s">
        <v>37</v>
      </c>
      <c r="C128" s="156">
        <f>C126*C127*12</f>
        <v>18000</v>
      </c>
      <c r="D128" s="156">
        <f t="shared" ref="D128:L128" si="43">D126*D127*12</f>
        <v>18720</v>
      </c>
      <c r="E128" s="156">
        <f t="shared" si="43"/>
        <v>19468.800000000003</v>
      </c>
      <c r="F128" s="156">
        <f t="shared" si="43"/>
        <v>20247.552</v>
      </c>
      <c r="G128" s="156">
        <f t="shared" si="43"/>
        <v>21057.45408</v>
      </c>
      <c r="H128" s="156">
        <f t="shared" si="43"/>
        <v>21899.752243200001</v>
      </c>
      <c r="I128" s="156">
        <f t="shared" si="43"/>
        <v>22775.742332927999</v>
      </c>
      <c r="J128" s="156">
        <f t="shared" si="43"/>
        <v>23686.772026245118</v>
      </c>
      <c r="K128" s="156">
        <f t="shared" si="43"/>
        <v>24634.242907294923</v>
      </c>
      <c r="L128" s="156">
        <f t="shared" si="43"/>
        <v>25619.612623586723</v>
      </c>
    </row>
    <row r="129" spans="1:12" x14ac:dyDescent="0.2">
      <c r="C129" s="156"/>
      <c r="D129" s="156"/>
      <c r="E129" s="156"/>
      <c r="F129" s="156"/>
      <c r="G129" s="156"/>
      <c r="H129" s="156"/>
      <c r="I129" s="156"/>
      <c r="J129" s="156"/>
      <c r="K129" s="156"/>
      <c r="L129" s="156"/>
    </row>
    <row r="130" spans="1:12" x14ac:dyDescent="0.2">
      <c r="A130" s="154" t="s">
        <v>42</v>
      </c>
      <c r="C130" s="25"/>
      <c r="D130" s="25"/>
      <c r="E130" s="25"/>
      <c r="F130" s="25"/>
      <c r="G130" s="25"/>
      <c r="H130" s="25"/>
      <c r="I130" s="25"/>
      <c r="J130" s="25"/>
      <c r="K130" s="25"/>
      <c r="L130" s="25"/>
    </row>
    <row r="131" spans="1:12" x14ac:dyDescent="0.2">
      <c r="A131" s="24" t="s">
        <v>41</v>
      </c>
      <c r="B131" s="179"/>
      <c r="C131" s="155">
        <v>4</v>
      </c>
      <c r="D131" s="156">
        <f>+C131</f>
        <v>4</v>
      </c>
      <c r="E131" s="156">
        <f t="shared" ref="E131:L131" si="44">+D131</f>
        <v>4</v>
      </c>
      <c r="F131" s="156">
        <f t="shared" si="44"/>
        <v>4</v>
      </c>
      <c r="G131" s="156">
        <f t="shared" si="44"/>
        <v>4</v>
      </c>
      <c r="H131" s="156">
        <f t="shared" si="44"/>
        <v>4</v>
      </c>
      <c r="I131" s="156">
        <f t="shared" si="44"/>
        <v>4</v>
      </c>
      <c r="J131" s="156">
        <f t="shared" si="44"/>
        <v>4</v>
      </c>
      <c r="K131" s="156">
        <f t="shared" si="44"/>
        <v>4</v>
      </c>
      <c r="L131" s="156">
        <f t="shared" si="44"/>
        <v>4</v>
      </c>
    </row>
    <row r="132" spans="1:12" x14ac:dyDescent="0.2">
      <c r="A132" s="24" t="s">
        <v>35</v>
      </c>
      <c r="C132" s="155">
        <f>Condiciones!B62</f>
        <v>680</v>
      </c>
      <c r="D132" s="156">
        <f>C132+(C132*Inflación!D8)</f>
        <v>707.2</v>
      </c>
      <c r="E132" s="156">
        <f>D132+(D132*Inflación!E8)</f>
        <v>735.48800000000006</v>
      </c>
      <c r="F132" s="156">
        <f>E132+(E132*Inflación!F8)</f>
        <v>764.90752000000009</v>
      </c>
      <c r="G132" s="156">
        <f>F132+(F132*Inflación!G8)</f>
        <v>795.50382080000009</v>
      </c>
      <c r="H132" s="156">
        <f>G132+(G132*Inflación!H8)</f>
        <v>827.32397363200005</v>
      </c>
      <c r="I132" s="156">
        <f>H132+(H132*Inflación!I8)</f>
        <v>860.41693257728002</v>
      </c>
      <c r="J132" s="156">
        <f>I132+(I132*Inflación!J8)</f>
        <v>894.83360988037123</v>
      </c>
      <c r="K132" s="156">
        <f>J132+(J132*Inflación!K8)</f>
        <v>930.62695427558606</v>
      </c>
      <c r="L132" s="156">
        <f>K132+(K132*Inflación!L8)</f>
        <v>967.85203244660954</v>
      </c>
    </row>
    <row r="133" spans="1:12" x14ac:dyDescent="0.2">
      <c r="A133" s="24" t="s">
        <v>37</v>
      </c>
      <c r="C133" s="156">
        <f>C131*C132*12</f>
        <v>32640</v>
      </c>
      <c r="D133" s="156">
        <f t="shared" ref="D133:L133" si="45">D131*D132*12</f>
        <v>33945.600000000006</v>
      </c>
      <c r="E133" s="156">
        <f t="shared" si="45"/>
        <v>35303.423999999999</v>
      </c>
      <c r="F133" s="156">
        <f t="shared" si="45"/>
        <v>36715.560960000003</v>
      </c>
      <c r="G133" s="156">
        <f t="shared" si="45"/>
        <v>38184.183398400004</v>
      </c>
      <c r="H133" s="156">
        <f t="shared" si="45"/>
        <v>39711.550734336</v>
      </c>
      <c r="I133" s="156">
        <f t="shared" si="45"/>
        <v>41300.012763709441</v>
      </c>
      <c r="J133" s="156">
        <f t="shared" si="45"/>
        <v>42952.013274257821</v>
      </c>
      <c r="K133" s="156">
        <f t="shared" si="45"/>
        <v>44670.093805228127</v>
      </c>
      <c r="L133" s="156">
        <f t="shared" si="45"/>
        <v>46456.89755743726</v>
      </c>
    </row>
    <row r="134" spans="1:12" x14ac:dyDescent="0.2">
      <c r="C134" s="156"/>
      <c r="D134" s="156"/>
      <c r="E134" s="156"/>
      <c r="F134" s="156"/>
      <c r="G134" s="156"/>
      <c r="H134" s="156"/>
      <c r="I134" s="156"/>
      <c r="J134" s="156"/>
      <c r="K134" s="156"/>
      <c r="L134" s="156"/>
    </row>
    <row r="135" spans="1:12" x14ac:dyDescent="0.2">
      <c r="A135" s="154" t="s">
        <v>166</v>
      </c>
      <c r="C135" s="25"/>
      <c r="D135" s="25"/>
      <c r="E135" s="25"/>
      <c r="F135" s="25"/>
      <c r="G135" s="25"/>
      <c r="H135" s="25"/>
      <c r="I135" s="25"/>
      <c r="J135" s="25"/>
      <c r="K135" s="25"/>
      <c r="L135" s="25"/>
    </row>
    <row r="136" spans="1:12" x14ac:dyDescent="0.2">
      <c r="A136" s="24" t="s">
        <v>41</v>
      </c>
      <c r="B136" s="179"/>
      <c r="C136" s="155">
        <v>1</v>
      </c>
      <c r="D136" s="156">
        <f>+C136</f>
        <v>1</v>
      </c>
      <c r="E136" s="156">
        <f t="shared" ref="E136:L136" si="46">+D136</f>
        <v>1</v>
      </c>
      <c r="F136" s="156">
        <f t="shared" si="46"/>
        <v>1</v>
      </c>
      <c r="G136" s="156">
        <f t="shared" si="46"/>
        <v>1</v>
      </c>
      <c r="H136" s="156">
        <f t="shared" si="46"/>
        <v>1</v>
      </c>
      <c r="I136" s="156">
        <f t="shared" si="46"/>
        <v>1</v>
      </c>
      <c r="J136" s="156">
        <f t="shared" si="46"/>
        <v>1</v>
      </c>
      <c r="K136" s="156">
        <f t="shared" si="46"/>
        <v>1</v>
      </c>
      <c r="L136" s="156">
        <f t="shared" si="46"/>
        <v>1</v>
      </c>
    </row>
    <row r="137" spans="1:12" x14ac:dyDescent="0.2">
      <c r="A137" s="24" t="s">
        <v>35</v>
      </c>
      <c r="C137" s="155">
        <f>Condiciones!B63</f>
        <v>2500</v>
      </c>
      <c r="D137" s="156">
        <f>C137+(C137*Inflación!D8)</f>
        <v>2600</v>
      </c>
      <c r="E137" s="156">
        <f>D137+(D137*Inflación!E8)</f>
        <v>2704</v>
      </c>
      <c r="F137" s="156">
        <f>E137+(E137*Inflación!F8)</f>
        <v>2812.16</v>
      </c>
      <c r="G137" s="156">
        <f>F137+(F137*Inflación!G8)</f>
        <v>2924.6463999999996</v>
      </c>
      <c r="H137" s="156">
        <f>G137+(G137*Inflación!H8)</f>
        <v>3041.6322559999994</v>
      </c>
      <c r="I137" s="156">
        <f>H137+(H137*Inflación!I8)</f>
        <v>3163.2975462399995</v>
      </c>
      <c r="J137" s="156">
        <f>I137+(I137*Inflación!J8)</f>
        <v>3289.8294480895993</v>
      </c>
      <c r="K137" s="156">
        <f>J137+(J137*Inflación!K8)</f>
        <v>3421.4226260131832</v>
      </c>
      <c r="L137" s="156">
        <f>K137+(K137*Inflación!L8)</f>
        <v>3558.2795310537103</v>
      </c>
    </row>
    <row r="138" spans="1:12" x14ac:dyDescent="0.2">
      <c r="A138" s="24" t="s">
        <v>37</v>
      </c>
      <c r="C138" s="156">
        <f>C136*C137*12</f>
        <v>30000</v>
      </c>
      <c r="D138" s="156">
        <f t="shared" ref="D138:L138" si="47">D136*D137*12</f>
        <v>31200</v>
      </c>
      <c r="E138" s="156">
        <f t="shared" si="47"/>
        <v>32448</v>
      </c>
      <c r="F138" s="156">
        <f t="shared" si="47"/>
        <v>33745.919999999998</v>
      </c>
      <c r="G138" s="156">
        <f t="shared" si="47"/>
        <v>35095.756799999996</v>
      </c>
      <c r="H138" s="156">
        <f t="shared" si="47"/>
        <v>36499.587071999995</v>
      </c>
      <c r="I138" s="156">
        <f t="shared" si="47"/>
        <v>37959.570554879996</v>
      </c>
      <c r="J138" s="156">
        <f t="shared" si="47"/>
        <v>39477.953377075188</v>
      </c>
      <c r="K138" s="156">
        <f t="shared" si="47"/>
        <v>41057.071512158196</v>
      </c>
      <c r="L138" s="156">
        <f t="shared" si="47"/>
        <v>42699.35437264452</v>
      </c>
    </row>
    <row r="139" spans="1:12" x14ac:dyDescent="0.2">
      <c r="C139" s="156"/>
      <c r="D139" s="156"/>
      <c r="E139" s="156"/>
      <c r="F139" s="156"/>
      <c r="G139" s="156"/>
      <c r="H139" s="156"/>
      <c r="I139" s="156"/>
      <c r="J139" s="156"/>
      <c r="K139" s="156"/>
      <c r="L139" s="156"/>
    </row>
    <row r="140" spans="1:12" x14ac:dyDescent="0.2">
      <c r="A140" s="154" t="s">
        <v>55</v>
      </c>
      <c r="C140" s="25"/>
      <c r="D140" s="25"/>
      <c r="E140" s="25"/>
      <c r="F140" s="25"/>
      <c r="G140" s="25"/>
      <c r="H140" s="25"/>
      <c r="I140" s="25"/>
      <c r="J140" s="25"/>
      <c r="K140" s="25"/>
      <c r="L140" s="25"/>
    </row>
    <row r="141" spans="1:12" x14ac:dyDescent="0.2">
      <c r="A141" s="24" t="s">
        <v>41</v>
      </c>
      <c r="B141" s="179"/>
      <c r="C141" s="155">
        <v>1</v>
      </c>
      <c r="D141" s="156">
        <f>+C141</f>
        <v>1</v>
      </c>
      <c r="E141" s="156">
        <v>0</v>
      </c>
      <c r="F141" s="156">
        <v>0</v>
      </c>
      <c r="G141" s="156">
        <f t="shared" ref="G141:L141" si="48">+F141</f>
        <v>0</v>
      </c>
      <c r="H141" s="156">
        <f t="shared" si="48"/>
        <v>0</v>
      </c>
      <c r="I141" s="156">
        <f t="shared" si="48"/>
        <v>0</v>
      </c>
      <c r="J141" s="156">
        <f t="shared" si="48"/>
        <v>0</v>
      </c>
      <c r="K141" s="156">
        <f t="shared" si="48"/>
        <v>0</v>
      </c>
      <c r="L141" s="156">
        <f t="shared" si="48"/>
        <v>0</v>
      </c>
    </row>
    <row r="142" spans="1:12" x14ac:dyDescent="0.2">
      <c r="A142" s="24" t="s">
        <v>35</v>
      </c>
      <c r="C142" s="155">
        <f>Condiciones!B64</f>
        <v>1500</v>
      </c>
      <c r="D142" s="156">
        <f>C142+(C142*Inflación!D8)</f>
        <v>1560</v>
      </c>
      <c r="E142" s="156">
        <f>D142+(D142*Inflación!E8)</f>
        <v>1622.4</v>
      </c>
      <c r="F142" s="156">
        <f>E142+(E142*Inflación!F8)</f>
        <v>1687.296</v>
      </c>
      <c r="G142" s="156">
        <f>F142+(F142*Inflación!G8)</f>
        <v>1754.78784</v>
      </c>
      <c r="H142" s="156">
        <f>G142+(G142*Inflación!H8)</f>
        <v>1824.9793536</v>
      </c>
      <c r="I142" s="156">
        <f>H142+(H142*Inflación!I8)</f>
        <v>1897.9785277440001</v>
      </c>
      <c r="J142" s="156">
        <f>I142+(I142*Inflación!J8)</f>
        <v>1973.89766885376</v>
      </c>
      <c r="K142" s="156">
        <f>J142+(J142*Inflación!K8)</f>
        <v>2052.8535756079104</v>
      </c>
      <c r="L142" s="156">
        <f>K142+(K142*Inflación!L8)</f>
        <v>2134.9677186322269</v>
      </c>
    </row>
    <row r="143" spans="1:12" x14ac:dyDescent="0.2">
      <c r="A143" s="24" t="s">
        <v>37</v>
      </c>
      <c r="C143" s="156">
        <f>C141*C142*12</f>
        <v>18000</v>
      </c>
      <c r="D143" s="156">
        <f t="shared" ref="D143:L143" si="49">D141*D142*12</f>
        <v>18720</v>
      </c>
      <c r="E143" s="156">
        <f t="shared" si="49"/>
        <v>0</v>
      </c>
      <c r="F143" s="156">
        <f t="shared" si="49"/>
        <v>0</v>
      </c>
      <c r="G143" s="156">
        <f t="shared" si="49"/>
        <v>0</v>
      </c>
      <c r="H143" s="156">
        <f t="shared" si="49"/>
        <v>0</v>
      </c>
      <c r="I143" s="156">
        <f t="shared" si="49"/>
        <v>0</v>
      </c>
      <c r="J143" s="156">
        <f t="shared" si="49"/>
        <v>0</v>
      </c>
      <c r="K143" s="156">
        <f t="shared" si="49"/>
        <v>0</v>
      </c>
      <c r="L143" s="156">
        <f t="shared" si="49"/>
        <v>0</v>
      </c>
    </row>
    <row r="144" spans="1:12" x14ac:dyDescent="0.2">
      <c r="C144" s="156"/>
      <c r="D144" s="156"/>
      <c r="E144" s="156"/>
      <c r="F144" s="156"/>
      <c r="G144" s="156"/>
      <c r="H144" s="156"/>
      <c r="I144" s="156"/>
      <c r="J144" s="156"/>
      <c r="K144" s="156"/>
      <c r="L144" s="156"/>
    </row>
    <row r="145" spans="1:12" x14ac:dyDescent="0.2">
      <c r="A145" s="154" t="s">
        <v>43</v>
      </c>
      <c r="C145" s="25"/>
      <c r="D145" s="25"/>
      <c r="E145" s="25"/>
      <c r="F145" s="25"/>
      <c r="G145" s="25"/>
      <c r="H145" s="25"/>
      <c r="I145" s="25"/>
      <c r="J145" s="25"/>
      <c r="K145" s="25"/>
      <c r="L145" s="25"/>
    </row>
    <row r="146" spans="1:12" x14ac:dyDescent="0.2">
      <c r="A146" s="24" t="s">
        <v>41</v>
      </c>
      <c r="B146" s="179"/>
      <c r="C146" s="155">
        <v>1</v>
      </c>
      <c r="D146" s="156">
        <f>+C146</f>
        <v>1</v>
      </c>
      <c r="E146" s="156">
        <f t="shared" ref="E146:L146" si="50">+D146</f>
        <v>1</v>
      </c>
      <c r="F146" s="156">
        <f t="shared" si="50"/>
        <v>1</v>
      </c>
      <c r="G146" s="156">
        <f t="shared" si="50"/>
        <v>1</v>
      </c>
      <c r="H146" s="156">
        <f t="shared" si="50"/>
        <v>1</v>
      </c>
      <c r="I146" s="156">
        <f t="shared" si="50"/>
        <v>1</v>
      </c>
      <c r="J146" s="156">
        <f t="shared" si="50"/>
        <v>1</v>
      </c>
      <c r="K146" s="156">
        <f t="shared" si="50"/>
        <v>1</v>
      </c>
      <c r="L146" s="156">
        <f t="shared" si="50"/>
        <v>1</v>
      </c>
    </row>
    <row r="147" spans="1:12" x14ac:dyDescent="0.2">
      <c r="A147" s="24" t="s">
        <v>35</v>
      </c>
      <c r="C147" s="155">
        <f>Condiciones!B65</f>
        <v>350</v>
      </c>
      <c r="D147" s="156">
        <f>C147+(C147*Inflación!D8)</f>
        <v>364</v>
      </c>
      <c r="E147" s="156">
        <f>D147+(D147*Inflación!E8)</f>
        <v>378.56</v>
      </c>
      <c r="F147" s="156">
        <f>E147+(E147*Inflación!F8)</f>
        <v>393.70240000000001</v>
      </c>
      <c r="G147" s="156">
        <f>F147+(F147*Inflación!G8)</f>
        <v>409.45049599999999</v>
      </c>
      <c r="H147" s="156">
        <f>G147+(G147*Inflación!H8)</f>
        <v>425.82851583999997</v>
      </c>
      <c r="I147" s="156">
        <f>H147+(H147*Inflación!I8)</f>
        <v>442.86165647359996</v>
      </c>
      <c r="J147" s="156">
        <f>I147+(I147*Inflación!J8)</f>
        <v>460.57612273254398</v>
      </c>
      <c r="K147" s="156">
        <f>J147+(J147*Inflación!K8)</f>
        <v>478.99916764184576</v>
      </c>
      <c r="L147" s="156">
        <f>K147+(K147*Inflación!L8)</f>
        <v>498.15913434751957</v>
      </c>
    </row>
    <row r="148" spans="1:12" x14ac:dyDescent="0.2">
      <c r="A148" s="24" t="s">
        <v>37</v>
      </c>
      <c r="C148" s="156">
        <f>C146*C147*12</f>
        <v>4200</v>
      </c>
      <c r="D148" s="156">
        <f t="shared" ref="D148:L148" si="51">D146*D147*12</f>
        <v>4368</v>
      </c>
      <c r="E148" s="156">
        <f t="shared" si="51"/>
        <v>4542.72</v>
      </c>
      <c r="F148" s="156">
        <f t="shared" si="51"/>
        <v>4724.4287999999997</v>
      </c>
      <c r="G148" s="156">
        <f t="shared" si="51"/>
        <v>4913.4059520000001</v>
      </c>
      <c r="H148" s="156">
        <f t="shared" si="51"/>
        <v>5109.9421900799998</v>
      </c>
      <c r="I148" s="156">
        <f t="shared" si="51"/>
        <v>5314.3398776832</v>
      </c>
      <c r="J148" s="156">
        <f t="shared" si="51"/>
        <v>5526.9134727905275</v>
      </c>
      <c r="K148" s="156">
        <f t="shared" si="51"/>
        <v>5747.9900117021489</v>
      </c>
      <c r="L148" s="156">
        <f t="shared" si="51"/>
        <v>5977.9096121702351</v>
      </c>
    </row>
    <row r="149" spans="1:12" x14ac:dyDescent="0.2">
      <c r="C149" s="156"/>
      <c r="D149" s="156"/>
      <c r="E149" s="156"/>
      <c r="F149" s="156"/>
      <c r="G149" s="156"/>
      <c r="H149" s="156"/>
      <c r="I149" s="156"/>
      <c r="J149" s="156"/>
      <c r="K149" s="156"/>
      <c r="L149" s="156"/>
    </row>
    <row r="150" spans="1:12" x14ac:dyDescent="0.2">
      <c r="A150" s="154" t="s">
        <v>44</v>
      </c>
      <c r="C150" s="25"/>
      <c r="D150" s="25"/>
      <c r="E150" s="25"/>
      <c r="F150" s="25"/>
      <c r="G150" s="25"/>
      <c r="H150" s="25"/>
      <c r="I150" s="25"/>
      <c r="J150" s="25"/>
      <c r="K150" s="25"/>
      <c r="L150" s="25"/>
    </row>
    <row r="151" spans="1:12" x14ac:dyDescent="0.2">
      <c r="A151" s="24" t="s">
        <v>41</v>
      </c>
      <c r="B151" s="179"/>
      <c r="C151" s="155">
        <v>1</v>
      </c>
      <c r="D151" s="156">
        <f>+C151</f>
        <v>1</v>
      </c>
      <c r="E151" s="156">
        <f t="shared" ref="E151:L151" si="52">+D151</f>
        <v>1</v>
      </c>
      <c r="F151" s="156">
        <f t="shared" si="52"/>
        <v>1</v>
      </c>
      <c r="G151" s="156">
        <f t="shared" si="52"/>
        <v>1</v>
      </c>
      <c r="H151" s="156">
        <f t="shared" si="52"/>
        <v>1</v>
      </c>
      <c r="I151" s="156">
        <f t="shared" si="52"/>
        <v>1</v>
      </c>
      <c r="J151" s="156">
        <f t="shared" si="52"/>
        <v>1</v>
      </c>
      <c r="K151" s="156">
        <f t="shared" si="52"/>
        <v>1</v>
      </c>
      <c r="L151" s="156">
        <f t="shared" si="52"/>
        <v>1</v>
      </c>
    </row>
    <row r="152" spans="1:12" x14ac:dyDescent="0.2">
      <c r="A152" s="24" t="s">
        <v>35</v>
      </c>
      <c r="C152" s="155">
        <f>Condiciones!B66</f>
        <v>850</v>
      </c>
      <c r="D152" s="156">
        <f>C152+(C152*Inflación!D8)</f>
        <v>884</v>
      </c>
      <c r="E152" s="156">
        <f>D152+(D152*Inflación!E8)</f>
        <v>919.36</v>
      </c>
      <c r="F152" s="156">
        <f>E152+(E152*Inflación!F8)</f>
        <v>956.13440000000003</v>
      </c>
      <c r="G152" s="156">
        <f>F152+(F152*Inflación!G8)</f>
        <v>994.37977599999999</v>
      </c>
      <c r="H152" s="156">
        <f>G152+(G152*Inflación!H8)</f>
        <v>1034.15496704</v>
      </c>
      <c r="I152" s="156">
        <f>H152+(H152*Inflación!I8)</f>
        <v>1075.5211657216</v>
      </c>
      <c r="J152" s="156">
        <f>I152+(I152*Inflación!J8)</f>
        <v>1118.5420123504641</v>
      </c>
      <c r="K152" s="156">
        <f>J152+(J152*Inflación!K8)</f>
        <v>1163.2836928444826</v>
      </c>
      <c r="L152" s="156">
        <f>K152+(K152*Inflación!L8)</f>
        <v>1209.8150405582619</v>
      </c>
    </row>
    <row r="153" spans="1:12" x14ac:dyDescent="0.2">
      <c r="A153" s="24" t="s">
        <v>37</v>
      </c>
      <c r="C153" s="156">
        <f>C151*C152*12</f>
        <v>10200</v>
      </c>
      <c r="D153" s="156">
        <f t="shared" ref="D153:L153" si="53">D151*D152*12</f>
        <v>10608</v>
      </c>
      <c r="E153" s="156">
        <f t="shared" si="53"/>
        <v>11032.32</v>
      </c>
      <c r="F153" s="156">
        <f t="shared" si="53"/>
        <v>11473.612800000001</v>
      </c>
      <c r="G153" s="156">
        <f t="shared" si="53"/>
        <v>11932.557312000001</v>
      </c>
      <c r="H153" s="156">
        <f t="shared" si="53"/>
        <v>12409.85960448</v>
      </c>
      <c r="I153" s="156">
        <f t="shared" si="53"/>
        <v>12906.2539886592</v>
      </c>
      <c r="J153" s="156">
        <f t="shared" si="53"/>
        <v>13422.504148205569</v>
      </c>
      <c r="K153" s="156">
        <f t="shared" si="53"/>
        <v>13959.404314133792</v>
      </c>
      <c r="L153" s="156">
        <f t="shared" si="53"/>
        <v>14517.780486699143</v>
      </c>
    </row>
    <row r="154" spans="1:12" x14ac:dyDescent="0.2">
      <c r="C154" s="156"/>
      <c r="D154" s="156"/>
      <c r="E154" s="156"/>
      <c r="F154" s="156"/>
      <c r="G154" s="156"/>
      <c r="H154" s="156"/>
      <c r="I154" s="156"/>
      <c r="J154" s="156"/>
      <c r="K154" s="156"/>
      <c r="L154" s="156"/>
    </row>
    <row r="155" spans="1:12" x14ac:dyDescent="0.2">
      <c r="A155" s="154" t="s">
        <v>45</v>
      </c>
    </row>
    <row r="156" spans="1:12" x14ac:dyDescent="0.2">
      <c r="A156" s="24" t="s">
        <v>58</v>
      </c>
      <c r="C156" s="155">
        <f>Condiciones!B67</f>
        <v>1500</v>
      </c>
      <c r="D156" s="156">
        <f>C156+(C156*Inflación!D8)</f>
        <v>1560</v>
      </c>
      <c r="E156" s="156">
        <f>D156+(D156*Inflación!E8)</f>
        <v>1622.4</v>
      </c>
      <c r="F156" s="156">
        <f>E156+(E156*Inflación!F8)</f>
        <v>1687.296</v>
      </c>
      <c r="G156" s="156">
        <f>F156+(F156*Inflación!G8)</f>
        <v>1754.78784</v>
      </c>
      <c r="H156" s="156">
        <f>G156+(G156*Inflación!H8)</f>
        <v>1824.9793536</v>
      </c>
      <c r="I156" s="156">
        <f>H156+(H156*Inflación!I8)</f>
        <v>1897.9785277440001</v>
      </c>
      <c r="J156" s="156">
        <f>I156+(I156*Inflación!J8)</f>
        <v>1973.89766885376</v>
      </c>
      <c r="K156" s="156">
        <f>J156+(J156*Inflación!K8)</f>
        <v>2052.8535756079104</v>
      </c>
      <c r="L156" s="156">
        <f>K156+(K156*Inflación!L8)</f>
        <v>2134.9677186322269</v>
      </c>
    </row>
    <row r="157" spans="1:12" x14ac:dyDescent="0.2">
      <c r="A157" s="24" t="s">
        <v>59</v>
      </c>
      <c r="C157" s="155">
        <f>Condiciones!B68</f>
        <v>2500</v>
      </c>
      <c r="D157" s="156">
        <f>C157+(C157*Inflación!D8)</f>
        <v>2600</v>
      </c>
      <c r="E157" s="156">
        <f>D157+(D157*Inflación!E8)</f>
        <v>2704</v>
      </c>
      <c r="F157" s="156">
        <f>E157+(E157*Inflación!F8)</f>
        <v>2812.16</v>
      </c>
      <c r="G157" s="156">
        <f>F157+(F157*Inflación!G8)</f>
        <v>2924.6463999999996</v>
      </c>
      <c r="H157" s="156">
        <f>G157+(G157*Inflación!H8)</f>
        <v>3041.6322559999994</v>
      </c>
      <c r="I157" s="156">
        <f>H157+(H157*Inflación!I8)</f>
        <v>3163.2975462399995</v>
      </c>
      <c r="J157" s="156">
        <f>I157+(I157*Inflación!J8)</f>
        <v>3289.8294480895993</v>
      </c>
      <c r="K157" s="156">
        <f>J157+(J157*Inflación!K8)</f>
        <v>3421.4226260131832</v>
      </c>
      <c r="L157" s="156">
        <f>K157+(K157*Inflación!L8)</f>
        <v>3558.2795310537103</v>
      </c>
    </row>
    <row r="158" spans="1:12" x14ac:dyDescent="0.2">
      <c r="A158" s="24" t="s">
        <v>60</v>
      </c>
      <c r="C158" s="155">
        <f>Condiciones!B69</f>
        <v>2500</v>
      </c>
      <c r="D158" s="156">
        <f>C158+(C158*Inflación!D8)</f>
        <v>2600</v>
      </c>
      <c r="E158" s="156">
        <f>D158+(D158*Inflación!E8)</f>
        <v>2704</v>
      </c>
      <c r="F158" s="156">
        <f>E158+(E158*Inflación!F8)</f>
        <v>2812.16</v>
      </c>
      <c r="G158" s="156">
        <f>F158+(F158*Inflación!G8)</f>
        <v>2924.6463999999996</v>
      </c>
      <c r="H158" s="156">
        <f>G158+(G158*Inflación!H8)</f>
        <v>3041.6322559999994</v>
      </c>
      <c r="I158" s="156">
        <f>H158+(H158*Inflación!I8)</f>
        <v>3163.2975462399995</v>
      </c>
      <c r="J158" s="156">
        <f>I158+(I158*Inflación!J8)</f>
        <v>3289.8294480895993</v>
      </c>
      <c r="K158" s="156">
        <f>J158+(J158*Inflación!K8)</f>
        <v>3421.4226260131832</v>
      </c>
      <c r="L158" s="156">
        <f>K158+(K158*Inflación!L8)</f>
        <v>3558.2795310537103</v>
      </c>
    </row>
    <row r="159" spans="1:12" x14ac:dyDescent="0.2">
      <c r="A159" s="24" t="s">
        <v>46</v>
      </c>
      <c r="C159" s="155">
        <f>Condiciones!B70</f>
        <v>6000</v>
      </c>
      <c r="D159" s="156">
        <f>C159+(C159*Inflación!D8)</f>
        <v>6240</v>
      </c>
      <c r="E159" s="156">
        <f>D159+(D159*Inflación!E8)</f>
        <v>6489.6</v>
      </c>
      <c r="F159" s="156">
        <f>E159+(E159*Inflación!F8)</f>
        <v>6749.1840000000002</v>
      </c>
      <c r="G159" s="156">
        <f>F159+(F159*Inflación!G8)</f>
        <v>7019.1513599999998</v>
      </c>
      <c r="H159" s="156">
        <f>G159+(G159*Inflación!H8)</f>
        <v>7299.9174143999999</v>
      </c>
      <c r="I159" s="156">
        <f>H159+(H159*Inflación!I8)</f>
        <v>7591.9141109760003</v>
      </c>
      <c r="J159" s="156">
        <f>I159+(I159*Inflación!J8)</f>
        <v>7895.5906754150401</v>
      </c>
      <c r="K159" s="156">
        <f>J159+(J159*Inflación!K8)</f>
        <v>8211.4143024316418</v>
      </c>
      <c r="L159" s="156">
        <f>K159+(K159*Inflación!L8)</f>
        <v>8539.8708745289077</v>
      </c>
    </row>
    <row r="160" spans="1:12" x14ac:dyDescent="0.2">
      <c r="A160" s="24" t="s">
        <v>61</v>
      </c>
      <c r="C160" s="155">
        <f>Condiciones!B71</f>
        <v>36000</v>
      </c>
      <c r="D160" s="156">
        <f>C160+(C160*Inflación!D8)</f>
        <v>37440</v>
      </c>
      <c r="E160" s="156">
        <f>D160+(D160*Inflación!E8)</f>
        <v>38937.599999999999</v>
      </c>
      <c r="F160" s="156">
        <f>E160+(E160*Inflación!F8)</f>
        <v>40495.103999999999</v>
      </c>
      <c r="G160" s="156">
        <f>F160+(F160*Inflación!G8)</f>
        <v>42114.908159999999</v>
      </c>
      <c r="H160" s="156">
        <f>G160+(G160*Inflación!H8)</f>
        <v>43799.504486400001</v>
      </c>
      <c r="I160" s="156">
        <f>H160+(H160*Inflación!I8)</f>
        <v>45551.484665855998</v>
      </c>
      <c r="J160" s="156">
        <f>I160+(I160*Inflación!J8)</f>
        <v>47373.544052490237</v>
      </c>
      <c r="K160" s="156">
        <f>J160+(J160*Inflación!K8)</f>
        <v>49268.485814589847</v>
      </c>
      <c r="L160" s="156">
        <f>K160+(K160*Inflación!L8)</f>
        <v>51239.225247173439</v>
      </c>
    </row>
    <row r="161" spans="1:13" x14ac:dyDescent="0.2">
      <c r="A161" s="24" t="s">
        <v>62</v>
      </c>
      <c r="C161" s="155">
        <f>Condiciones!B72</f>
        <v>6000</v>
      </c>
      <c r="D161" s="156">
        <f>C161+(C161*Inflación!D8)</f>
        <v>6240</v>
      </c>
      <c r="E161" s="156">
        <f>D161+(D161*Inflación!E8)</f>
        <v>6489.6</v>
      </c>
      <c r="F161" s="156">
        <f>E161+(E161*Inflación!F8)</f>
        <v>6749.1840000000002</v>
      </c>
      <c r="G161" s="156">
        <f>F161+(F161*Inflación!G8)</f>
        <v>7019.1513599999998</v>
      </c>
      <c r="H161" s="156">
        <f>G161+(G161*Inflación!H8)</f>
        <v>7299.9174143999999</v>
      </c>
      <c r="I161" s="156">
        <f>H161+(H161*Inflación!I8)</f>
        <v>7591.9141109760003</v>
      </c>
      <c r="J161" s="156">
        <f>I161+(I161*Inflación!J8)</f>
        <v>7895.5906754150401</v>
      </c>
      <c r="K161" s="156">
        <f>J161+(J161*Inflación!K8)</f>
        <v>8211.4143024316418</v>
      </c>
      <c r="L161" s="156">
        <f>K161+(K161*Inflación!L8)</f>
        <v>8539.8708745289077</v>
      </c>
    </row>
    <row r="162" spans="1:13" x14ac:dyDescent="0.2">
      <c r="A162" s="24" t="s">
        <v>47</v>
      </c>
      <c r="C162" s="155">
        <f>Condiciones!B73</f>
        <v>2400</v>
      </c>
      <c r="D162" s="156">
        <f>C162+(C162*Inflación!D8)</f>
        <v>2496</v>
      </c>
      <c r="E162" s="156">
        <f>D162+(D162*Inflación!E8)</f>
        <v>2595.84</v>
      </c>
      <c r="F162" s="156">
        <f>E162+(E162*Inflación!F8)</f>
        <v>2699.6736000000001</v>
      </c>
      <c r="G162" s="156">
        <f>F162+(F162*Inflación!G8)</f>
        <v>2807.6605440000003</v>
      </c>
      <c r="H162" s="156">
        <f>G162+(G162*Inflación!H8)</f>
        <v>2919.9669657600002</v>
      </c>
      <c r="I162" s="156">
        <f>H162+(H162*Inflación!I8)</f>
        <v>3036.7656443904002</v>
      </c>
      <c r="J162" s="156">
        <f>I162+(I162*Inflación!J8)</f>
        <v>3158.2362701660163</v>
      </c>
      <c r="K162" s="156">
        <f>J162+(J162*Inflación!K8)</f>
        <v>3284.5657209726569</v>
      </c>
      <c r="L162" s="156">
        <f>K162+(K162*Inflación!L8)</f>
        <v>3415.9483498115633</v>
      </c>
    </row>
    <row r="163" spans="1:13" x14ac:dyDescent="0.2">
      <c r="A163" s="24" t="s">
        <v>48</v>
      </c>
      <c r="C163" s="155">
        <f>Condiciones!B74</f>
        <v>3600</v>
      </c>
      <c r="D163" s="156">
        <f>C163+(C163*Inflación!D8)</f>
        <v>3744</v>
      </c>
      <c r="E163" s="156">
        <f>D163+(D163*Inflación!E8)</f>
        <v>3893.76</v>
      </c>
      <c r="F163" s="156">
        <f>E163+(E163*Inflación!F8)</f>
        <v>4049.5104000000001</v>
      </c>
      <c r="G163" s="156">
        <f>F163+(F163*Inflación!G8)</f>
        <v>4211.4908160000005</v>
      </c>
      <c r="H163" s="156">
        <f>G163+(G163*Inflación!H8)</f>
        <v>4379.9504486400001</v>
      </c>
      <c r="I163" s="156">
        <f>H163+(H163*Inflación!I8)</f>
        <v>4555.1484665856005</v>
      </c>
      <c r="J163" s="156">
        <f>I163+(I163*Inflación!J8)</f>
        <v>4737.3544052490242</v>
      </c>
      <c r="K163" s="156">
        <f>J163+(J163*Inflación!K8)</f>
        <v>4926.8485814589849</v>
      </c>
      <c r="L163" s="156">
        <f>K163+(K163*Inflación!L8)</f>
        <v>5123.9225247173445</v>
      </c>
    </row>
    <row r="164" spans="1:13" x14ac:dyDescent="0.2">
      <c r="A164" s="24" t="s">
        <v>63</v>
      </c>
      <c r="C164" s="155">
        <f>Condiciones!B75</f>
        <v>18000</v>
      </c>
      <c r="D164" s="156">
        <f>C164+(C164*Inflación!D8)</f>
        <v>18720</v>
      </c>
      <c r="E164" s="156">
        <f>D164+(D164*Inflación!E8)</f>
        <v>19468.8</v>
      </c>
      <c r="F164" s="156">
        <f>E164+(E164*Inflación!F8)</f>
        <v>20247.552</v>
      </c>
      <c r="G164" s="156">
        <f>F164+(F164*Inflación!G8)</f>
        <v>21057.45408</v>
      </c>
      <c r="H164" s="156">
        <f>G164+(G164*Inflación!H8)</f>
        <v>21899.752243200001</v>
      </c>
      <c r="I164" s="156">
        <f>H164+(H164*Inflación!I8)</f>
        <v>22775.742332927999</v>
      </c>
      <c r="J164" s="156">
        <f>I164+(I164*Inflación!J8)</f>
        <v>23686.772026245118</v>
      </c>
      <c r="K164" s="156">
        <f>J164+(J164*Inflación!K8)</f>
        <v>24634.242907294923</v>
      </c>
      <c r="L164" s="156">
        <f>K164+(K164*Inflación!L8)</f>
        <v>25619.61262358672</v>
      </c>
    </row>
    <row r="165" spans="1:13" x14ac:dyDescent="0.2">
      <c r="A165" s="24" t="s">
        <v>64</v>
      </c>
      <c r="C165" s="155">
        <f>Condiciones!B76</f>
        <v>12000</v>
      </c>
      <c r="D165" s="156">
        <f>C165+(C165*Inflación!D8)</f>
        <v>12480</v>
      </c>
      <c r="E165" s="156">
        <f>D165+(D165*Inflación!E8)</f>
        <v>12979.2</v>
      </c>
      <c r="F165" s="156">
        <f>E165+(E165*Inflación!F8)</f>
        <v>13498.368</v>
      </c>
      <c r="G165" s="156">
        <f>F165+(F165*Inflación!G8)</f>
        <v>14038.30272</v>
      </c>
      <c r="H165" s="156">
        <f>G165+(G165*Inflación!H8)</f>
        <v>14599.8348288</v>
      </c>
      <c r="I165" s="156">
        <f>H165+(H165*Inflación!I8)</f>
        <v>15183.828221952001</v>
      </c>
      <c r="J165" s="156">
        <f>I165+(I165*Inflación!J8)</f>
        <v>15791.18135083008</v>
      </c>
      <c r="K165" s="156">
        <f>J165+(J165*Inflación!K8)</f>
        <v>16422.828604863284</v>
      </c>
      <c r="L165" s="156">
        <f>K165+(K165*Inflación!L8)</f>
        <v>17079.741749057815</v>
      </c>
    </row>
    <row r="166" spans="1:13" x14ac:dyDescent="0.2">
      <c r="A166" s="24" t="s">
        <v>65</v>
      </c>
      <c r="C166" s="155">
        <f>Condiciones!B77</f>
        <v>15000</v>
      </c>
      <c r="D166" s="156">
        <f>C166+(C166*Inflación!D8)</f>
        <v>15600</v>
      </c>
      <c r="E166" s="156">
        <f>D166+(D166*Inflación!E8)</f>
        <v>16224</v>
      </c>
      <c r="F166" s="156">
        <f>E166+(E166*Inflación!F8)</f>
        <v>16872.96</v>
      </c>
      <c r="G166" s="156">
        <f>F166+(F166*Inflación!G8)</f>
        <v>17547.878399999998</v>
      </c>
      <c r="H166" s="156">
        <f>G166+(G166*Inflación!H8)</f>
        <v>18249.793535999997</v>
      </c>
      <c r="I166" s="156">
        <f>H166+(H166*Inflación!I8)</f>
        <v>18979.785277439998</v>
      </c>
      <c r="J166" s="156">
        <f>I166+(I166*Inflación!J8)</f>
        <v>19738.976688537598</v>
      </c>
      <c r="K166" s="156">
        <f>J166+(J166*Inflación!K8)</f>
        <v>20528.535756079102</v>
      </c>
      <c r="L166" s="156">
        <f>K166+(K166*Inflación!L8)</f>
        <v>21349.677186322268</v>
      </c>
    </row>
    <row r="167" spans="1:13" x14ac:dyDescent="0.2">
      <c r="A167" s="24" t="s">
        <v>49</v>
      </c>
      <c r="C167" s="155">
        <f>Condiciones!B78</f>
        <v>1000</v>
      </c>
      <c r="D167" s="156">
        <f>C167+(C167*Inflación!D8)</f>
        <v>1040</v>
      </c>
      <c r="E167" s="156">
        <f>D167+(D167*Inflación!E8)</f>
        <v>1081.5999999999999</v>
      </c>
      <c r="F167" s="156">
        <f>E167+(E167*Inflación!F8)</f>
        <v>1124.8639999999998</v>
      </c>
      <c r="G167" s="156">
        <f>F167+(F167*Inflación!G8)</f>
        <v>1169.8585599999999</v>
      </c>
      <c r="H167" s="156">
        <f>G167+(G167*Inflación!H8)</f>
        <v>1216.6529023999999</v>
      </c>
      <c r="I167" s="156">
        <f>H167+(H167*Inflación!I8)</f>
        <v>1265.3190184959999</v>
      </c>
      <c r="J167" s="156">
        <f>I167+(I167*Inflación!J8)</f>
        <v>1315.9317792358399</v>
      </c>
      <c r="K167" s="156">
        <f>J167+(J167*Inflación!K8)</f>
        <v>1368.5690504052736</v>
      </c>
      <c r="L167" s="156">
        <f>K167+(K167*Inflación!L8)</f>
        <v>1423.3118124214845</v>
      </c>
    </row>
    <row r="168" spans="1:13" x14ac:dyDescent="0.2">
      <c r="A168" s="24" t="s">
        <v>56</v>
      </c>
      <c r="C168" s="155">
        <f>Condiciones!B79</f>
        <v>2000</v>
      </c>
      <c r="D168" s="156">
        <f>C168+(C168*Inflación!D8)</f>
        <v>2080</v>
      </c>
      <c r="E168" s="156">
        <f>D168+(D168*Inflación!E8)</f>
        <v>2163.1999999999998</v>
      </c>
      <c r="F168" s="156">
        <f>E168+(E168*Inflación!F8)</f>
        <v>2249.7279999999996</v>
      </c>
      <c r="G168" s="156">
        <f>F168+(F168*Inflación!G8)</f>
        <v>2339.7171199999998</v>
      </c>
      <c r="H168" s="156">
        <f>G168+(G168*Inflación!H8)</f>
        <v>2433.3058047999998</v>
      </c>
      <c r="I168" s="156">
        <f>H168+(H168*Inflación!I8)</f>
        <v>2530.6380369919998</v>
      </c>
      <c r="J168" s="156">
        <f>I168+(I168*Inflación!J8)</f>
        <v>2631.8635584716799</v>
      </c>
      <c r="K168" s="156">
        <f>J168+(J168*Inflación!K8)</f>
        <v>2737.1381008105473</v>
      </c>
      <c r="L168" s="156">
        <f>K168+(K168*Inflación!L8)</f>
        <v>2846.6236248429691</v>
      </c>
    </row>
    <row r="169" spans="1:13" x14ac:dyDescent="0.2">
      <c r="A169" s="24" t="s">
        <v>133</v>
      </c>
      <c r="C169" s="155">
        <f>Condiciones!B80</f>
        <v>1000</v>
      </c>
      <c r="D169" s="156">
        <f>C169+(C169*Inflación!D8)</f>
        <v>1040</v>
      </c>
      <c r="E169" s="156">
        <f>D169+(D169*Inflación!E8)</f>
        <v>1081.5999999999999</v>
      </c>
      <c r="F169" s="156">
        <f>E169+(E169*Inflación!F8)</f>
        <v>1124.8639999999998</v>
      </c>
      <c r="G169" s="156">
        <f>F169+(F169*Inflación!G8)</f>
        <v>1169.8585599999999</v>
      </c>
      <c r="H169" s="156">
        <f>G169+(G169*Inflación!H8)</f>
        <v>1216.6529023999999</v>
      </c>
      <c r="I169" s="156">
        <f>H169+(H169*Inflación!I8)</f>
        <v>1265.3190184959999</v>
      </c>
      <c r="J169" s="156">
        <f>I169+(I169*Inflación!J8)</f>
        <v>1315.9317792358399</v>
      </c>
      <c r="K169" s="156">
        <f>J169+(J169*Inflación!K8)</f>
        <v>1368.5690504052736</v>
      </c>
      <c r="L169" s="156">
        <f>K169+(K169*Inflación!L8)</f>
        <v>1423.3118124214845</v>
      </c>
    </row>
    <row r="170" spans="1:13" x14ac:dyDescent="0.2">
      <c r="A170" s="24" t="str">
        <f>Condiciones!A49</f>
        <v>Alquiler de Suelo</v>
      </c>
      <c r="C170" s="155">
        <v>0</v>
      </c>
      <c r="D170" s="156">
        <f>C170+(C170*Inflación!D8)</f>
        <v>0</v>
      </c>
      <c r="E170" s="156">
        <f>D170+(D170*Inflación!E8)</f>
        <v>0</v>
      </c>
      <c r="F170" s="156">
        <f>E170+(E170*Inflación!F8)</f>
        <v>0</v>
      </c>
      <c r="G170" s="156">
        <f>F170+(F170*Inflación!G8)</f>
        <v>0</v>
      </c>
      <c r="H170" s="156">
        <f>G170+(G170*Inflación!H8)</f>
        <v>0</v>
      </c>
      <c r="I170" s="156">
        <f>H170+(H170*Inflación!I8)</f>
        <v>0</v>
      </c>
      <c r="J170" s="156">
        <f>I170+(I170*Inflación!J8)</f>
        <v>0</v>
      </c>
      <c r="K170" s="156">
        <f>J170+(J170*Inflación!K8)</f>
        <v>0</v>
      </c>
      <c r="L170" s="156">
        <f>K170+(K170*Inflación!L8)</f>
        <v>0</v>
      </c>
      <c r="M170" s="156"/>
    </row>
    <row r="171" spans="1:13" x14ac:dyDescent="0.2">
      <c r="C171" s="156">
        <f>SUM(C156:C170)</f>
        <v>109500</v>
      </c>
      <c r="D171" s="156">
        <f t="shared" ref="D171:L171" si="54">SUM(D156:D170)</f>
        <v>113880</v>
      </c>
      <c r="E171" s="156">
        <f t="shared" si="54"/>
        <v>118435.2</v>
      </c>
      <c r="F171" s="156">
        <f t="shared" si="54"/>
        <v>123172.60800000001</v>
      </c>
      <c r="G171" s="156">
        <f t="shared" si="54"/>
        <v>128099.51231999998</v>
      </c>
      <c r="H171" s="156">
        <f t="shared" si="54"/>
        <v>133223.49281280002</v>
      </c>
      <c r="I171" s="156">
        <f t="shared" si="54"/>
        <v>138552.43252531198</v>
      </c>
      <c r="J171" s="156">
        <f t="shared" si="54"/>
        <v>144094.52982632443</v>
      </c>
      <c r="K171" s="156">
        <f t="shared" si="54"/>
        <v>149858.31101937743</v>
      </c>
      <c r="L171" s="156">
        <f t="shared" si="54"/>
        <v>155852.64346015255</v>
      </c>
    </row>
    <row r="172" spans="1:13" x14ac:dyDescent="0.2">
      <c r="C172" s="156"/>
      <c r="D172" s="156"/>
      <c r="E172" s="156"/>
      <c r="F172" s="156"/>
      <c r="G172" s="156"/>
      <c r="H172" s="156"/>
      <c r="I172" s="156"/>
      <c r="J172" s="156"/>
      <c r="K172" s="156"/>
      <c r="L172" s="156"/>
    </row>
    <row r="173" spans="1:13" x14ac:dyDescent="0.2">
      <c r="A173" s="145" t="s">
        <v>616</v>
      </c>
      <c r="C173" s="157">
        <f>+C93+C98+C103+C108+C118+C123+C128+C133+C138+C143+C148+C153+C171+C113</f>
        <v>418740</v>
      </c>
      <c r="D173" s="157">
        <f>+D93+D98+D103+D108+D118+D123+D128+D133+D138+D143+D148+D153+D171+D113</f>
        <v>435489.6</v>
      </c>
      <c r="E173" s="157">
        <f t="shared" ref="E173:L173" si="55">+E93+E98+E103+E108+E118+E123+E128+E133+E138+E143+E148+E153+E171+E113</f>
        <v>433440.38399999996</v>
      </c>
      <c r="F173" s="157">
        <f t="shared" si="55"/>
        <v>450777.99935999996</v>
      </c>
      <c r="G173" s="157">
        <f t="shared" si="55"/>
        <v>468809.11933439993</v>
      </c>
      <c r="H173" s="157">
        <f t="shared" si="55"/>
        <v>487561.48410777596</v>
      </c>
      <c r="I173" s="157">
        <f t="shared" si="55"/>
        <v>507063.94347208698</v>
      </c>
      <c r="J173" s="157">
        <f t="shared" si="55"/>
        <v>527346.50121097045</v>
      </c>
      <c r="K173" s="157">
        <f t="shared" si="55"/>
        <v>548440.36125940934</v>
      </c>
      <c r="L173" s="157">
        <f t="shared" si="55"/>
        <v>570377.97570978559</v>
      </c>
    </row>
    <row r="174" spans="1:13" x14ac:dyDescent="0.2">
      <c r="C174" s="146"/>
      <c r="D174" s="146"/>
      <c r="E174" s="146"/>
      <c r="F174" s="146"/>
      <c r="G174" s="146"/>
      <c r="H174" s="146"/>
      <c r="I174" s="146"/>
      <c r="J174" s="146"/>
      <c r="K174" s="146"/>
      <c r="L174" s="146"/>
    </row>
    <row r="175" spans="1:13" x14ac:dyDescent="0.2">
      <c r="A175" s="26" t="s">
        <v>553</v>
      </c>
      <c r="C175" s="157">
        <f>+C153+C171</f>
        <v>119700</v>
      </c>
      <c r="D175" s="157">
        <f t="shared" ref="D175:L175" si="56">+D153+D171</f>
        <v>124488</v>
      </c>
      <c r="E175" s="157">
        <f t="shared" si="56"/>
        <v>129467.51999999999</v>
      </c>
      <c r="F175" s="157">
        <f t="shared" si="56"/>
        <v>134646.22080000001</v>
      </c>
      <c r="G175" s="157">
        <f t="shared" si="56"/>
        <v>140032.06963199997</v>
      </c>
      <c r="H175" s="157">
        <f t="shared" si="56"/>
        <v>145633.35241728002</v>
      </c>
      <c r="I175" s="157">
        <f t="shared" si="56"/>
        <v>151458.68651397119</v>
      </c>
      <c r="J175" s="157">
        <f t="shared" si="56"/>
        <v>157517.03397453</v>
      </c>
      <c r="K175" s="157">
        <f t="shared" si="56"/>
        <v>163817.71533351124</v>
      </c>
      <c r="L175" s="157">
        <f t="shared" si="56"/>
        <v>170370.42394685169</v>
      </c>
    </row>
    <row r="176" spans="1:13" x14ac:dyDescent="0.2">
      <c r="C176" s="146"/>
      <c r="D176" s="146"/>
      <c r="E176" s="146"/>
      <c r="F176" s="146"/>
      <c r="G176" s="146"/>
      <c r="H176" s="146"/>
      <c r="I176" s="146"/>
      <c r="J176" s="146"/>
      <c r="K176" s="146"/>
      <c r="L176" s="146"/>
    </row>
    <row r="177" spans="1:12" x14ac:dyDescent="0.2">
      <c r="C177" s="146"/>
      <c r="D177" s="146"/>
      <c r="E177" s="146"/>
      <c r="F177" s="146"/>
      <c r="G177" s="146"/>
      <c r="H177" s="146"/>
      <c r="I177" s="146"/>
      <c r="J177" s="146"/>
      <c r="K177" s="146"/>
      <c r="L177" s="146"/>
    </row>
    <row r="178" spans="1:12" x14ac:dyDescent="0.2">
      <c r="A178" s="145" t="s">
        <v>632</v>
      </c>
    </row>
    <row r="179" spans="1:12" x14ac:dyDescent="0.2">
      <c r="A179" s="145"/>
    </row>
    <row r="180" spans="1:12" x14ac:dyDescent="0.2">
      <c r="A180" s="26" t="s">
        <v>219</v>
      </c>
    </row>
    <row r="181" spans="1:12" x14ac:dyDescent="0.2">
      <c r="A181" s="154" t="s">
        <v>218</v>
      </c>
      <c r="C181" s="25"/>
      <c r="D181" s="25"/>
      <c r="E181" s="25"/>
      <c r="F181" s="25"/>
      <c r="G181" s="25"/>
      <c r="H181" s="25"/>
      <c r="I181" s="25"/>
      <c r="J181" s="25"/>
      <c r="K181" s="25"/>
      <c r="L181" s="25"/>
    </row>
    <row r="182" spans="1:12" x14ac:dyDescent="0.2">
      <c r="A182" s="24" t="s">
        <v>146</v>
      </c>
      <c r="B182" s="25"/>
      <c r="C182" s="156">
        <f>+Ing.!E65*Tarifa!B51</f>
        <v>0</v>
      </c>
      <c r="D182" s="156">
        <f>+Ing.!F65*Tarifa!C51</f>
        <v>0</v>
      </c>
      <c r="E182" s="156">
        <f>+Ing.!G65*Tarifa!D51</f>
        <v>0</v>
      </c>
      <c r="F182" s="156">
        <f>+Ing.!H65*Tarifa!E51</f>
        <v>0</v>
      </c>
      <c r="G182" s="156">
        <f>+Ing.!I65*Tarifa!F51</f>
        <v>0</v>
      </c>
      <c r="H182" s="156">
        <f>+Ing.!J65*Tarifa!G51</f>
        <v>0</v>
      </c>
      <c r="I182" s="156">
        <f>+Ing.!K65*Tarifa!H51</f>
        <v>0</v>
      </c>
      <c r="J182" s="156">
        <f>+Ing.!L65*Tarifa!I51</f>
        <v>0</v>
      </c>
      <c r="K182" s="156">
        <f>+Ing.!M65*Tarifa!J51</f>
        <v>0</v>
      </c>
      <c r="L182" s="156">
        <f>+Ing.!N65*Tarifa!K51</f>
        <v>0</v>
      </c>
    </row>
    <row r="183" spans="1:12" x14ac:dyDescent="0.2">
      <c r="A183" s="24" t="s">
        <v>192</v>
      </c>
      <c r="C183" s="156">
        <f>+Ing.!E66*Tarifa!B52</f>
        <v>0</v>
      </c>
      <c r="D183" s="156">
        <f>+Ing.!F66*Tarifa!C52</f>
        <v>0</v>
      </c>
      <c r="E183" s="156">
        <f>+Ing.!G66*Tarifa!D52</f>
        <v>0</v>
      </c>
      <c r="F183" s="156">
        <f>+Ing.!H66*Tarifa!E52</f>
        <v>0</v>
      </c>
      <c r="G183" s="156">
        <f>+Ing.!I66*Tarifa!F52</f>
        <v>0</v>
      </c>
      <c r="H183" s="156">
        <f>+Ing.!J66*Tarifa!G52</f>
        <v>0</v>
      </c>
      <c r="I183" s="156">
        <f>+Ing.!K66*Tarifa!H52</f>
        <v>0</v>
      </c>
      <c r="J183" s="156">
        <f>+Ing.!L66*Tarifa!I52</f>
        <v>0</v>
      </c>
      <c r="K183" s="156">
        <f>+Ing.!M66*Tarifa!J52</f>
        <v>0</v>
      </c>
      <c r="L183" s="156">
        <f>+Ing.!N66*Tarifa!K52</f>
        <v>0</v>
      </c>
    </row>
    <row r="184" spans="1:12" x14ac:dyDescent="0.2">
      <c r="A184" s="24" t="s">
        <v>193</v>
      </c>
      <c r="C184" s="156">
        <f>+Ing.!E67*Tarifa!B53</f>
        <v>0</v>
      </c>
      <c r="D184" s="156">
        <f>+Ing.!F67*Tarifa!C53</f>
        <v>0</v>
      </c>
      <c r="E184" s="156">
        <f>+Ing.!G67*Tarifa!D53</f>
        <v>0</v>
      </c>
      <c r="F184" s="156">
        <f>+Ing.!H67*Tarifa!E53</f>
        <v>0</v>
      </c>
      <c r="G184" s="156">
        <f>+Ing.!I67*Tarifa!F53</f>
        <v>0</v>
      </c>
      <c r="H184" s="156">
        <f>+Ing.!J67*Tarifa!G53</f>
        <v>0</v>
      </c>
      <c r="I184" s="156">
        <f>+Ing.!K67*Tarifa!H53</f>
        <v>0</v>
      </c>
      <c r="J184" s="156">
        <f>+Ing.!L67*Tarifa!I53</f>
        <v>0</v>
      </c>
      <c r="K184" s="156">
        <f>+Ing.!M67*Tarifa!J53</f>
        <v>0</v>
      </c>
      <c r="L184" s="156">
        <f>+Ing.!N67*Tarifa!K53</f>
        <v>0</v>
      </c>
    </row>
    <row r="185" spans="1:12" x14ac:dyDescent="0.2">
      <c r="A185" s="24" t="s">
        <v>171</v>
      </c>
      <c r="C185" s="156">
        <f>+Ing.!E68*Tarifa!B54</f>
        <v>0</v>
      </c>
      <c r="D185" s="156">
        <f>+Ing.!F68*Tarifa!C54</f>
        <v>0</v>
      </c>
      <c r="E185" s="156">
        <f>+Ing.!G68*Tarifa!D54</f>
        <v>0</v>
      </c>
      <c r="F185" s="156">
        <f>+Ing.!H68*Tarifa!E54</f>
        <v>0</v>
      </c>
      <c r="G185" s="156">
        <f>+Ing.!I68*Tarifa!F54</f>
        <v>0</v>
      </c>
      <c r="H185" s="156">
        <f>+Ing.!J68*Tarifa!G54</f>
        <v>0</v>
      </c>
      <c r="I185" s="156">
        <f>+Ing.!K68*Tarifa!H54</f>
        <v>0</v>
      </c>
      <c r="J185" s="156">
        <f>+Ing.!L68*Tarifa!I54</f>
        <v>0</v>
      </c>
      <c r="K185" s="156">
        <f>+Ing.!M68*Tarifa!J54</f>
        <v>0</v>
      </c>
      <c r="L185" s="156">
        <f>+Ing.!N68*Tarifa!K54</f>
        <v>0</v>
      </c>
    </row>
    <row r="186" spans="1:12" x14ac:dyDescent="0.2">
      <c r="A186" s="24" t="s">
        <v>11</v>
      </c>
      <c r="C186" s="156">
        <f>+Ing.!E69*Tarifa!B55</f>
        <v>0</v>
      </c>
      <c r="D186" s="156">
        <f>+Ing.!F69*Tarifa!C55</f>
        <v>0</v>
      </c>
      <c r="E186" s="156">
        <f>+Ing.!G69*Tarifa!D55</f>
        <v>0</v>
      </c>
      <c r="F186" s="156">
        <f>+Ing.!H69*Tarifa!E55</f>
        <v>0</v>
      </c>
      <c r="G186" s="156">
        <f>+Ing.!I69*Tarifa!F55</f>
        <v>0</v>
      </c>
      <c r="H186" s="156">
        <f>+Ing.!J69*Tarifa!G55</f>
        <v>0</v>
      </c>
      <c r="I186" s="156">
        <f>+Ing.!K69*Tarifa!H55</f>
        <v>0</v>
      </c>
      <c r="J186" s="156">
        <f>+Ing.!L69*Tarifa!I55</f>
        <v>0</v>
      </c>
      <c r="K186" s="156">
        <f>+Ing.!M69*Tarifa!J55</f>
        <v>0</v>
      </c>
      <c r="L186" s="156">
        <f>+Ing.!N69*Tarifa!K55</f>
        <v>0</v>
      </c>
    </row>
    <row r="187" spans="1:12" x14ac:dyDescent="0.2">
      <c r="C187" s="157">
        <f>SUM(C182:C186)</f>
        <v>0</v>
      </c>
      <c r="D187" s="157">
        <f t="shared" ref="D187:L187" si="57">SUM(D182:D186)</f>
        <v>0</v>
      </c>
      <c r="E187" s="157">
        <f t="shared" si="57"/>
        <v>0</v>
      </c>
      <c r="F187" s="157">
        <f t="shared" si="57"/>
        <v>0</v>
      </c>
      <c r="G187" s="157">
        <f t="shared" si="57"/>
        <v>0</v>
      </c>
      <c r="H187" s="157">
        <f t="shared" si="57"/>
        <v>0</v>
      </c>
      <c r="I187" s="157">
        <f t="shared" si="57"/>
        <v>0</v>
      </c>
      <c r="J187" s="157">
        <f t="shared" si="57"/>
        <v>0</v>
      </c>
      <c r="K187" s="157">
        <f t="shared" si="57"/>
        <v>0</v>
      </c>
      <c r="L187" s="157">
        <f t="shared" si="57"/>
        <v>0</v>
      </c>
    </row>
    <row r="188" spans="1:12" x14ac:dyDescent="0.2">
      <c r="A188" s="24" t="s">
        <v>183</v>
      </c>
      <c r="C188" s="155" t="s">
        <v>183</v>
      </c>
      <c r="D188" s="156" t="s">
        <v>183</v>
      </c>
      <c r="E188" s="156" t="s">
        <v>183</v>
      </c>
      <c r="F188" s="156" t="s">
        <v>183</v>
      </c>
      <c r="G188" s="156" t="s">
        <v>183</v>
      </c>
      <c r="H188" s="156" t="s">
        <v>183</v>
      </c>
      <c r="I188" s="156" t="s">
        <v>183</v>
      </c>
      <c r="J188" s="156" t="s">
        <v>183</v>
      </c>
      <c r="K188" s="156" t="s">
        <v>183</v>
      </c>
      <c r="L188" s="156" t="s">
        <v>183</v>
      </c>
    </row>
    <row r="189" spans="1:12" x14ac:dyDescent="0.2">
      <c r="A189" s="154" t="s">
        <v>630</v>
      </c>
      <c r="C189" s="25"/>
      <c r="D189" s="25"/>
      <c r="E189" s="25"/>
      <c r="F189" s="25"/>
      <c r="G189" s="25"/>
      <c r="H189" s="25"/>
      <c r="I189" s="25"/>
      <c r="J189" s="25"/>
      <c r="K189" s="25"/>
      <c r="L189" s="25"/>
    </row>
    <row r="190" spans="1:12" x14ac:dyDescent="0.2">
      <c r="A190" s="24" t="s">
        <v>146</v>
      </c>
      <c r="B190" s="179"/>
      <c r="C190" s="156">
        <f>+Ing.!E65*Tarifa!B59</f>
        <v>0</v>
      </c>
      <c r="D190" s="156">
        <f>+Ing.!F65*Tarifa!C59</f>
        <v>0</v>
      </c>
      <c r="E190" s="156">
        <f>+Ing.!G65*Tarifa!D59</f>
        <v>0</v>
      </c>
      <c r="F190" s="156">
        <f>+Ing.!H65*Tarifa!E59</f>
        <v>0</v>
      </c>
      <c r="G190" s="156">
        <f>+Ing.!I65*Tarifa!F59</f>
        <v>0</v>
      </c>
      <c r="H190" s="156">
        <f>+Ing.!J65*Tarifa!G59</f>
        <v>0</v>
      </c>
      <c r="I190" s="156">
        <f>+Ing.!K65*Tarifa!H59</f>
        <v>0</v>
      </c>
      <c r="J190" s="156">
        <f>+Ing.!L65*Tarifa!I59</f>
        <v>0</v>
      </c>
      <c r="K190" s="156">
        <f>+Ing.!M65*Tarifa!J59</f>
        <v>0</v>
      </c>
      <c r="L190" s="156">
        <f>+Ing.!N65*Tarifa!K59</f>
        <v>0</v>
      </c>
    </row>
    <row r="191" spans="1:12" x14ac:dyDescent="0.2">
      <c r="A191" s="24" t="s">
        <v>192</v>
      </c>
      <c r="C191" s="156">
        <f>+Ing.!E66*Tarifa!B60</f>
        <v>0</v>
      </c>
      <c r="D191" s="156">
        <f>+Ing.!F66*Tarifa!C60</f>
        <v>0</v>
      </c>
      <c r="E191" s="156">
        <f>+Ing.!G66*Tarifa!D60</f>
        <v>0</v>
      </c>
      <c r="F191" s="156">
        <f>+Ing.!H66*Tarifa!E60</f>
        <v>0</v>
      </c>
      <c r="G191" s="156">
        <f>+Ing.!I66*Tarifa!F60</f>
        <v>0</v>
      </c>
      <c r="H191" s="156">
        <f>+Ing.!J66*Tarifa!G60</f>
        <v>0</v>
      </c>
      <c r="I191" s="156">
        <f>+Ing.!K66*Tarifa!H60</f>
        <v>0</v>
      </c>
      <c r="J191" s="156">
        <f>+Ing.!L66*Tarifa!I60</f>
        <v>0</v>
      </c>
      <c r="K191" s="156">
        <f>+Ing.!M66*Tarifa!J60</f>
        <v>0</v>
      </c>
      <c r="L191" s="156">
        <f>+Ing.!N66*Tarifa!K60</f>
        <v>0</v>
      </c>
    </row>
    <row r="192" spans="1:12" x14ac:dyDescent="0.2">
      <c r="A192" s="24" t="s">
        <v>193</v>
      </c>
      <c r="C192" s="156">
        <f>+Ing.!E67*Tarifa!B61</f>
        <v>0</v>
      </c>
      <c r="D192" s="156">
        <f>+Ing.!F67*Tarifa!C61</f>
        <v>0</v>
      </c>
      <c r="E192" s="156">
        <f>+Ing.!G67*Tarifa!D61</f>
        <v>0</v>
      </c>
      <c r="F192" s="156">
        <f>+Ing.!H67*Tarifa!E61</f>
        <v>0</v>
      </c>
      <c r="G192" s="156">
        <f>+Ing.!I67*Tarifa!F61</f>
        <v>0</v>
      </c>
      <c r="H192" s="156">
        <f>+Ing.!J67*Tarifa!G61</f>
        <v>0</v>
      </c>
      <c r="I192" s="156">
        <f>+Ing.!K67*Tarifa!H61</f>
        <v>0</v>
      </c>
      <c r="J192" s="156">
        <f>+Ing.!L67*Tarifa!I61</f>
        <v>0</v>
      </c>
      <c r="K192" s="156">
        <f>+Ing.!M67*Tarifa!J61</f>
        <v>0</v>
      </c>
      <c r="L192" s="156">
        <f>+Ing.!N67*Tarifa!K61</f>
        <v>0</v>
      </c>
    </row>
    <row r="193" spans="1:12" x14ac:dyDescent="0.2">
      <c r="A193" s="24" t="s">
        <v>171</v>
      </c>
      <c r="C193" s="156">
        <f>+Ing.!E68*Tarifa!B62</f>
        <v>0</v>
      </c>
      <c r="D193" s="156">
        <f>+Ing.!F68*Tarifa!C62</f>
        <v>0</v>
      </c>
      <c r="E193" s="156">
        <f>+Ing.!G68*Tarifa!D62</f>
        <v>0</v>
      </c>
      <c r="F193" s="156">
        <f>+Ing.!H68*Tarifa!E62</f>
        <v>0</v>
      </c>
      <c r="G193" s="156">
        <f>+Ing.!I68*Tarifa!F62</f>
        <v>0</v>
      </c>
      <c r="H193" s="156">
        <f>+Ing.!J68*Tarifa!G62</f>
        <v>0</v>
      </c>
      <c r="I193" s="156">
        <f>+Ing.!K68*Tarifa!H62</f>
        <v>0</v>
      </c>
      <c r="J193" s="156">
        <f>+Ing.!L68*Tarifa!I62</f>
        <v>0</v>
      </c>
      <c r="K193" s="156">
        <f>+Ing.!M68*Tarifa!J62</f>
        <v>0</v>
      </c>
      <c r="L193" s="156">
        <f>+Ing.!N68*Tarifa!K62</f>
        <v>0</v>
      </c>
    </row>
    <row r="194" spans="1:12" x14ac:dyDescent="0.2">
      <c r="A194" s="24" t="s">
        <v>11</v>
      </c>
      <c r="C194" s="156">
        <f>+Ing.!E69*Tarifa!B63</f>
        <v>0</v>
      </c>
      <c r="D194" s="156">
        <f>+Ing.!F69*Tarifa!C63</f>
        <v>0</v>
      </c>
      <c r="E194" s="156">
        <f>+Ing.!G69*Tarifa!D63</f>
        <v>0</v>
      </c>
      <c r="F194" s="156">
        <f>+Ing.!H69*Tarifa!E63</f>
        <v>0</v>
      </c>
      <c r="G194" s="156">
        <f>+Ing.!I69*Tarifa!F63</f>
        <v>0</v>
      </c>
      <c r="H194" s="156">
        <f>+Ing.!J69*Tarifa!G63</f>
        <v>0</v>
      </c>
      <c r="I194" s="156">
        <f>+Ing.!K69*Tarifa!H63</f>
        <v>0</v>
      </c>
      <c r="J194" s="156">
        <f>+Ing.!L69*Tarifa!I63</f>
        <v>0</v>
      </c>
      <c r="K194" s="156">
        <f>+Ing.!M69*Tarifa!J63</f>
        <v>0</v>
      </c>
      <c r="L194" s="156">
        <f>+Ing.!N69*Tarifa!K63</f>
        <v>0</v>
      </c>
    </row>
    <row r="195" spans="1:12" x14ac:dyDescent="0.2">
      <c r="A195" s="24" t="s">
        <v>183</v>
      </c>
      <c r="B195" s="179"/>
      <c r="C195" s="157">
        <f>SUM(C190:C194)</f>
        <v>0</v>
      </c>
      <c r="D195" s="157">
        <f t="shared" ref="D195:L195" si="58">SUM(D190:D194)</f>
        <v>0</v>
      </c>
      <c r="E195" s="157">
        <f t="shared" si="58"/>
        <v>0</v>
      </c>
      <c r="F195" s="157">
        <f t="shared" si="58"/>
        <v>0</v>
      </c>
      <c r="G195" s="157">
        <f t="shared" si="58"/>
        <v>0</v>
      </c>
      <c r="H195" s="157">
        <f t="shared" si="58"/>
        <v>0</v>
      </c>
      <c r="I195" s="157">
        <f t="shared" si="58"/>
        <v>0</v>
      </c>
      <c r="J195" s="157">
        <f t="shared" si="58"/>
        <v>0</v>
      </c>
      <c r="K195" s="157">
        <f t="shared" si="58"/>
        <v>0</v>
      </c>
      <c r="L195" s="157">
        <f t="shared" si="58"/>
        <v>0</v>
      </c>
    </row>
    <row r="196" spans="1:12" x14ac:dyDescent="0.2">
      <c r="A196" s="24" t="s">
        <v>183</v>
      </c>
      <c r="C196" s="155" t="s">
        <v>183</v>
      </c>
      <c r="D196" s="155" t="s">
        <v>183</v>
      </c>
      <c r="E196" s="155" t="s">
        <v>183</v>
      </c>
      <c r="F196" s="155" t="s">
        <v>183</v>
      </c>
      <c r="G196" s="155" t="s">
        <v>183</v>
      </c>
      <c r="H196" s="155" t="s">
        <v>183</v>
      </c>
      <c r="I196" s="155" t="s">
        <v>183</v>
      </c>
      <c r="J196" s="155" t="s">
        <v>183</v>
      </c>
      <c r="K196" s="155" t="s">
        <v>183</v>
      </c>
      <c r="L196" s="155" t="s">
        <v>183</v>
      </c>
    </row>
    <row r="197" spans="1:12" x14ac:dyDescent="0.2">
      <c r="A197" s="24" t="s">
        <v>196</v>
      </c>
      <c r="C197" s="156">
        <f>+Ing.!E72*Tarifa!B59</f>
        <v>0</v>
      </c>
      <c r="D197" s="156">
        <f>+Ing.!F72*Tarifa!C59</f>
        <v>0</v>
      </c>
      <c r="E197" s="156">
        <f>+Ing.!G72*Tarifa!D59</f>
        <v>0</v>
      </c>
      <c r="F197" s="156">
        <f>+Ing.!H72*Tarifa!E59</f>
        <v>0</v>
      </c>
      <c r="G197" s="156">
        <f>+Ing.!I72*Tarifa!F59</f>
        <v>0</v>
      </c>
      <c r="H197" s="156">
        <f>+Ing.!J72*Tarifa!G59</f>
        <v>0</v>
      </c>
      <c r="I197" s="156">
        <f>+Ing.!K72*Tarifa!H59</f>
        <v>0</v>
      </c>
      <c r="J197" s="156">
        <f>+Ing.!L72*Tarifa!I59</f>
        <v>0</v>
      </c>
      <c r="K197" s="156">
        <f>+Ing.!M72*Tarifa!J59</f>
        <v>0</v>
      </c>
      <c r="L197" s="156">
        <f>+Ing.!N72*Tarifa!K59</f>
        <v>0</v>
      </c>
    </row>
    <row r="198" spans="1:12" x14ac:dyDescent="0.2">
      <c r="C198" s="156"/>
      <c r="D198" s="156"/>
      <c r="E198" s="156"/>
      <c r="F198" s="156"/>
      <c r="G198" s="156"/>
      <c r="H198" s="156"/>
      <c r="I198" s="156"/>
      <c r="J198" s="156"/>
      <c r="K198" s="156"/>
      <c r="L198" s="156"/>
    </row>
    <row r="199" spans="1:12" s="26" customFormat="1" x14ac:dyDescent="0.2">
      <c r="A199" s="28" t="s">
        <v>220</v>
      </c>
      <c r="C199" s="157">
        <f t="shared" ref="C199:L199" si="59">+C187+C195+C197</f>
        <v>0</v>
      </c>
      <c r="D199" s="157">
        <f t="shared" si="59"/>
        <v>0</v>
      </c>
      <c r="E199" s="157">
        <f t="shared" si="59"/>
        <v>0</v>
      </c>
      <c r="F199" s="157">
        <f t="shared" si="59"/>
        <v>0</v>
      </c>
      <c r="G199" s="157">
        <f t="shared" si="59"/>
        <v>0</v>
      </c>
      <c r="H199" s="157">
        <f t="shared" si="59"/>
        <v>0</v>
      </c>
      <c r="I199" s="157">
        <f t="shared" si="59"/>
        <v>0</v>
      </c>
      <c r="J199" s="157">
        <f t="shared" si="59"/>
        <v>0</v>
      </c>
      <c r="K199" s="157">
        <f t="shared" si="59"/>
        <v>0</v>
      </c>
      <c r="L199" s="157">
        <f t="shared" si="59"/>
        <v>0</v>
      </c>
    </row>
    <row r="200" spans="1:12" x14ac:dyDescent="0.2">
      <c r="C200" s="156"/>
      <c r="D200" s="156"/>
      <c r="E200" s="156"/>
      <c r="F200" s="156"/>
      <c r="G200" s="156"/>
      <c r="H200" s="156"/>
      <c r="I200" s="156"/>
      <c r="J200" s="156"/>
      <c r="K200" s="156"/>
      <c r="L200" s="156"/>
    </row>
    <row r="201" spans="1:12" x14ac:dyDescent="0.2">
      <c r="C201" s="156"/>
      <c r="D201" s="156"/>
      <c r="E201" s="156"/>
      <c r="F201" s="156"/>
      <c r="G201" s="156"/>
      <c r="H201" s="156"/>
      <c r="I201" s="156"/>
      <c r="J201" s="156"/>
      <c r="K201" s="156"/>
      <c r="L201" s="156"/>
    </row>
    <row r="202" spans="1:12" x14ac:dyDescent="0.2">
      <c r="A202" s="26" t="s">
        <v>601</v>
      </c>
    </row>
    <row r="203" spans="1:12" x14ac:dyDescent="0.2">
      <c r="A203" s="154" t="s">
        <v>218</v>
      </c>
      <c r="C203" s="25"/>
      <c r="D203" s="25"/>
      <c r="E203" s="25"/>
      <c r="F203" s="25"/>
      <c r="G203" s="25"/>
      <c r="H203" s="25"/>
      <c r="I203" s="25"/>
      <c r="J203" s="25"/>
      <c r="K203" s="25"/>
      <c r="L203" s="25"/>
    </row>
    <row r="204" spans="1:12" x14ac:dyDescent="0.2">
      <c r="A204" s="24" t="s">
        <v>146</v>
      </c>
      <c r="B204" s="25"/>
      <c r="C204" s="156">
        <f>+Ing.!E102*Tarifa!B51</f>
        <v>0</v>
      </c>
      <c r="D204" s="156">
        <f>+Ing.!F102*Tarifa!C51</f>
        <v>0</v>
      </c>
      <c r="E204" s="156">
        <f>+Ing.!G102*Tarifa!D51</f>
        <v>0</v>
      </c>
      <c r="F204" s="156">
        <f>+Ing.!H102*Tarifa!E51</f>
        <v>0</v>
      </c>
      <c r="G204" s="156">
        <f>+Ing.!I102*Tarifa!F51</f>
        <v>0</v>
      </c>
      <c r="H204" s="156">
        <f>+Ing.!J102*Tarifa!G51</f>
        <v>0</v>
      </c>
      <c r="I204" s="156">
        <f>+Ing.!K102*Tarifa!H51</f>
        <v>0</v>
      </c>
      <c r="J204" s="156">
        <f>+Ing.!L102*Tarifa!I51</f>
        <v>0</v>
      </c>
      <c r="K204" s="156">
        <f>+Ing.!M102*Tarifa!J51</f>
        <v>0</v>
      </c>
      <c r="L204" s="156">
        <f>+Ing.!N102*Tarifa!K51</f>
        <v>0</v>
      </c>
    </row>
    <row r="205" spans="1:12" x14ac:dyDescent="0.2">
      <c r="A205" s="24" t="s">
        <v>192</v>
      </c>
      <c r="C205" s="156">
        <f>+Ing.!E103*Tarifa!B52</f>
        <v>0</v>
      </c>
      <c r="D205" s="156">
        <f>+Ing.!F103*Tarifa!C52</f>
        <v>0</v>
      </c>
      <c r="E205" s="156">
        <f>+Ing.!G103*Tarifa!D52</f>
        <v>0</v>
      </c>
      <c r="F205" s="156">
        <f>+Ing.!H103*Tarifa!E52</f>
        <v>0</v>
      </c>
      <c r="G205" s="156">
        <f>+Ing.!I103*Tarifa!F52</f>
        <v>0</v>
      </c>
      <c r="H205" s="156">
        <f>+Ing.!J103*Tarifa!G52</f>
        <v>0</v>
      </c>
      <c r="I205" s="156">
        <f>+Ing.!K103*Tarifa!H52</f>
        <v>0</v>
      </c>
      <c r="J205" s="156">
        <f>+Ing.!L103*Tarifa!I52</f>
        <v>0</v>
      </c>
      <c r="K205" s="156">
        <f>+Ing.!M103*Tarifa!J52</f>
        <v>0</v>
      </c>
      <c r="L205" s="156">
        <f>+Ing.!N103*Tarifa!K52</f>
        <v>0</v>
      </c>
    </row>
    <row r="206" spans="1:12" x14ac:dyDescent="0.2">
      <c r="A206" s="24" t="s">
        <v>193</v>
      </c>
      <c r="C206" s="156">
        <f>+Ing.!E104*Tarifa!B53</f>
        <v>0</v>
      </c>
      <c r="D206" s="156">
        <f>+Ing.!F104*Tarifa!C53</f>
        <v>0</v>
      </c>
      <c r="E206" s="156">
        <f>+Ing.!G104*Tarifa!D53</f>
        <v>0</v>
      </c>
      <c r="F206" s="156">
        <f>+Ing.!H104*Tarifa!E53</f>
        <v>0</v>
      </c>
      <c r="G206" s="156">
        <f>+Ing.!I104*Tarifa!F53</f>
        <v>0</v>
      </c>
      <c r="H206" s="156">
        <f>+Ing.!J104*Tarifa!G53</f>
        <v>0</v>
      </c>
      <c r="I206" s="156">
        <f>+Ing.!K104*Tarifa!H53</f>
        <v>0</v>
      </c>
      <c r="J206" s="156">
        <f>+Ing.!L104*Tarifa!I53</f>
        <v>0</v>
      </c>
      <c r="K206" s="156">
        <f>+Ing.!M104*Tarifa!J53</f>
        <v>0</v>
      </c>
      <c r="L206" s="156">
        <f>+Ing.!N104*Tarifa!K53</f>
        <v>0</v>
      </c>
    </row>
    <row r="207" spans="1:12" x14ac:dyDescent="0.2">
      <c r="A207" s="24" t="s">
        <v>171</v>
      </c>
      <c r="C207" s="156">
        <f>+Ing.!E105*Tarifa!B54</f>
        <v>0</v>
      </c>
      <c r="D207" s="156">
        <f>+Ing.!F105*Tarifa!C54</f>
        <v>0</v>
      </c>
      <c r="E207" s="156">
        <f>+Ing.!G105*Tarifa!D54</f>
        <v>0</v>
      </c>
      <c r="F207" s="156">
        <f>+Ing.!H105*Tarifa!E54</f>
        <v>0</v>
      </c>
      <c r="G207" s="156">
        <f>+Ing.!I105*Tarifa!F54</f>
        <v>0</v>
      </c>
      <c r="H207" s="156">
        <f>+Ing.!J105*Tarifa!G54</f>
        <v>0</v>
      </c>
      <c r="I207" s="156">
        <f>+Ing.!K105*Tarifa!H54</f>
        <v>0</v>
      </c>
      <c r="J207" s="156">
        <f>+Ing.!L105*Tarifa!I54</f>
        <v>0</v>
      </c>
      <c r="K207" s="156">
        <f>+Ing.!M105*Tarifa!J54</f>
        <v>0</v>
      </c>
      <c r="L207" s="156">
        <f>+Ing.!N105*Tarifa!K54</f>
        <v>0</v>
      </c>
    </row>
    <row r="208" spans="1:12" x14ac:dyDescent="0.2">
      <c r="A208" s="24" t="s">
        <v>11</v>
      </c>
      <c r="C208" s="156">
        <f>+Ing.!E106*Tarifa!B55</f>
        <v>0</v>
      </c>
      <c r="D208" s="156">
        <f>+Ing.!F106*Tarifa!C55</f>
        <v>0</v>
      </c>
      <c r="E208" s="156">
        <f>+Ing.!G106*Tarifa!D55</f>
        <v>0</v>
      </c>
      <c r="F208" s="156">
        <f>+Ing.!H106*Tarifa!E55</f>
        <v>0</v>
      </c>
      <c r="G208" s="156">
        <f>+Ing.!I106*Tarifa!F55</f>
        <v>0</v>
      </c>
      <c r="H208" s="156">
        <f>+Ing.!J106*Tarifa!G55</f>
        <v>0</v>
      </c>
      <c r="I208" s="156">
        <f>+Ing.!K106*Tarifa!H55</f>
        <v>0</v>
      </c>
      <c r="J208" s="156">
        <f>+Ing.!L106*Tarifa!I55</f>
        <v>0</v>
      </c>
      <c r="K208" s="156">
        <f>+Ing.!M106*Tarifa!J55</f>
        <v>0</v>
      </c>
      <c r="L208" s="156">
        <f>+Ing.!N106*Tarifa!K55</f>
        <v>0</v>
      </c>
    </row>
    <row r="209" spans="1:12" x14ac:dyDescent="0.2">
      <c r="C209" s="157">
        <f>SUM(C204:C208)</f>
        <v>0</v>
      </c>
      <c r="D209" s="157">
        <f t="shared" ref="D209:L209" si="60">SUM(D204:D208)</f>
        <v>0</v>
      </c>
      <c r="E209" s="157">
        <f t="shared" si="60"/>
        <v>0</v>
      </c>
      <c r="F209" s="157">
        <f t="shared" si="60"/>
        <v>0</v>
      </c>
      <c r="G209" s="157">
        <f t="shared" si="60"/>
        <v>0</v>
      </c>
      <c r="H209" s="157">
        <f t="shared" si="60"/>
        <v>0</v>
      </c>
      <c r="I209" s="157">
        <f t="shared" si="60"/>
        <v>0</v>
      </c>
      <c r="J209" s="157">
        <f t="shared" si="60"/>
        <v>0</v>
      </c>
      <c r="K209" s="157">
        <f t="shared" si="60"/>
        <v>0</v>
      </c>
      <c r="L209" s="157">
        <f t="shared" si="60"/>
        <v>0</v>
      </c>
    </row>
    <row r="210" spans="1:12" x14ac:dyDescent="0.2">
      <c r="A210" s="24" t="s">
        <v>183</v>
      </c>
      <c r="C210" s="155" t="s">
        <v>183</v>
      </c>
      <c r="D210" s="156" t="s">
        <v>183</v>
      </c>
      <c r="E210" s="156" t="s">
        <v>183</v>
      </c>
      <c r="F210" s="156" t="s">
        <v>183</v>
      </c>
      <c r="G210" s="156" t="s">
        <v>183</v>
      </c>
      <c r="H210" s="156" t="s">
        <v>183</v>
      </c>
      <c r="I210" s="156" t="s">
        <v>183</v>
      </c>
      <c r="J210" s="156" t="s">
        <v>183</v>
      </c>
      <c r="K210" s="156" t="s">
        <v>183</v>
      </c>
      <c r="L210" s="156" t="s">
        <v>183</v>
      </c>
    </row>
    <row r="211" spans="1:12" x14ac:dyDescent="0.2">
      <c r="A211" s="154" t="s">
        <v>630</v>
      </c>
      <c r="C211" s="25"/>
      <c r="D211" s="25"/>
      <c r="E211" s="25"/>
      <c r="F211" s="25"/>
      <c r="G211" s="25"/>
      <c r="H211" s="25"/>
      <c r="I211" s="25"/>
      <c r="J211" s="25"/>
      <c r="K211" s="25"/>
      <c r="L211" s="25"/>
    </row>
    <row r="212" spans="1:12" x14ac:dyDescent="0.2">
      <c r="A212" s="24" t="s">
        <v>146</v>
      </c>
      <c r="B212" s="179"/>
      <c r="C212" s="156">
        <f>+Ing.!E102*Tarifa!B59</f>
        <v>0</v>
      </c>
      <c r="D212" s="156">
        <f>+Ing.!F102*Tarifa!C59</f>
        <v>0</v>
      </c>
      <c r="E212" s="156">
        <f>+Ing.!G102*Tarifa!D59</f>
        <v>0</v>
      </c>
      <c r="F212" s="156">
        <f>+Ing.!H102*Tarifa!E59</f>
        <v>0</v>
      </c>
      <c r="G212" s="156">
        <f>+Ing.!I102*Tarifa!F59</f>
        <v>0</v>
      </c>
      <c r="H212" s="156">
        <f>+Ing.!J102*Tarifa!G59</f>
        <v>0</v>
      </c>
      <c r="I212" s="156">
        <f>+Ing.!K102*Tarifa!H59</f>
        <v>0</v>
      </c>
      <c r="J212" s="156">
        <f>+Ing.!L102*Tarifa!I59</f>
        <v>0</v>
      </c>
      <c r="K212" s="156">
        <f>+Ing.!M102*Tarifa!J59</f>
        <v>0</v>
      </c>
      <c r="L212" s="156">
        <f>+Ing.!N102*Tarifa!K59</f>
        <v>0</v>
      </c>
    </row>
    <row r="213" spans="1:12" x14ac:dyDescent="0.2">
      <c r="A213" s="24" t="s">
        <v>192</v>
      </c>
      <c r="C213" s="156">
        <f>+Ing.!E103*Tarifa!B60</f>
        <v>0</v>
      </c>
      <c r="D213" s="156">
        <f>+Ing.!F103*Tarifa!C60</f>
        <v>0</v>
      </c>
      <c r="E213" s="156">
        <f>+Ing.!G103*Tarifa!D60</f>
        <v>0</v>
      </c>
      <c r="F213" s="156">
        <f>+Ing.!H103*Tarifa!E60</f>
        <v>0</v>
      </c>
      <c r="G213" s="156">
        <f>+Ing.!I103*Tarifa!F60</f>
        <v>0</v>
      </c>
      <c r="H213" s="156">
        <f>+Ing.!J103*Tarifa!G60</f>
        <v>0</v>
      </c>
      <c r="I213" s="156">
        <f>+Ing.!K103*Tarifa!H60</f>
        <v>0</v>
      </c>
      <c r="J213" s="156">
        <f>+Ing.!L103*Tarifa!I60</f>
        <v>0</v>
      </c>
      <c r="K213" s="156">
        <f>+Ing.!M103*Tarifa!J60</f>
        <v>0</v>
      </c>
      <c r="L213" s="156">
        <f>+Ing.!N103*Tarifa!K60</f>
        <v>0</v>
      </c>
    </row>
    <row r="214" spans="1:12" x14ac:dyDescent="0.2">
      <c r="A214" s="24" t="s">
        <v>193</v>
      </c>
      <c r="C214" s="156">
        <f>+Ing.!E104*Tarifa!B61</f>
        <v>0</v>
      </c>
      <c r="D214" s="156">
        <f>+Ing.!F104*Tarifa!C61</f>
        <v>0</v>
      </c>
      <c r="E214" s="156">
        <f>+Ing.!G104*Tarifa!D61</f>
        <v>0</v>
      </c>
      <c r="F214" s="156">
        <f>+Ing.!H104*Tarifa!E61</f>
        <v>0</v>
      </c>
      <c r="G214" s="156">
        <f>+Ing.!I104*Tarifa!F61</f>
        <v>0</v>
      </c>
      <c r="H214" s="156">
        <f>+Ing.!J104*Tarifa!G61</f>
        <v>0</v>
      </c>
      <c r="I214" s="156">
        <f>+Ing.!K104*Tarifa!H61</f>
        <v>0</v>
      </c>
      <c r="J214" s="156">
        <f>+Ing.!L104*Tarifa!I61</f>
        <v>0</v>
      </c>
      <c r="K214" s="156">
        <f>+Ing.!M104*Tarifa!J61</f>
        <v>0</v>
      </c>
      <c r="L214" s="156">
        <f>+Ing.!N104*Tarifa!K61</f>
        <v>0</v>
      </c>
    </row>
    <row r="215" spans="1:12" x14ac:dyDescent="0.2">
      <c r="A215" s="24" t="s">
        <v>171</v>
      </c>
      <c r="C215" s="156">
        <f>+Ing.!E105*Tarifa!B62</f>
        <v>0</v>
      </c>
      <c r="D215" s="156">
        <f>+Ing.!F105*Tarifa!C62</f>
        <v>0</v>
      </c>
      <c r="E215" s="156">
        <f>+Ing.!G105*Tarifa!D62</f>
        <v>0</v>
      </c>
      <c r="F215" s="156">
        <f>+Ing.!H105*Tarifa!E62</f>
        <v>0</v>
      </c>
      <c r="G215" s="156">
        <f>+Ing.!I105*Tarifa!F62</f>
        <v>0</v>
      </c>
      <c r="H215" s="156">
        <f>+Ing.!J105*Tarifa!G62</f>
        <v>0</v>
      </c>
      <c r="I215" s="156">
        <f>+Ing.!K105*Tarifa!H62</f>
        <v>0</v>
      </c>
      <c r="J215" s="156">
        <f>+Ing.!L105*Tarifa!I62</f>
        <v>0</v>
      </c>
      <c r="K215" s="156">
        <f>+Ing.!M105*Tarifa!J62</f>
        <v>0</v>
      </c>
      <c r="L215" s="156">
        <f>+Ing.!N105*Tarifa!K62</f>
        <v>0</v>
      </c>
    </row>
    <row r="216" spans="1:12" x14ac:dyDescent="0.2">
      <c r="A216" s="24" t="s">
        <v>11</v>
      </c>
      <c r="C216" s="156">
        <f>+Ing.!E106*Tarifa!B63</f>
        <v>0</v>
      </c>
      <c r="D216" s="156">
        <f>+Ing.!F106*Tarifa!C63</f>
        <v>0</v>
      </c>
      <c r="E216" s="156">
        <f>+Ing.!G106*Tarifa!D63</f>
        <v>0</v>
      </c>
      <c r="F216" s="156">
        <f>+Ing.!H106*Tarifa!E63</f>
        <v>0</v>
      </c>
      <c r="G216" s="156">
        <f>+Ing.!I106*Tarifa!F63</f>
        <v>0</v>
      </c>
      <c r="H216" s="156">
        <f>+Ing.!J106*Tarifa!G63</f>
        <v>0</v>
      </c>
      <c r="I216" s="156">
        <f>+Ing.!K106*Tarifa!H63</f>
        <v>0</v>
      </c>
      <c r="J216" s="156">
        <f>+Ing.!L106*Tarifa!I63</f>
        <v>0</v>
      </c>
      <c r="K216" s="156">
        <f>+Ing.!M106*Tarifa!J63</f>
        <v>0</v>
      </c>
      <c r="L216" s="156">
        <f>+Ing.!N106*Tarifa!K63</f>
        <v>0</v>
      </c>
    </row>
    <row r="217" spans="1:12" x14ac:dyDescent="0.2">
      <c r="A217" s="24" t="s">
        <v>183</v>
      </c>
      <c r="B217" s="179"/>
      <c r="C217" s="157">
        <f t="shared" ref="C217:L217" si="61">SUM(C212:C216)</f>
        <v>0</v>
      </c>
      <c r="D217" s="157">
        <f t="shared" si="61"/>
        <v>0</v>
      </c>
      <c r="E217" s="157">
        <f t="shared" si="61"/>
        <v>0</v>
      </c>
      <c r="F217" s="157">
        <f t="shared" si="61"/>
        <v>0</v>
      </c>
      <c r="G217" s="157">
        <f t="shared" si="61"/>
        <v>0</v>
      </c>
      <c r="H217" s="157">
        <f t="shared" si="61"/>
        <v>0</v>
      </c>
      <c r="I217" s="157">
        <f t="shared" si="61"/>
        <v>0</v>
      </c>
      <c r="J217" s="157">
        <f t="shared" si="61"/>
        <v>0</v>
      </c>
      <c r="K217" s="157">
        <f t="shared" si="61"/>
        <v>0</v>
      </c>
      <c r="L217" s="157">
        <f t="shared" si="61"/>
        <v>0</v>
      </c>
    </row>
    <row r="218" spans="1:12" x14ac:dyDescent="0.2">
      <c r="A218" s="24" t="s">
        <v>183</v>
      </c>
      <c r="C218" s="155" t="s">
        <v>183</v>
      </c>
      <c r="D218" s="155" t="s">
        <v>183</v>
      </c>
      <c r="E218" s="155" t="s">
        <v>183</v>
      </c>
      <c r="F218" s="155" t="s">
        <v>183</v>
      </c>
      <c r="G218" s="155" t="s">
        <v>183</v>
      </c>
      <c r="H218" s="155" t="s">
        <v>183</v>
      </c>
      <c r="I218" s="155" t="s">
        <v>183</v>
      </c>
      <c r="J218" s="155" t="s">
        <v>183</v>
      </c>
      <c r="K218" s="155" t="s">
        <v>183</v>
      </c>
      <c r="L218" s="155" t="s">
        <v>183</v>
      </c>
    </row>
    <row r="219" spans="1:12" s="26" customFormat="1" x14ac:dyDescent="0.2">
      <c r="A219" s="28" t="s">
        <v>602</v>
      </c>
      <c r="C219" s="157">
        <f t="shared" ref="C219:L219" si="62">+C209+C217</f>
        <v>0</v>
      </c>
      <c r="D219" s="157">
        <f t="shared" si="62"/>
        <v>0</v>
      </c>
      <c r="E219" s="157">
        <f t="shared" si="62"/>
        <v>0</v>
      </c>
      <c r="F219" s="157">
        <f t="shared" si="62"/>
        <v>0</v>
      </c>
      <c r="G219" s="157">
        <f t="shared" si="62"/>
        <v>0</v>
      </c>
      <c r="H219" s="157">
        <f t="shared" si="62"/>
        <v>0</v>
      </c>
      <c r="I219" s="157">
        <f t="shared" si="62"/>
        <v>0</v>
      </c>
      <c r="J219" s="157">
        <f t="shared" si="62"/>
        <v>0</v>
      </c>
      <c r="K219" s="157">
        <f t="shared" si="62"/>
        <v>0</v>
      </c>
      <c r="L219" s="157">
        <f t="shared" si="62"/>
        <v>0</v>
      </c>
    </row>
    <row r="220" spans="1:12" x14ac:dyDescent="0.2">
      <c r="C220" s="146"/>
      <c r="D220" s="146"/>
      <c r="E220" s="146"/>
      <c r="F220" s="146"/>
      <c r="G220" s="146"/>
      <c r="H220" s="146"/>
      <c r="I220" s="146"/>
      <c r="J220" s="146"/>
      <c r="K220" s="146"/>
      <c r="L220" s="146"/>
    </row>
    <row r="221" spans="1:12" x14ac:dyDescent="0.2">
      <c r="C221" s="146"/>
      <c r="D221" s="146"/>
      <c r="E221" s="146"/>
      <c r="F221" s="146"/>
      <c r="G221" s="146"/>
      <c r="H221" s="146"/>
      <c r="I221" s="146"/>
      <c r="J221" s="146"/>
      <c r="K221" s="146"/>
      <c r="L221" s="146"/>
    </row>
    <row r="222" spans="1:12" x14ac:dyDescent="0.2">
      <c r="A222" s="26" t="s">
        <v>603</v>
      </c>
    </row>
    <row r="223" spans="1:12" x14ac:dyDescent="0.2">
      <c r="A223" s="154" t="s">
        <v>218</v>
      </c>
      <c r="C223" s="25"/>
      <c r="D223" s="25"/>
      <c r="E223" s="25"/>
      <c r="F223" s="25"/>
      <c r="G223" s="25"/>
      <c r="H223" s="25"/>
      <c r="I223" s="25"/>
      <c r="J223" s="25"/>
      <c r="K223" s="25"/>
      <c r="L223" s="25"/>
    </row>
    <row r="224" spans="1:12" x14ac:dyDescent="0.2">
      <c r="A224" s="24" t="s">
        <v>146</v>
      </c>
      <c r="B224" s="25"/>
      <c r="C224" s="156">
        <f>+Ing.!E134*Tarifa!B51</f>
        <v>0</v>
      </c>
      <c r="D224" s="156">
        <f>+Ing.!F134*Tarifa!C51</f>
        <v>0</v>
      </c>
      <c r="E224" s="156">
        <f>+Ing.!G134*Tarifa!D51</f>
        <v>0</v>
      </c>
      <c r="F224" s="156">
        <f>+Ing.!H134*Tarifa!E51</f>
        <v>0</v>
      </c>
      <c r="G224" s="156">
        <f>+Ing.!I134*Tarifa!F51</f>
        <v>0</v>
      </c>
      <c r="H224" s="156">
        <f>+Ing.!J134*Tarifa!G51</f>
        <v>0</v>
      </c>
      <c r="I224" s="156">
        <f>+Ing.!K134*Tarifa!H51</f>
        <v>0</v>
      </c>
      <c r="J224" s="156">
        <f>+Ing.!L134*Tarifa!I51</f>
        <v>0</v>
      </c>
      <c r="K224" s="156">
        <f>+Ing.!M134*Tarifa!J51</f>
        <v>0</v>
      </c>
      <c r="L224" s="156">
        <f>+Ing.!N134*Tarifa!K51</f>
        <v>0</v>
      </c>
    </row>
    <row r="225" spans="1:12" x14ac:dyDescent="0.2">
      <c r="A225" s="24" t="s">
        <v>192</v>
      </c>
      <c r="C225" s="156">
        <f>+Ing.!E135*Tarifa!B52</f>
        <v>0</v>
      </c>
      <c r="D225" s="156">
        <f>+Ing.!F135*Tarifa!C52</f>
        <v>0</v>
      </c>
      <c r="E225" s="156">
        <f>+Ing.!G135*Tarifa!D52</f>
        <v>0</v>
      </c>
      <c r="F225" s="156">
        <f>+Ing.!H135*Tarifa!E52</f>
        <v>0</v>
      </c>
      <c r="G225" s="156">
        <f>+Ing.!I135*Tarifa!F52</f>
        <v>0</v>
      </c>
      <c r="H225" s="156">
        <f>+Ing.!J135*Tarifa!G52</f>
        <v>0</v>
      </c>
      <c r="I225" s="156">
        <f>+Ing.!K135*Tarifa!H52</f>
        <v>0</v>
      </c>
      <c r="J225" s="156">
        <f>+Ing.!L135*Tarifa!I52</f>
        <v>0</v>
      </c>
      <c r="K225" s="156">
        <f>+Ing.!M135*Tarifa!J52</f>
        <v>0</v>
      </c>
      <c r="L225" s="156">
        <f>+Ing.!N135*Tarifa!K52</f>
        <v>0</v>
      </c>
    </row>
    <row r="226" spans="1:12" x14ac:dyDescent="0.2">
      <c r="A226" s="24" t="s">
        <v>193</v>
      </c>
      <c r="C226" s="156">
        <f>+Ing.!E136*Tarifa!B53</f>
        <v>0</v>
      </c>
      <c r="D226" s="156">
        <f>+Ing.!F136*Tarifa!C53</f>
        <v>0</v>
      </c>
      <c r="E226" s="156">
        <f>+Ing.!G136*Tarifa!D53</f>
        <v>0</v>
      </c>
      <c r="F226" s="156">
        <f>+Ing.!H136*Tarifa!E53</f>
        <v>0</v>
      </c>
      <c r="G226" s="156">
        <f>+Ing.!I136*Tarifa!F53</f>
        <v>0</v>
      </c>
      <c r="H226" s="156">
        <f>+Ing.!J136*Tarifa!G53</f>
        <v>0</v>
      </c>
      <c r="I226" s="156">
        <f>+Ing.!K136*Tarifa!H53</f>
        <v>0</v>
      </c>
      <c r="J226" s="156">
        <f>+Ing.!L136*Tarifa!I53</f>
        <v>0</v>
      </c>
      <c r="K226" s="156">
        <f>+Ing.!M136*Tarifa!J53</f>
        <v>0</v>
      </c>
      <c r="L226" s="156">
        <f>+Ing.!N136*Tarifa!K53</f>
        <v>0</v>
      </c>
    </row>
    <row r="227" spans="1:12" x14ac:dyDescent="0.2">
      <c r="A227" s="24" t="s">
        <v>171</v>
      </c>
      <c r="C227" s="156">
        <f>+Ing.!E137*Tarifa!B54</f>
        <v>0</v>
      </c>
      <c r="D227" s="156">
        <f>+Ing.!F137*Tarifa!C54</f>
        <v>0</v>
      </c>
      <c r="E227" s="156">
        <f>+Ing.!G137*Tarifa!D54</f>
        <v>0</v>
      </c>
      <c r="F227" s="156">
        <f>+Ing.!H137*Tarifa!E54</f>
        <v>0</v>
      </c>
      <c r="G227" s="156">
        <f>+Ing.!I137*Tarifa!F54</f>
        <v>0</v>
      </c>
      <c r="H227" s="156">
        <f>+Ing.!J137*Tarifa!G54</f>
        <v>0</v>
      </c>
      <c r="I227" s="156">
        <f>+Ing.!K137*Tarifa!H54</f>
        <v>0</v>
      </c>
      <c r="J227" s="156">
        <f>+Ing.!L137*Tarifa!I54</f>
        <v>0</v>
      </c>
      <c r="K227" s="156">
        <f>+Ing.!M137*Tarifa!J54</f>
        <v>0</v>
      </c>
      <c r="L227" s="156">
        <f>+Ing.!N137*Tarifa!K54</f>
        <v>0</v>
      </c>
    </row>
    <row r="228" spans="1:12" x14ac:dyDescent="0.2">
      <c r="A228" s="24" t="s">
        <v>11</v>
      </c>
      <c r="C228" s="156">
        <f>+Ing.!E138*Tarifa!B55</f>
        <v>0</v>
      </c>
      <c r="D228" s="156">
        <f>+Ing.!F138*Tarifa!C55</f>
        <v>0</v>
      </c>
      <c r="E228" s="156">
        <f>+Ing.!G138*Tarifa!D55</f>
        <v>0</v>
      </c>
      <c r="F228" s="156">
        <f>+Ing.!H138*Tarifa!E55</f>
        <v>0</v>
      </c>
      <c r="G228" s="156">
        <f>+Ing.!I138*Tarifa!F55</f>
        <v>0</v>
      </c>
      <c r="H228" s="156">
        <f>+Ing.!J138*Tarifa!G55</f>
        <v>0</v>
      </c>
      <c r="I228" s="156">
        <f>+Ing.!K138*Tarifa!H55</f>
        <v>0</v>
      </c>
      <c r="J228" s="156">
        <f>+Ing.!L138*Tarifa!I55</f>
        <v>0</v>
      </c>
      <c r="K228" s="156">
        <f>+Ing.!M138*Tarifa!J55</f>
        <v>0</v>
      </c>
      <c r="L228" s="156">
        <f>+Ing.!N138*Tarifa!K55</f>
        <v>0</v>
      </c>
    </row>
    <row r="229" spans="1:12" x14ac:dyDescent="0.2">
      <c r="C229" s="157">
        <f t="shared" ref="C229:L229" si="63">SUM(C224:C228)</f>
        <v>0</v>
      </c>
      <c r="D229" s="157">
        <f t="shared" si="63"/>
        <v>0</v>
      </c>
      <c r="E229" s="157">
        <f t="shared" si="63"/>
        <v>0</v>
      </c>
      <c r="F229" s="157">
        <f t="shared" si="63"/>
        <v>0</v>
      </c>
      <c r="G229" s="157">
        <f t="shared" si="63"/>
        <v>0</v>
      </c>
      <c r="H229" s="157">
        <f t="shared" si="63"/>
        <v>0</v>
      </c>
      <c r="I229" s="157">
        <f t="shared" si="63"/>
        <v>0</v>
      </c>
      <c r="J229" s="157">
        <f t="shared" si="63"/>
        <v>0</v>
      </c>
      <c r="K229" s="157">
        <f t="shared" si="63"/>
        <v>0</v>
      </c>
      <c r="L229" s="157">
        <f t="shared" si="63"/>
        <v>0</v>
      </c>
    </row>
    <row r="230" spans="1:12" x14ac:dyDescent="0.2">
      <c r="C230" s="156"/>
      <c r="D230" s="156"/>
      <c r="E230" s="156"/>
      <c r="F230" s="156"/>
      <c r="G230" s="156"/>
      <c r="H230" s="156"/>
      <c r="I230" s="156"/>
      <c r="J230" s="156"/>
      <c r="K230" s="156"/>
      <c r="L230" s="156"/>
    </row>
    <row r="231" spans="1:12" x14ac:dyDescent="0.2">
      <c r="A231" s="154" t="s">
        <v>630</v>
      </c>
      <c r="C231" s="25"/>
      <c r="D231" s="25"/>
      <c r="E231" s="25"/>
      <c r="F231" s="25"/>
      <c r="G231" s="25"/>
      <c r="H231" s="25"/>
      <c r="I231" s="25"/>
      <c r="J231" s="25"/>
      <c r="K231" s="25"/>
      <c r="L231" s="25"/>
    </row>
    <row r="232" spans="1:12" x14ac:dyDescent="0.2">
      <c r="A232" s="24" t="s">
        <v>146</v>
      </c>
      <c r="B232" s="179"/>
      <c r="C232" s="156">
        <f>+Ing.!E134*Tarifa!B59</f>
        <v>0</v>
      </c>
      <c r="D232" s="156">
        <f>+Ing.!F134*Tarifa!C59</f>
        <v>0</v>
      </c>
      <c r="E232" s="156">
        <f>+Ing.!G134*Tarifa!D59</f>
        <v>0</v>
      </c>
      <c r="F232" s="156">
        <f>+Ing.!H134*Tarifa!E59</f>
        <v>0</v>
      </c>
      <c r="G232" s="156">
        <f>+Ing.!I134*Tarifa!F59</f>
        <v>0</v>
      </c>
      <c r="H232" s="156">
        <f>+Ing.!J134*Tarifa!G59</f>
        <v>0</v>
      </c>
      <c r="I232" s="156">
        <f>+Ing.!K134*Tarifa!H59</f>
        <v>0</v>
      </c>
      <c r="J232" s="156">
        <f>+Ing.!L134*Tarifa!I59</f>
        <v>0</v>
      </c>
      <c r="K232" s="156">
        <f>+Ing.!M134*Tarifa!J59</f>
        <v>0</v>
      </c>
      <c r="L232" s="156">
        <f>+Ing.!N134*Tarifa!K59</f>
        <v>0</v>
      </c>
    </row>
    <row r="233" spans="1:12" x14ac:dyDescent="0.2">
      <c r="A233" s="24" t="s">
        <v>192</v>
      </c>
      <c r="C233" s="156">
        <f>+Ing.!E135*Tarifa!B60</f>
        <v>0</v>
      </c>
      <c r="D233" s="156">
        <f>+Ing.!F135*Tarifa!C60</f>
        <v>0</v>
      </c>
      <c r="E233" s="156">
        <f>+Ing.!G135*Tarifa!D60</f>
        <v>0</v>
      </c>
      <c r="F233" s="156">
        <f>+Ing.!H135*Tarifa!E60</f>
        <v>0</v>
      </c>
      <c r="G233" s="156">
        <f>+Ing.!I135*Tarifa!F60</f>
        <v>0</v>
      </c>
      <c r="H233" s="156">
        <f>+Ing.!J135*Tarifa!G60</f>
        <v>0</v>
      </c>
      <c r="I233" s="156">
        <f>+Ing.!K135*Tarifa!H60</f>
        <v>0</v>
      </c>
      <c r="J233" s="156">
        <f>+Ing.!L135*Tarifa!I60</f>
        <v>0</v>
      </c>
      <c r="K233" s="156">
        <f>+Ing.!M135*Tarifa!J60</f>
        <v>0</v>
      </c>
      <c r="L233" s="156">
        <f>+Ing.!N135*Tarifa!K60</f>
        <v>0</v>
      </c>
    </row>
    <row r="234" spans="1:12" x14ac:dyDescent="0.2">
      <c r="A234" s="24" t="s">
        <v>193</v>
      </c>
      <c r="C234" s="156">
        <f>+Ing.!E136*Tarifa!B61</f>
        <v>0</v>
      </c>
      <c r="D234" s="156">
        <f>+Ing.!F136*Tarifa!C61</f>
        <v>0</v>
      </c>
      <c r="E234" s="156">
        <f>+Ing.!G136*Tarifa!D61</f>
        <v>0</v>
      </c>
      <c r="F234" s="156">
        <f>+Ing.!H136*Tarifa!E61</f>
        <v>0</v>
      </c>
      <c r="G234" s="156">
        <f>+Ing.!I136*Tarifa!F61</f>
        <v>0</v>
      </c>
      <c r="H234" s="156">
        <f>+Ing.!J136*Tarifa!G61</f>
        <v>0</v>
      </c>
      <c r="I234" s="156">
        <f>+Ing.!K136*Tarifa!H61</f>
        <v>0</v>
      </c>
      <c r="J234" s="156">
        <f>+Ing.!L136*Tarifa!I61</f>
        <v>0</v>
      </c>
      <c r="K234" s="156">
        <f>+Ing.!M136*Tarifa!J61</f>
        <v>0</v>
      </c>
      <c r="L234" s="156">
        <f>+Ing.!N136*Tarifa!K61</f>
        <v>0</v>
      </c>
    </row>
    <row r="235" spans="1:12" x14ac:dyDescent="0.2">
      <c r="A235" s="24" t="s">
        <v>171</v>
      </c>
      <c r="C235" s="156">
        <f>+Ing.!E137*Tarifa!B62</f>
        <v>0</v>
      </c>
      <c r="D235" s="156">
        <f>+Ing.!F137*Tarifa!C62</f>
        <v>0</v>
      </c>
      <c r="E235" s="156">
        <f>+Ing.!G137*Tarifa!D62</f>
        <v>0</v>
      </c>
      <c r="F235" s="156">
        <f>+Ing.!H137*Tarifa!E62</f>
        <v>0</v>
      </c>
      <c r="G235" s="156">
        <f>+Ing.!I137*Tarifa!F62</f>
        <v>0</v>
      </c>
      <c r="H235" s="156">
        <f>+Ing.!J137*Tarifa!G62</f>
        <v>0</v>
      </c>
      <c r="I235" s="156">
        <f>+Ing.!K137*Tarifa!H62</f>
        <v>0</v>
      </c>
      <c r="J235" s="156">
        <f>+Ing.!L137*Tarifa!I62</f>
        <v>0</v>
      </c>
      <c r="K235" s="156">
        <f>+Ing.!M137*Tarifa!J62</f>
        <v>0</v>
      </c>
      <c r="L235" s="156">
        <f>+Ing.!N137*Tarifa!K62</f>
        <v>0</v>
      </c>
    </row>
    <row r="236" spans="1:12" x14ac:dyDescent="0.2">
      <c r="A236" s="24" t="s">
        <v>11</v>
      </c>
      <c r="C236" s="156">
        <f>+Ing.!E138*Tarifa!B63</f>
        <v>0</v>
      </c>
      <c r="D236" s="156">
        <f>+Ing.!F138*Tarifa!C63</f>
        <v>0</v>
      </c>
      <c r="E236" s="156">
        <f>+Ing.!G138*Tarifa!D63</f>
        <v>0</v>
      </c>
      <c r="F236" s="156">
        <f>+Ing.!H138*Tarifa!E63</f>
        <v>0</v>
      </c>
      <c r="G236" s="156">
        <f>+Ing.!I138*Tarifa!F63</f>
        <v>0</v>
      </c>
      <c r="H236" s="156">
        <f>+Ing.!J138*Tarifa!G63</f>
        <v>0</v>
      </c>
      <c r="I236" s="156">
        <f>+Ing.!K138*Tarifa!H63</f>
        <v>0</v>
      </c>
      <c r="J236" s="156">
        <f>+Ing.!L138*Tarifa!I63</f>
        <v>0</v>
      </c>
      <c r="K236" s="156">
        <f>+Ing.!M138*Tarifa!J63</f>
        <v>0</v>
      </c>
      <c r="L236" s="156">
        <f>+Ing.!N138*Tarifa!K63</f>
        <v>0</v>
      </c>
    </row>
    <row r="237" spans="1:12" x14ac:dyDescent="0.2">
      <c r="A237" s="24" t="s">
        <v>183</v>
      </c>
      <c r="B237" s="179"/>
      <c r="C237" s="157">
        <f t="shared" ref="C237:L237" si="64">SUM(C232:C236)</f>
        <v>0</v>
      </c>
      <c r="D237" s="157">
        <f t="shared" si="64"/>
        <v>0</v>
      </c>
      <c r="E237" s="157">
        <f t="shared" si="64"/>
        <v>0</v>
      </c>
      <c r="F237" s="157">
        <f t="shared" si="64"/>
        <v>0</v>
      </c>
      <c r="G237" s="157">
        <f t="shared" si="64"/>
        <v>0</v>
      </c>
      <c r="H237" s="157">
        <f t="shared" si="64"/>
        <v>0</v>
      </c>
      <c r="I237" s="157">
        <f t="shared" si="64"/>
        <v>0</v>
      </c>
      <c r="J237" s="157">
        <f t="shared" si="64"/>
        <v>0</v>
      </c>
      <c r="K237" s="157">
        <f t="shared" si="64"/>
        <v>0</v>
      </c>
      <c r="L237" s="157">
        <f t="shared" si="64"/>
        <v>0</v>
      </c>
    </row>
    <row r="238" spans="1:12" x14ac:dyDescent="0.2">
      <c r="A238" s="24" t="s">
        <v>183</v>
      </c>
      <c r="C238" s="155" t="s">
        <v>183</v>
      </c>
      <c r="D238" s="155" t="s">
        <v>183</v>
      </c>
      <c r="E238" s="155" t="s">
        <v>183</v>
      </c>
      <c r="F238" s="155" t="s">
        <v>183</v>
      </c>
      <c r="G238" s="155" t="s">
        <v>183</v>
      </c>
      <c r="H238" s="155" t="s">
        <v>183</v>
      </c>
      <c r="I238" s="155" t="s">
        <v>183</v>
      </c>
      <c r="J238" s="155" t="s">
        <v>183</v>
      </c>
      <c r="K238" s="155" t="s">
        <v>183</v>
      </c>
      <c r="L238" s="155" t="s">
        <v>183</v>
      </c>
    </row>
    <row r="239" spans="1:12" s="26" customFormat="1" x14ac:dyDescent="0.2">
      <c r="A239" s="28" t="s">
        <v>604</v>
      </c>
      <c r="C239" s="157">
        <f t="shared" ref="C239:L239" si="65">+C229+C237</f>
        <v>0</v>
      </c>
      <c r="D239" s="157">
        <f t="shared" si="65"/>
        <v>0</v>
      </c>
      <c r="E239" s="157">
        <f t="shared" si="65"/>
        <v>0</v>
      </c>
      <c r="F239" s="157">
        <f t="shared" si="65"/>
        <v>0</v>
      </c>
      <c r="G239" s="157">
        <f t="shared" si="65"/>
        <v>0</v>
      </c>
      <c r="H239" s="157">
        <f t="shared" si="65"/>
        <v>0</v>
      </c>
      <c r="I239" s="157">
        <f t="shared" si="65"/>
        <v>0</v>
      </c>
      <c r="J239" s="157">
        <f t="shared" si="65"/>
        <v>0</v>
      </c>
      <c r="K239" s="157">
        <f t="shared" si="65"/>
        <v>0</v>
      </c>
      <c r="L239" s="157">
        <f t="shared" si="65"/>
        <v>0</v>
      </c>
    </row>
    <row r="240" spans="1:12" x14ac:dyDescent="0.2">
      <c r="C240" s="146"/>
      <c r="D240" s="146"/>
      <c r="E240" s="146"/>
      <c r="F240" s="146"/>
      <c r="G240" s="146"/>
      <c r="H240" s="146"/>
      <c r="I240" s="146"/>
      <c r="J240" s="146"/>
      <c r="K240" s="146"/>
      <c r="L240" s="146"/>
    </row>
    <row r="241" spans="1:12" x14ac:dyDescent="0.2">
      <c r="C241" s="146"/>
      <c r="D241" s="146"/>
      <c r="E241" s="146"/>
      <c r="F241" s="146"/>
      <c r="G241" s="146"/>
      <c r="H241" s="146"/>
      <c r="I241" s="146"/>
      <c r="J241" s="146"/>
      <c r="K241" s="146"/>
      <c r="L241" s="146"/>
    </row>
    <row r="242" spans="1:12" x14ac:dyDescent="0.2">
      <c r="A242" s="26" t="s">
        <v>222</v>
      </c>
    </row>
    <row r="243" spans="1:12" x14ac:dyDescent="0.2">
      <c r="A243" s="154" t="s">
        <v>218</v>
      </c>
      <c r="C243" s="25"/>
      <c r="D243" s="25"/>
      <c r="E243" s="25"/>
      <c r="F243" s="25"/>
      <c r="G243" s="25"/>
      <c r="H243" s="25"/>
      <c r="I243" s="25"/>
      <c r="J243" s="25"/>
      <c r="K243" s="25"/>
      <c r="L243" s="25"/>
    </row>
    <row r="244" spans="1:12" x14ac:dyDescent="0.2">
      <c r="A244" s="24" t="s">
        <v>146</v>
      </c>
      <c r="B244" s="25"/>
      <c r="C244" s="156">
        <f>Ing.!E166*Tarifa!B51</f>
        <v>0</v>
      </c>
      <c r="D244" s="156">
        <f>Ing.!F166*Tarifa!C51</f>
        <v>0</v>
      </c>
      <c r="E244" s="156">
        <f>Ing.!G166*Tarifa!D51</f>
        <v>0</v>
      </c>
      <c r="F244" s="156">
        <f>Ing.!H166*Tarifa!E51</f>
        <v>0</v>
      </c>
      <c r="G244" s="156">
        <f>Ing.!I166*Tarifa!F51</f>
        <v>0</v>
      </c>
      <c r="H244" s="156">
        <f>Ing.!J166*Tarifa!G51</f>
        <v>0</v>
      </c>
      <c r="I244" s="156">
        <f>Ing.!K166*Tarifa!H51</f>
        <v>0</v>
      </c>
      <c r="J244" s="156">
        <f>Ing.!L166*Tarifa!I51</f>
        <v>0</v>
      </c>
      <c r="K244" s="156">
        <f>Ing.!M166*Tarifa!J51</f>
        <v>0</v>
      </c>
      <c r="L244" s="156">
        <f>Ing.!N166*Tarifa!K51</f>
        <v>0</v>
      </c>
    </row>
    <row r="245" spans="1:12" x14ac:dyDescent="0.2">
      <c r="A245" s="24" t="s">
        <v>192</v>
      </c>
      <c r="C245" s="156">
        <f>Ing.!E167*Tarifa!B52</f>
        <v>0</v>
      </c>
      <c r="D245" s="156">
        <f>Ing.!F167*Tarifa!C52</f>
        <v>0</v>
      </c>
      <c r="E245" s="156">
        <f>Ing.!G167*Tarifa!D52</f>
        <v>0</v>
      </c>
      <c r="F245" s="156">
        <f>Ing.!H167*Tarifa!E52</f>
        <v>0</v>
      </c>
      <c r="G245" s="156">
        <f>Ing.!I167*Tarifa!F52</f>
        <v>0</v>
      </c>
      <c r="H245" s="156">
        <f>Ing.!J167*Tarifa!G52</f>
        <v>0</v>
      </c>
      <c r="I245" s="156">
        <f>Ing.!K167*Tarifa!H52</f>
        <v>0</v>
      </c>
      <c r="J245" s="156">
        <f>Ing.!L167*Tarifa!I52</f>
        <v>0</v>
      </c>
      <c r="K245" s="156">
        <f>Ing.!M167*Tarifa!J52</f>
        <v>0</v>
      </c>
      <c r="L245" s="156">
        <f>Ing.!N167*Tarifa!K52</f>
        <v>0</v>
      </c>
    </row>
    <row r="246" spans="1:12" x14ac:dyDescent="0.2">
      <c r="A246" s="24" t="s">
        <v>193</v>
      </c>
      <c r="C246" s="156">
        <f>Ing.!E168*Tarifa!B53</f>
        <v>0</v>
      </c>
      <c r="D246" s="156">
        <f>Ing.!F168*Tarifa!C53</f>
        <v>0</v>
      </c>
      <c r="E246" s="156">
        <f>Ing.!G168*Tarifa!D53</f>
        <v>0</v>
      </c>
      <c r="F246" s="156">
        <f>Ing.!H168*Tarifa!E53</f>
        <v>0</v>
      </c>
      <c r="G246" s="156">
        <f>Ing.!I168*Tarifa!F53</f>
        <v>0</v>
      </c>
      <c r="H246" s="156">
        <f>Ing.!J168*Tarifa!G53</f>
        <v>0</v>
      </c>
      <c r="I246" s="156">
        <f>Ing.!K168*Tarifa!H53</f>
        <v>0</v>
      </c>
      <c r="J246" s="156">
        <f>Ing.!L168*Tarifa!I53</f>
        <v>0</v>
      </c>
      <c r="K246" s="156">
        <f>Ing.!M168*Tarifa!J53</f>
        <v>0</v>
      </c>
      <c r="L246" s="156">
        <f>Ing.!N168*Tarifa!K53</f>
        <v>0</v>
      </c>
    </row>
    <row r="247" spans="1:12" x14ac:dyDescent="0.2">
      <c r="A247" s="24" t="s">
        <v>171</v>
      </c>
      <c r="C247" s="156">
        <f>Ing.!E169*Tarifa!B54</f>
        <v>0</v>
      </c>
      <c r="D247" s="156">
        <f>Ing.!F169*Tarifa!C54</f>
        <v>0</v>
      </c>
      <c r="E247" s="156">
        <f>Ing.!G169*Tarifa!D54</f>
        <v>0</v>
      </c>
      <c r="F247" s="156">
        <f>Ing.!H169*Tarifa!E54</f>
        <v>0</v>
      </c>
      <c r="G247" s="156">
        <f>Ing.!I169*Tarifa!F54</f>
        <v>0</v>
      </c>
      <c r="H247" s="156">
        <f>Ing.!J169*Tarifa!G54</f>
        <v>0</v>
      </c>
      <c r="I247" s="156">
        <f>Ing.!K169*Tarifa!H54</f>
        <v>0</v>
      </c>
      <c r="J247" s="156">
        <f>Ing.!L169*Tarifa!I54</f>
        <v>0</v>
      </c>
      <c r="K247" s="156">
        <f>Ing.!M169*Tarifa!J54</f>
        <v>0</v>
      </c>
      <c r="L247" s="156">
        <f>Ing.!N169*Tarifa!K54</f>
        <v>0</v>
      </c>
    </row>
    <row r="248" spans="1:12" x14ac:dyDescent="0.2">
      <c r="A248" s="24" t="s">
        <v>11</v>
      </c>
      <c r="C248" s="156">
        <f>Ing.!E170*Tarifa!B55</f>
        <v>0</v>
      </c>
      <c r="D248" s="156">
        <f>Ing.!F170*Tarifa!C55</f>
        <v>0</v>
      </c>
      <c r="E248" s="156">
        <f>Ing.!G170*Tarifa!D55</f>
        <v>0</v>
      </c>
      <c r="F248" s="156">
        <f>Ing.!H170*Tarifa!E55</f>
        <v>0</v>
      </c>
      <c r="G248" s="156">
        <f>Ing.!I170*Tarifa!F55</f>
        <v>0</v>
      </c>
      <c r="H248" s="156">
        <f>Ing.!J170*Tarifa!G55</f>
        <v>0</v>
      </c>
      <c r="I248" s="156">
        <f>Ing.!K170*Tarifa!H55</f>
        <v>0</v>
      </c>
      <c r="J248" s="156">
        <f>Ing.!L170*Tarifa!I55</f>
        <v>0</v>
      </c>
      <c r="K248" s="156">
        <f>Ing.!M170*Tarifa!J55</f>
        <v>0</v>
      </c>
      <c r="L248" s="156">
        <f>Ing.!N170*Tarifa!K55</f>
        <v>0</v>
      </c>
    </row>
    <row r="249" spans="1:12" x14ac:dyDescent="0.2">
      <c r="C249" s="157">
        <f t="shared" ref="C249:L249" si="66">SUM(C244:C248)</f>
        <v>0</v>
      </c>
      <c r="D249" s="157">
        <f t="shared" si="66"/>
        <v>0</v>
      </c>
      <c r="E249" s="157">
        <f t="shared" si="66"/>
        <v>0</v>
      </c>
      <c r="F249" s="157">
        <f t="shared" si="66"/>
        <v>0</v>
      </c>
      <c r="G249" s="157">
        <f t="shared" si="66"/>
        <v>0</v>
      </c>
      <c r="H249" s="157">
        <f t="shared" si="66"/>
        <v>0</v>
      </c>
      <c r="I249" s="157">
        <f t="shared" si="66"/>
        <v>0</v>
      </c>
      <c r="J249" s="157">
        <f t="shared" si="66"/>
        <v>0</v>
      </c>
      <c r="K249" s="157">
        <f t="shared" si="66"/>
        <v>0</v>
      </c>
      <c r="L249" s="157">
        <f t="shared" si="66"/>
        <v>0</v>
      </c>
    </row>
    <row r="250" spans="1:12" x14ac:dyDescent="0.2">
      <c r="A250" s="24" t="s">
        <v>183</v>
      </c>
      <c r="C250" s="155" t="s">
        <v>183</v>
      </c>
      <c r="D250" s="156" t="s">
        <v>183</v>
      </c>
      <c r="E250" s="156" t="s">
        <v>183</v>
      </c>
      <c r="F250" s="156" t="s">
        <v>183</v>
      </c>
      <c r="G250" s="156" t="s">
        <v>183</v>
      </c>
      <c r="H250" s="156" t="s">
        <v>183</v>
      </c>
      <c r="I250" s="156" t="s">
        <v>183</v>
      </c>
      <c r="J250" s="156" t="s">
        <v>183</v>
      </c>
      <c r="K250" s="156" t="s">
        <v>183</v>
      </c>
      <c r="L250" s="156" t="s">
        <v>183</v>
      </c>
    </row>
    <row r="251" spans="1:12" x14ac:dyDescent="0.2">
      <c r="A251" s="154" t="s">
        <v>630</v>
      </c>
      <c r="C251" s="25"/>
      <c r="D251" s="25"/>
      <c r="E251" s="25"/>
      <c r="F251" s="25"/>
      <c r="G251" s="25"/>
      <c r="H251" s="25"/>
      <c r="I251" s="25"/>
      <c r="J251" s="25"/>
      <c r="K251" s="25"/>
      <c r="L251" s="25"/>
    </row>
    <row r="252" spans="1:12" x14ac:dyDescent="0.2">
      <c r="A252" s="24" t="s">
        <v>146</v>
      </c>
      <c r="B252" s="179"/>
      <c r="C252" s="156">
        <f>Ing.!E166*Tarifa!B59</f>
        <v>0</v>
      </c>
      <c r="D252" s="156">
        <f>Ing.!F166*Tarifa!C59</f>
        <v>0</v>
      </c>
      <c r="E252" s="156">
        <f>Ing.!G166*Tarifa!D59</f>
        <v>0</v>
      </c>
      <c r="F252" s="156">
        <f>Ing.!H166*Tarifa!E59</f>
        <v>0</v>
      </c>
      <c r="G252" s="156">
        <f>Ing.!I166*Tarifa!F59</f>
        <v>0</v>
      </c>
      <c r="H252" s="156">
        <f>Ing.!J166*Tarifa!G59</f>
        <v>0</v>
      </c>
      <c r="I252" s="156">
        <f>Ing.!K166*Tarifa!H59</f>
        <v>0</v>
      </c>
      <c r="J252" s="156">
        <f>Ing.!L166*Tarifa!I59</f>
        <v>0</v>
      </c>
      <c r="K252" s="156">
        <f>Ing.!M166*Tarifa!J59</f>
        <v>0</v>
      </c>
      <c r="L252" s="156">
        <f>Ing.!N166*Tarifa!K59</f>
        <v>0</v>
      </c>
    </row>
    <row r="253" spans="1:12" x14ac:dyDescent="0.2">
      <c r="A253" s="24" t="s">
        <v>192</v>
      </c>
      <c r="C253" s="156">
        <f>Ing.!E167*Tarifa!B60</f>
        <v>0</v>
      </c>
      <c r="D253" s="156">
        <f>Ing.!F167*Tarifa!C60</f>
        <v>0</v>
      </c>
      <c r="E253" s="156">
        <f>Ing.!G167*Tarifa!D60</f>
        <v>0</v>
      </c>
      <c r="F253" s="156">
        <f>Ing.!H167*Tarifa!E60</f>
        <v>0</v>
      </c>
      <c r="G253" s="156">
        <f>Ing.!I167*Tarifa!F60</f>
        <v>0</v>
      </c>
      <c r="H253" s="156">
        <f>Ing.!J167*Tarifa!G60</f>
        <v>0</v>
      </c>
      <c r="I253" s="156">
        <f>Ing.!K167*Tarifa!H60</f>
        <v>0</v>
      </c>
      <c r="J253" s="156">
        <f>Ing.!L167*Tarifa!I60</f>
        <v>0</v>
      </c>
      <c r="K253" s="156">
        <f>Ing.!M167*Tarifa!J60</f>
        <v>0</v>
      </c>
      <c r="L253" s="156">
        <f>Ing.!N167*Tarifa!K60</f>
        <v>0</v>
      </c>
    </row>
    <row r="254" spans="1:12" x14ac:dyDescent="0.2">
      <c r="A254" s="24" t="s">
        <v>193</v>
      </c>
      <c r="C254" s="156">
        <f>Ing.!E168*Tarifa!B61</f>
        <v>0</v>
      </c>
      <c r="D254" s="156">
        <f>Ing.!F168*Tarifa!C61</f>
        <v>0</v>
      </c>
      <c r="E254" s="156">
        <f>Ing.!G168*Tarifa!D61</f>
        <v>0</v>
      </c>
      <c r="F254" s="156">
        <f>Ing.!H168*Tarifa!E61</f>
        <v>0</v>
      </c>
      <c r="G254" s="156">
        <f>Ing.!I168*Tarifa!F61</f>
        <v>0</v>
      </c>
      <c r="H254" s="156">
        <f>Ing.!J168*Tarifa!G61</f>
        <v>0</v>
      </c>
      <c r="I254" s="156">
        <f>Ing.!K168*Tarifa!H61</f>
        <v>0</v>
      </c>
      <c r="J254" s="156">
        <f>Ing.!L168*Tarifa!I61</f>
        <v>0</v>
      </c>
      <c r="K254" s="156">
        <f>Ing.!M168*Tarifa!J61</f>
        <v>0</v>
      </c>
      <c r="L254" s="156">
        <f>Ing.!N168*Tarifa!K61</f>
        <v>0</v>
      </c>
    </row>
    <row r="255" spans="1:12" x14ac:dyDescent="0.2">
      <c r="A255" s="24" t="s">
        <v>171</v>
      </c>
      <c r="C255" s="156">
        <f>Ing.!E169*Tarifa!B62</f>
        <v>0</v>
      </c>
      <c r="D255" s="156">
        <f>Ing.!F169*Tarifa!C62</f>
        <v>0</v>
      </c>
      <c r="E255" s="156">
        <f>Ing.!G169*Tarifa!D62</f>
        <v>0</v>
      </c>
      <c r="F255" s="156">
        <f>Ing.!H169*Tarifa!E62</f>
        <v>0</v>
      </c>
      <c r="G255" s="156">
        <f>Ing.!I169*Tarifa!F62</f>
        <v>0</v>
      </c>
      <c r="H255" s="156">
        <f>Ing.!J169*Tarifa!G62</f>
        <v>0</v>
      </c>
      <c r="I255" s="156">
        <f>Ing.!K169*Tarifa!H62</f>
        <v>0</v>
      </c>
      <c r="J255" s="156">
        <f>Ing.!L169*Tarifa!I62</f>
        <v>0</v>
      </c>
      <c r="K255" s="156">
        <f>Ing.!M169*Tarifa!J62</f>
        <v>0</v>
      </c>
      <c r="L255" s="156">
        <f>Ing.!N169*Tarifa!K62</f>
        <v>0</v>
      </c>
    </row>
    <row r="256" spans="1:12" x14ac:dyDescent="0.2">
      <c r="A256" s="24" t="s">
        <v>11</v>
      </c>
      <c r="C256" s="156">
        <f>Ing.!E170*Tarifa!B63</f>
        <v>0</v>
      </c>
      <c r="D256" s="156">
        <f>Ing.!F170*Tarifa!C63</f>
        <v>0</v>
      </c>
      <c r="E256" s="156">
        <f>Ing.!G170*Tarifa!D63</f>
        <v>0</v>
      </c>
      <c r="F256" s="156">
        <f>Ing.!H170*Tarifa!E63</f>
        <v>0</v>
      </c>
      <c r="G256" s="156">
        <f>Ing.!I170*Tarifa!F63</f>
        <v>0</v>
      </c>
      <c r="H256" s="156">
        <f>Ing.!J170*Tarifa!G63</f>
        <v>0</v>
      </c>
      <c r="I256" s="156">
        <f>Ing.!K170*Tarifa!H63</f>
        <v>0</v>
      </c>
      <c r="J256" s="156">
        <f>Ing.!L170*Tarifa!I63</f>
        <v>0</v>
      </c>
      <c r="K256" s="156">
        <f>Ing.!M170*Tarifa!J63</f>
        <v>0</v>
      </c>
      <c r="L256" s="156">
        <f>Ing.!N170*Tarifa!K63</f>
        <v>0</v>
      </c>
    </row>
    <row r="257" spans="1:12" x14ac:dyDescent="0.2">
      <c r="A257" s="24" t="s">
        <v>183</v>
      </c>
      <c r="B257" s="179"/>
      <c r="C257" s="157">
        <f t="shared" ref="C257:L257" si="67">SUM(C252:C256)</f>
        <v>0</v>
      </c>
      <c r="D257" s="157">
        <f t="shared" si="67"/>
        <v>0</v>
      </c>
      <c r="E257" s="157">
        <f t="shared" si="67"/>
        <v>0</v>
      </c>
      <c r="F257" s="157">
        <f t="shared" si="67"/>
        <v>0</v>
      </c>
      <c r="G257" s="157">
        <f t="shared" si="67"/>
        <v>0</v>
      </c>
      <c r="H257" s="157">
        <f t="shared" si="67"/>
        <v>0</v>
      </c>
      <c r="I257" s="157">
        <f t="shared" si="67"/>
        <v>0</v>
      </c>
      <c r="J257" s="157">
        <f t="shared" si="67"/>
        <v>0</v>
      </c>
      <c r="K257" s="157">
        <f t="shared" si="67"/>
        <v>0</v>
      </c>
      <c r="L257" s="157">
        <f t="shared" si="67"/>
        <v>0</v>
      </c>
    </row>
    <row r="258" spans="1:12" x14ac:dyDescent="0.2">
      <c r="A258" s="24" t="s">
        <v>183</v>
      </c>
      <c r="C258" s="155" t="s">
        <v>183</v>
      </c>
      <c r="D258" s="155" t="s">
        <v>183</v>
      </c>
      <c r="E258" s="155" t="s">
        <v>183</v>
      </c>
      <c r="F258" s="155" t="s">
        <v>183</v>
      </c>
      <c r="G258" s="155" t="s">
        <v>183</v>
      </c>
      <c r="H258" s="155" t="s">
        <v>183</v>
      </c>
      <c r="I258" s="155" t="s">
        <v>183</v>
      </c>
      <c r="J258" s="155" t="s">
        <v>183</v>
      </c>
      <c r="K258" s="155" t="s">
        <v>183</v>
      </c>
      <c r="L258" s="155" t="s">
        <v>183</v>
      </c>
    </row>
    <row r="259" spans="1:12" s="26" customFormat="1" x14ac:dyDescent="0.2">
      <c r="A259" s="28" t="s">
        <v>223</v>
      </c>
      <c r="C259" s="157">
        <f t="shared" ref="C259:L259" si="68">+C249+C257</f>
        <v>0</v>
      </c>
      <c r="D259" s="157">
        <f t="shared" si="68"/>
        <v>0</v>
      </c>
      <c r="E259" s="157">
        <f t="shared" si="68"/>
        <v>0</v>
      </c>
      <c r="F259" s="157">
        <f t="shared" si="68"/>
        <v>0</v>
      </c>
      <c r="G259" s="157">
        <f t="shared" si="68"/>
        <v>0</v>
      </c>
      <c r="H259" s="157">
        <f t="shared" si="68"/>
        <v>0</v>
      </c>
      <c r="I259" s="157">
        <f t="shared" si="68"/>
        <v>0</v>
      </c>
      <c r="J259" s="157">
        <f t="shared" si="68"/>
        <v>0</v>
      </c>
      <c r="K259" s="157">
        <f t="shared" si="68"/>
        <v>0</v>
      </c>
      <c r="L259" s="157">
        <f t="shared" si="68"/>
        <v>0</v>
      </c>
    </row>
    <row r="260" spans="1:12" x14ac:dyDescent="0.2">
      <c r="C260" s="146"/>
      <c r="D260" s="146"/>
      <c r="E260" s="146"/>
      <c r="F260" s="146"/>
      <c r="G260" s="146"/>
      <c r="H260" s="146"/>
      <c r="I260" s="146"/>
      <c r="J260" s="146"/>
      <c r="K260" s="146"/>
      <c r="L260" s="146"/>
    </row>
    <row r="261" spans="1:12" s="26" customFormat="1" x14ac:dyDescent="0.2">
      <c r="A261" s="26" t="s">
        <v>636</v>
      </c>
      <c r="C261" s="256">
        <f>C199+C219+C239+C259</f>
        <v>0</v>
      </c>
      <c r="D261" s="256">
        <f t="shared" ref="D261:L261" si="69">D199+D219+D239+D259</f>
        <v>0</v>
      </c>
      <c r="E261" s="256">
        <f t="shared" si="69"/>
        <v>0</v>
      </c>
      <c r="F261" s="256">
        <f t="shared" si="69"/>
        <v>0</v>
      </c>
      <c r="G261" s="256">
        <f t="shared" si="69"/>
        <v>0</v>
      </c>
      <c r="H261" s="256">
        <f t="shared" si="69"/>
        <v>0</v>
      </c>
      <c r="I261" s="256">
        <f t="shared" si="69"/>
        <v>0</v>
      </c>
      <c r="J261" s="256">
        <f t="shared" si="69"/>
        <v>0</v>
      </c>
      <c r="K261" s="256">
        <f t="shared" si="69"/>
        <v>0</v>
      </c>
      <c r="L261" s="256">
        <f t="shared" si="69"/>
        <v>0</v>
      </c>
    </row>
    <row r="262" spans="1:12" x14ac:dyDescent="0.2">
      <c r="C262" s="146"/>
      <c r="D262" s="146"/>
      <c r="E262" s="146"/>
      <c r="F262" s="146"/>
      <c r="G262" s="146"/>
      <c r="H262" s="146"/>
      <c r="I262" s="146"/>
      <c r="J262" s="146"/>
      <c r="K262" s="146"/>
      <c r="L262" s="146"/>
    </row>
    <row r="263" spans="1:12" x14ac:dyDescent="0.2">
      <c r="C263" s="146"/>
      <c r="D263" s="146"/>
      <c r="E263" s="146"/>
      <c r="F263" s="146"/>
      <c r="G263" s="146"/>
      <c r="H263" s="146"/>
      <c r="I263" s="146"/>
      <c r="J263" s="146"/>
      <c r="K263" s="146"/>
      <c r="L263" s="146"/>
    </row>
    <row r="264" spans="1:12" x14ac:dyDescent="0.2">
      <c r="C264" s="146"/>
      <c r="D264" s="146"/>
      <c r="E264" s="146"/>
      <c r="F264" s="146"/>
      <c r="G264" s="146"/>
      <c r="H264" s="146"/>
      <c r="I264" s="146"/>
      <c r="J264" s="146"/>
      <c r="K264" s="146"/>
      <c r="L264" s="146"/>
    </row>
    <row r="265" spans="1:12" x14ac:dyDescent="0.2">
      <c r="C265" s="146"/>
      <c r="D265" s="146"/>
      <c r="E265" s="146"/>
      <c r="F265" s="146"/>
      <c r="G265" s="146"/>
      <c r="H265" s="146"/>
      <c r="I265" s="146"/>
      <c r="J265" s="146"/>
      <c r="K265" s="146"/>
      <c r="L265" s="146"/>
    </row>
    <row r="266" spans="1:12" x14ac:dyDescent="0.2">
      <c r="C266" s="146"/>
      <c r="D266" s="146"/>
      <c r="E266" s="146"/>
      <c r="F266" s="146"/>
      <c r="G266" s="146"/>
      <c r="H266" s="146"/>
      <c r="I266" s="146"/>
      <c r="J266" s="146"/>
      <c r="K266" s="146"/>
      <c r="L266" s="146"/>
    </row>
    <row r="267" spans="1:12" x14ac:dyDescent="0.2">
      <c r="C267" s="146"/>
      <c r="D267" s="146"/>
      <c r="E267" s="146"/>
      <c r="F267" s="146"/>
      <c r="G267" s="146"/>
      <c r="H267" s="146"/>
      <c r="I267" s="146"/>
      <c r="J267" s="146"/>
      <c r="K267" s="146"/>
      <c r="L267" s="146"/>
    </row>
    <row r="268" spans="1:12" x14ac:dyDescent="0.2">
      <c r="C268" s="146"/>
      <c r="D268" s="146"/>
      <c r="E268" s="146"/>
      <c r="F268" s="146"/>
      <c r="G268" s="146"/>
      <c r="H268" s="146"/>
      <c r="I268" s="146"/>
      <c r="J268" s="146"/>
      <c r="K268" s="146"/>
      <c r="L268" s="146"/>
    </row>
    <row r="269" spans="1:12" x14ac:dyDescent="0.2">
      <c r="C269" s="146"/>
      <c r="D269" s="146"/>
      <c r="E269" s="146"/>
      <c r="F269" s="146"/>
      <c r="G269" s="146"/>
      <c r="H269" s="146"/>
      <c r="I269" s="146"/>
      <c r="J269" s="146"/>
      <c r="K269" s="146"/>
      <c r="L269" s="146"/>
    </row>
    <row r="270" spans="1:12" x14ac:dyDescent="0.2">
      <c r="C270" s="146"/>
      <c r="D270" s="146"/>
      <c r="E270" s="146"/>
      <c r="F270" s="146"/>
      <c r="G270" s="146"/>
      <c r="H270" s="146"/>
      <c r="I270" s="146"/>
      <c r="J270" s="146"/>
      <c r="K270" s="146"/>
      <c r="L270" s="146"/>
    </row>
    <row r="271" spans="1:12" x14ac:dyDescent="0.2">
      <c r="C271" s="146"/>
      <c r="D271" s="146"/>
      <c r="E271" s="146"/>
      <c r="F271" s="146"/>
      <c r="G271" s="146"/>
      <c r="H271" s="146"/>
      <c r="I271" s="146"/>
      <c r="J271" s="146"/>
      <c r="K271" s="146"/>
      <c r="L271" s="146"/>
    </row>
  </sheetData>
  <phoneticPr fontId="3" type="noConversion"/>
  <printOptions horizontalCentered="1" verticalCentered="1"/>
  <pageMargins left="0.53500000000000003" right="0" top="0" bottom="0" header="0" footer="0"/>
  <pageSetup paperSize="9" scale="51" orientation="landscape" horizontalDpi="355" verticalDpi="464" r:id="rId1"/>
  <headerFooter alignWithMargins="0"/>
  <rowBreaks count="2" manualBreakCount="2">
    <brk id="78" max="16383" man="1"/>
    <brk id="84" max="16383" man="1"/>
  </row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A2:M59"/>
  <sheetViews>
    <sheetView workbookViewId="0">
      <pane xSplit="2" ySplit="5" topLeftCell="C6" activePane="bottomRight" state="frozen"/>
      <selection pane="topRight" activeCell="C1" sqref="C1"/>
      <selection pane="bottomLeft" activeCell="A5" sqref="A5"/>
      <selection pane="bottomRight" activeCell="C7" sqref="C7"/>
    </sheetView>
  </sheetViews>
  <sheetFormatPr baseColWidth="10" defaultColWidth="11.42578125" defaultRowHeight="12.75" outlineLevelRow="1" x14ac:dyDescent="0.2"/>
  <cols>
    <col min="1" max="1" width="40.5703125" style="32" bestFit="1" customWidth="1"/>
    <col min="2" max="2" width="9.5703125" style="32" bestFit="1" customWidth="1"/>
    <col min="3" max="3" width="14.28515625" style="32" bestFit="1" customWidth="1"/>
    <col min="4" max="5" width="14.85546875" style="32" bestFit="1" customWidth="1"/>
    <col min="6" max="6" width="14.5703125" style="32" bestFit="1" customWidth="1"/>
    <col min="7" max="7" width="14.85546875" style="32" bestFit="1" customWidth="1"/>
    <col min="8" max="8" width="14.140625" style="32" bestFit="1" customWidth="1"/>
    <col min="9" max="9" width="14.42578125" style="32" bestFit="1" customWidth="1"/>
    <col min="10" max="10" width="14.85546875" style="32" bestFit="1" customWidth="1"/>
    <col min="11" max="11" width="15" style="32" bestFit="1" customWidth="1"/>
    <col min="12" max="16384" width="11.42578125" style="32"/>
  </cols>
  <sheetData>
    <row r="2" spans="1:12" ht="15.75" x14ac:dyDescent="0.25">
      <c r="A2" s="31" t="s">
        <v>140</v>
      </c>
      <c r="C2" s="32" t="s">
        <v>183</v>
      </c>
    </row>
    <row r="3" spans="1:12" ht="16.5" x14ac:dyDescent="0.3">
      <c r="A3" s="33" t="s">
        <v>114</v>
      </c>
    </row>
    <row r="5" spans="1:12" x14ac:dyDescent="0.2">
      <c r="C5" s="45" t="s">
        <v>0</v>
      </c>
      <c r="D5" s="45" t="s">
        <v>1</v>
      </c>
      <c r="E5" s="45" t="s">
        <v>2</v>
      </c>
      <c r="F5" s="45" t="s">
        <v>3</v>
      </c>
      <c r="G5" s="45" t="s">
        <v>4</v>
      </c>
      <c r="H5" s="45" t="s">
        <v>5</v>
      </c>
      <c r="I5" s="45" t="s">
        <v>6</v>
      </c>
      <c r="J5" s="45" t="s">
        <v>7</v>
      </c>
      <c r="K5" s="45" t="s">
        <v>8</v>
      </c>
      <c r="L5" s="45" t="s">
        <v>9</v>
      </c>
    </row>
    <row r="7" spans="1:12" x14ac:dyDescent="0.2">
      <c r="A7" s="36" t="s">
        <v>101</v>
      </c>
      <c r="B7" s="70" t="s">
        <v>183</v>
      </c>
      <c r="C7" s="71">
        <f>Ing.!E193</f>
        <v>7125973.017814287</v>
      </c>
      <c r="D7" s="71">
        <f>Ing.!F193</f>
        <v>7957189.4755872851</v>
      </c>
      <c r="E7" s="71">
        <f>Ing.!G193</f>
        <v>8834978.6734200958</v>
      </c>
      <c r="F7" s="71">
        <f>Ing.!H193</f>
        <v>9797985.633533204</v>
      </c>
      <c r="G7" s="71">
        <f>Ing.!I193</f>
        <v>10866327.104697576</v>
      </c>
      <c r="H7" s="71">
        <f>Ing.!J193</f>
        <v>12052486.600137267</v>
      </c>
      <c r="I7" s="71">
        <f>Ing.!K193</f>
        <v>13369623.278087541</v>
      </c>
      <c r="J7" s="71">
        <f>Ing.!L193</f>
        <v>14832314.898030728</v>
      </c>
      <c r="K7" s="71">
        <f>Ing.!M193</f>
        <v>16456765.493100611</v>
      </c>
      <c r="L7" s="71">
        <f>Ing.!N193</f>
        <v>18260991.335239735</v>
      </c>
    </row>
    <row r="8" spans="1:12" x14ac:dyDescent="0.2">
      <c r="B8" s="70"/>
      <c r="C8" s="70"/>
      <c r="D8" s="70"/>
      <c r="E8" s="70"/>
      <c r="F8" s="70"/>
      <c r="G8" s="70"/>
    </row>
    <row r="9" spans="1:12" x14ac:dyDescent="0.2">
      <c r="A9" s="72" t="s">
        <v>102</v>
      </c>
      <c r="B9" s="70"/>
      <c r="C9" s="70"/>
      <c r="D9" s="70"/>
      <c r="E9" s="70"/>
      <c r="F9" s="70"/>
      <c r="G9" s="70"/>
    </row>
    <row r="10" spans="1:12" x14ac:dyDescent="0.2">
      <c r="A10" s="43" t="str">
        <f>Egr.!A7</f>
        <v>Estaciones MDMQ</v>
      </c>
      <c r="B10" s="70" t="s">
        <v>183</v>
      </c>
      <c r="C10" s="70">
        <f>SUM(C11:C16)</f>
        <v>2916656.84</v>
      </c>
      <c r="D10" s="70">
        <f t="shared" ref="D10:L10" si="0">SUM(D11:D16)</f>
        <v>3026391.6855111113</v>
      </c>
      <c r="E10" s="70">
        <f t="shared" si="0"/>
        <v>3143348.0163271111</v>
      </c>
      <c r="F10" s="70">
        <f t="shared" si="0"/>
        <v>3268769.5112749506</v>
      </c>
      <c r="G10" s="70">
        <f t="shared" si="0"/>
        <v>3404459.0491342624</v>
      </c>
      <c r="H10" s="70">
        <f t="shared" si="0"/>
        <v>3516971.7311212849</v>
      </c>
      <c r="I10" s="70">
        <f>SUM(I11:I16)</f>
        <v>3682548.5030166567</v>
      </c>
      <c r="J10" s="70">
        <f t="shared" si="0"/>
        <v>3876228.4756778795</v>
      </c>
      <c r="K10" s="70">
        <f t="shared" si="0"/>
        <v>4122334.31741683</v>
      </c>
      <c r="L10" s="70">
        <f t="shared" si="0"/>
        <v>4517681.843759723</v>
      </c>
    </row>
    <row r="11" spans="1:12" ht="13.5" customHeight="1" outlineLevel="1" x14ac:dyDescent="0.2">
      <c r="A11" s="32" t="s">
        <v>212</v>
      </c>
      <c r="B11" s="70"/>
      <c r="C11" s="70">
        <f>+Egr.!C15+Egr.!C23+Egr.!C28+Egr.!C33+Egr.!C38+Egr.!C43+Egr.!C48</f>
        <v>1971294</v>
      </c>
      <c r="D11" s="70">
        <f>+Egr.!D15+Egr.!D23+Egr.!D28+Egr.!D33+Egr.!D38+Egr.!D43+Egr.!D48</f>
        <v>2050145.76</v>
      </c>
      <c r="E11" s="70">
        <f>+Egr.!E15+Egr.!E23+Egr.!E28+Egr.!E33+Egr.!E38+Egr.!E43+Egr.!E48</f>
        <v>2132151.5904000001</v>
      </c>
      <c r="F11" s="70">
        <f>+Egr.!F15+Egr.!F23+Egr.!F28+Egr.!F33+Egr.!F38+Egr.!F43+Egr.!F48</f>
        <v>2217437.6540160002</v>
      </c>
      <c r="G11" s="70">
        <f>+Egr.!G15+Egr.!G23+Egr.!G28+Egr.!G33+Egr.!G38+Egr.!G43+Egr.!G48</f>
        <v>2306135.1601766399</v>
      </c>
      <c r="H11" s="70">
        <f>+Egr.!H15+Egr.!H23+Egr.!H28+Egr.!H33+Egr.!H38+Egr.!H43+Egr.!H48</f>
        <v>2398380.5665837056</v>
      </c>
      <c r="I11" s="70">
        <f>+Egr.!I15+Egr.!I23+Egr.!I28+Egr.!I33+Egr.!I38+Egr.!I43+Egr.!I48</f>
        <v>2494315.7892470541</v>
      </c>
      <c r="J11" s="70">
        <f>+Egr.!J15+Egr.!J23+Egr.!J28+Egr.!J33+Egr.!J38+Egr.!J43+Egr.!J48</f>
        <v>2594088.4208169361</v>
      </c>
      <c r="K11" s="70">
        <f>+Egr.!K15+Egr.!K23+Egr.!K28+Egr.!K33+Egr.!K38+Egr.!K43+Egr.!K48</f>
        <v>2697851.9576496137</v>
      </c>
      <c r="L11" s="70">
        <f>+Egr.!L15+Egr.!L23+Egr.!L28+Egr.!L33+Egr.!L38+Egr.!L43+Egr.!L48</f>
        <v>2805766.0359555986</v>
      </c>
    </row>
    <row r="12" spans="1:12" outlineLevel="1" x14ac:dyDescent="0.2">
      <c r="A12" s="32" t="s">
        <v>213</v>
      </c>
      <c r="B12" s="70"/>
      <c r="C12" s="70">
        <f>+Egr.!C53</f>
        <v>23920</v>
      </c>
      <c r="D12" s="70">
        <f>+Egr.!D53</f>
        <v>24876.799999999999</v>
      </c>
      <c r="E12" s="70">
        <f>+Egr.!E53</f>
        <v>25871.871999999996</v>
      </c>
      <c r="F12" s="70">
        <f>+Egr.!F53</f>
        <v>26906.746879999999</v>
      </c>
      <c r="G12" s="70">
        <f>+Egr.!G53</f>
        <v>27983.016755199998</v>
      </c>
      <c r="H12" s="70">
        <f>+Egr.!H53</f>
        <v>29102.337425407997</v>
      </c>
      <c r="I12" s="70">
        <f>+Egr.!I53</f>
        <v>30266.430922424319</v>
      </c>
      <c r="J12" s="70">
        <f>+Egr.!J53</f>
        <v>31477.088159321294</v>
      </c>
      <c r="K12" s="70">
        <f>+Egr.!K53</f>
        <v>32736.171685694146</v>
      </c>
      <c r="L12" s="70">
        <f>+Egr.!L53</f>
        <v>34045.618553121909</v>
      </c>
    </row>
    <row r="13" spans="1:12" outlineLevel="1" x14ac:dyDescent="0.2">
      <c r="A13" s="32" t="s">
        <v>52</v>
      </c>
      <c r="B13" s="70"/>
      <c r="C13" s="70">
        <f>Egr.!C59</f>
        <v>62100</v>
      </c>
      <c r="D13" s="70">
        <f>+Egr.!D59</f>
        <v>64584.000000000007</v>
      </c>
      <c r="E13" s="70">
        <f>+Egr.!E59</f>
        <v>67167.360000000015</v>
      </c>
      <c r="F13" s="70">
        <f>+Egr.!F59</f>
        <v>69854.054400000008</v>
      </c>
      <c r="G13" s="70">
        <f>+Egr.!G59</f>
        <v>72648.216575999992</v>
      </c>
      <c r="H13" s="70">
        <f>+Egr.!H59</f>
        <v>75554.145239039994</v>
      </c>
      <c r="I13" s="70">
        <f>+Egr.!I59</f>
        <v>78576.311048601608</v>
      </c>
      <c r="J13" s="70">
        <f>+Egr.!J59</f>
        <v>81719.363490545657</v>
      </c>
      <c r="K13" s="70">
        <f>+Egr.!K59</f>
        <v>84988.13803016748</v>
      </c>
      <c r="L13" s="70">
        <f>+Egr.!L59</f>
        <v>88387.663551374178</v>
      </c>
    </row>
    <row r="14" spans="1:12" outlineLevel="1" x14ac:dyDescent="0.2">
      <c r="A14" s="32" t="s">
        <v>214</v>
      </c>
      <c r="B14" s="70"/>
      <c r="C14" s="70">
        <f>+Egr.!C64</f>
        <v>76800</v>
      </c>
      <c r="D14" s="70">
        <f>+Egr.!D64</f>
        <v>79872</v>
      </c>
      <c r="E14" s="70">
        <f>+Egr.!E64</f>
        <v>83066.880000000005</v>
      </c>
      <c r="F14" s="70">
        <f>+Egr.!F64</f>
        <v>86389.555200000003</v>
      </c>
      <c r="G14" s="70">
        <f>+Egr.!G64</f>
        <v>89845.137407999995</v>
      </c>
      <c r="H14" s="70">
        <f>+Egr.!H64</f>
        <v>93438.942904320007</v>
      </c>
      <c r="I14" s="70">
        <f>+Egr.!I64</f>
        <v>97176.500620492807</v>
      </c>
      <c r="J14" s="70">
        <f>+Egr.!J64</f>
        <v>101063.56064531251</v>
      </c>
      <c r="K14" s="70">
        <f>+Egr.!K64</f>
        <v>105106.10307112501</v>
      </c>
      <c r="L14" s="70">
        <f>+Egr.!L64</f>
        <v>109310.34719397</v>
      </c>
    </row>
    <row r="15" spans="1:12" outlineLevel="1" x14ac:dyDescent="0.2">
      <c r="A15" s="32" t="s">
        <v>215</v>
      </c>
      <c r="B15" s="70"/>
      <c r="C15" s="70">
        <f>+Egr.!C74</f>
        <v>26400</v>
      </c>
      <c r="D15" s="70">
        <f>+Egr.!D74</f>
        <v>27456</v>
      </c>
      <c r="E15" s="70">
        <f>+Egr.!E74</f>
        <v>28554.239999999998</v>
      </c>
      <c r="F15" s="70">
        <f>+Egr.!F74</f>
        <v>29696.409599999999</v>
      </c>
      <c r="G15" s="70">
        <f>+Egr.!G74</f>
        <v>30884.265983999998</v>
      </c>
      <c r="H15" s="70">
        <f>+Egr.!H74</f>
        <v>32119.636623359998</v>
      </c>
      <c r="I15" s="70">
        <f>+Egr.!I74</f>
        <v>33404.422088294399</v>
      </c>
      <c r="J15" s="70">
        <f>+Egr.!J74</f>
        <v>34740.598971826184</v>
      </c>
      <c r="K15" s="70">
        <f>+Egr.!K74</f>
        <v>36130.22293069923</v>
      </c>
      <c r="L15" s="70">
        <f>+Egr.!L74</f>
        <v>37575.43184792719</v>
      </c>
    </row>
    <row r="16" spans="1:12" outlineLevel="1" x14ac:dyDescent="0.2">
      <c r="A16" s="32" t="s">
        <v>216</v>
      </c>
      <c r="B16" s="70"/>
      <c r="C16" s="70">
        <f>+Deprec.!C64</f>
        <v>756142.84</v>
      </c>
      <c r="D16" s="70">
        <f>+Deprec.!D64</f>
        <v>779457.12551111111</v>
      </c>
      <c r="E16" s="70">
        <f>+Deprec.!E64</f>
        <v>806536.07392711111</v>
      </c>
      <c r="F16" s="70">
        <f>+Deprec.!F64</f>
        <v>838485.09117895109</v>
      </c>
      <c r="G16" s="70">
        <f>+Deprec.!G64</f>
        <v>876963.25223442214</v>
      </c>
      <c r="H16" s="70">
        <f>+Deprec.!H64</f>
        <v>888376.10234545136</v>
      </c>
      <c r="I16" s="70">
        <f>+Deprec.!I64</f>
        <v>948809.04908978939</v>
      </c>
      <c r="J16" s="70">
        <f>+Deprec.!J64</f>
        <v>1033139.4435939381</v>
      </c>
      <c r="K16" s="70">
        <f>+Deprec.!K64</f>
        <v>1165521.72404953</v>
      </c>
      <c r="L16" s="70">
        <f>+Deprec.!L64</f>
        <v>1442596.746657731</v>
      </c>
    </row>
    <row r="17" spans="1:12" outlineLevel="1" x14ac:dyDescent="0.2"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</row>
    <row r="18" spans="1:12" s="43" customFormat="1" x14ac:dyDescent="0.2">
      <c r="A18" s="43" t="s">
        <v>53</v>
      </c>
      <c r="B18" s="71"/>
      <c r="C18" s="216">
        <f>SUM(C19:C24)</f>
        <v>418740</v>
      </c>
      <c r="D18" s="216">
        <f t="shared" ref="D18:H18" si="1">SUM(D19:D24)</f>
        <v>435489.6</v>
      </c>
      <c r="E18" s="216">
        <f t="shared" si="1"/>
        <v>433440.38400000002</v>
      </c>
      <c r="F18" s="216">
        <f t="shared" si="1"/>
        <v>450777.99935999996</v>
      </c>
      <c r="G18" s="216">
        <f t="shared" si="1"/>
        <v>468809.11933439999</v>
      </c>
      <c r="H18" s="216">
        <f t="shared" si="1"/>
        <v>487561.48410777596</v>
      </c>
      <c r="I18" s="216">
        <f>SUM(I19:I24)</f>
        <v>507063.94347208692</v>
      </c>
      <c r="J18" s="216">
        <f t="shared" ref="J18:L18" si="2">SUM(J19:J24)</f>
        <v>527346.50121097045</v>
      </c>
      <c r="K18" s="216">
        <f t="shared" si="2"/>
        <v>548440.36125940934</v>
      </c>
      <c r="L18" s="216">
        <f t="shared" si="2"/>
        <v>570377.97570978559</v>
      </c>
    </row>
    <row r="19" spans="1:12" outlineLevel="1" x14ac:dyDescent="0.2">
      <c r="A19" s="32" t="s">
        <v>212</v>
      </c>
      <c r="B19" s="70"/>
      <c r="C19" s="73">
        <f>Egr.!C93+Egr.!C98+Egr.!C103+Egr.!C108+Egr.!C113+Egr.!C118+Egr.!C123+Egr.!C128+Egr.!C133+Egr.!C138+Egr.!C143+Egr.!C148+Egr.!C153</f>
        <v>309240</v>
      </c>
      <c r="D19" s="73">
        <f>Egr.!D93+Egr.!D98+Egr.!D103+Egr.!D108+Egr.!D113+Egr.!D118+Egr.!D123+Egr.!D128+Egr.!D133+Egr.!D138+Egr.!D143+Egr.!D148+Egr.!D153</f>
        <v>321609.59999999998</v>
      </c>
      <c r="E19" s="73">
        <f>Egr.!E93+Egr.!E98+Egr.!E103+Egr.!E108+Egr.!E113+Egr.!E118+Egr.!E123+Egr.!E128+Egr.!E133+Egr.!E138+Egr.!E143+Egr.!E148+Egr.!E153</f>
        <v>315005.18400000001</v>
      </c>
      <c r="F19" s="73">
        <f>Egr.!F93+Egr.!F98+Egr.!F103+Egr.!F108+Egr.!F113+Egr.!F118+Egr.!F123+Egr.!F128+Egr.!F133+Egr.!F138+Egr.!F143+Egr.!F148+Egr.!F153</f>
        <v>327605.39135999995</v>
      </c>
      <c r="G19" s="73">
        <f>Egr.!G93+Egr.!G98+Egr.!G103+Egr.!G108+Egr.!G113+Egr.!G118+Egr.!G123+Egr.!G128+Egr.!G133+Egr.!G138+Egr.!G143+Egr.!G148+Egr.!G153</f>
        <v>340709.60701440001</v>
      </c>
      <c r="H19" s="73">
        <f>Egr.!H93+Egr.!H98+Egr.!H103+Egr.!H108+Egr.!H113+Egr.!H118+Egr.!H123+Egr.!H128+Egr.!H133+Egr.!H138+Egr.!H143+Egr.!H148+Egr.!H153</f>
        <v>354337.99129497592</v>
      </c>
      <c r="I19" s="73">
        <f>Egr.!I93+Egr.!I98+Egr.!I103+Egr.!I108+Egr.!I113+Egr.!I118+Egr.!I123+Egr.!I128+Egr.!I133+Egr.!I138+Egr.!I143+Egr.!I148+Egr.!I153</f>
        <v>368511.51094677497</v>
      </c>
      <c r="J19" s="73">
        <f>Egr.!J93+Egr.!J98+Egr.!J103+Egr.!J108+Egr.!J113+Egr.!J118+Egr.!J123+Egr.!J128+Egr.!J133+Egr.!J138+Egr.!J143+Egr.!J148+Egr.!J153</f>
        <v>383251.97138464602</v>
      </c>
      <c r="K19" s="73">
        <f>Egr.!K93+Egr.!K98+Egr.!K103+Egr.!K108+Egr.!K113+Egr.!K118+Egr.!K123+Egr.!K128+Egr.!K133+Egr.!K138+Egr.!K143+Egr.!K148+Egr.!K153</f>
        <v>398582.05024003191</v>
      </c>
      <c r="L19" s="73">
        <f>Egr.!L93+Egr.!L98+Egr.!L103+Egr.!L108+Egr.!L113+Egr.!L118+Egr.!L123+Egr.!L128+Egr.!L133+Egr.!L138+Egr.!L143+Egr.!L148+Egr.!L153</f>
        <v>414525.33224963304</v>
      </c>
    </row>
    <row r="20" spans="1:12" outlineLevel="1" x14ac:dyDescent="0.2">
      <c r="A20" s="32" t="s">
        <v>213</v>
      </c>
      <c r="B20" s="70"/>
      <c r="C20" s="73">
        <v>0</v>
      </c>
      <c r="D20" s="73">
        <v>0</v>
      </c>
      <c r="E20" s="73">
        <v>0</v>
      </c>
      <c r="F20" s="73">
        <v>0</v>
      </c>
      <c r="G20" s="73">
        <v>0</v>
      </c>
      <c r="H20" s="73">
        <v>0</v>
      </c>
      <c r="I20" s="73">
        <v>0</v>
      </c>
      <c r="J20" s="73">
        <v>0</v>
      </c>
      <c r="K20" s="73">
        <v>0</v>
      </c>
      <c r="L20" s="73">
        <v>0</v>
      </c>
    </row>
    <row r="21" spans="1:12" outlineLevel="1" x14ac:dyDescent="0.2">
      <c r="A21" s="32" t="s">
        <v>217</v>
      </c>
      <c r="B21" s="70"/>
      <c r="C21" s="73">
        <v>0</v>
      </c>
      <c r="D21" s="73">
        <v>0</v>
      </c>
      <c r="E21" s="73">
        <v>0</v>
      </c>
      <c r="F21" s="73">
        <v>0</v>
      </c>
      <c r="G21" s="73">
        <v>0</v>
      </c>
      <c r="H21" s="73">
        <v>0</v>
      </c>
      <c r="I21" s="73">
        <v>0</v>
      </c>
      <c r="J21" s="73">
        <v>0</v>
      </c>
      <c r="K21" s="73">
        <v>0</v>
      </c>
      <c r="L21" s="73">
        <v>0</v>
      </c>
    </row>
    <row r="22" spans="1:12" outlineLevel="1" x14ac:dyDescent="0.2">
      <c r="A22" s="32" t="s">
        <v>214</v>
      </c>
      <c r="B22" s="70"/>
      <c r="C22" s="73">
        <v>0</v>
      </c>
      <c r="D22" s="73">
        <v>0</v>
      </c>
      <c r="E22" s="73">
        <v>0</v>
      </c>
      <c r="F22" s="73">
        <v>0</v>
      </c>
      <c r="G22" s="73">
        <v>0</v>
      </c>
      <c r="H22" s="73">
        <v>0</v>
      </c>
      <c r="I22" s="73">
        <v>0</v>
      </c>
      <c r="J22" s="73">
        <v>0</v>
      </c>
      <c r="K22" s="73">
        <v>0</v>
      </c>
      <c r="L22" s="73">
        <v>0</v>
      </c>
    </row>
    <row r="23" spans="1:12" outlineLevel="1" x14ac:dyDescent="0.2">
      <c r="A23" s="32" t="s">
        <v>215</v>
      </c>
      <c r="B23" s="70"/>
      <c r="C23" s="73">
        <f>Egr.!C171</f>
        <v>109500</v>
      </c>
      <c r="D23" s="73">
        <f>Egr.!D171</f>
        <v>113880</v>
      </c>
      <c r="E23" s="73">
        <f>Egr.!E171</f>
        <v>118435.2</v>
      </c>
      <c r="F23" s="73">
        <f>Egr.!F171</f>
        <v>123172.60800000001</v>
      </c>
      <c r="G23" s="73">
        <f>Egr.!G171</f>
        <v>128099.51231999998</v>
      </c>
      <c r="H23" s="73">
        <f>Egr.!H171</f>
        <v>133223.49281280002</v>
      </c>
      <c r="I23" s="73">
        <f>Egr.!I171</f>
        <v>138552.43252531198</v>
      </c>
      <c r="J23" s="73">
        <f>Egr.!J171</f>
        <v>144094.52982632443</v>
      </c>
      <c r="K23" s="73">
        <f>Egr.!K171</f>
        <v>149858.31101937743</v>
      </c>
      <c r="L23" s="73">
        <f>Egr.!L171</f>
        <v>155852.64346015255</v>
      </c>
    </row>
    <row r="24" spans="1:12" outlineLevel="1" x14ac:dyDescent="0.2">
      <c r="A24" s="32" t="s">
        <v>216</v>
      </c>
      <c r="B24" s="70"/>
      <c r="C24" s="73"/>
      <c r="D24" s="73"/>
      <c r="E24" s="73"/>
      <c r="F24" s="73"/>
      <c r="G24" s="73"/>
      <c r="H24" s="73"/>
      <c r="I24" s="73"/>
      <c r="J24" s="73"/>
      <c r="K24" s="73"/>
      <c r="L24" s="73"/>
    </row>
    <row r="25" spans="1:12" outlineLevel="1" x14ac:dyDescent="0.2">
      <c r="B25" s="70"/>
      <c r="C25" s="73"/>
      <c r="D25" s="73"/>
      <c r="E25" s="73"/>
      <c r="F25" s="73"/>
      <c r="G25" s="73"/>
      <c r="H25" s="73"/>
      <c r="I25" s="73"/>
      <c r="J25" s="73"/>
      <c r="K25" s="73"/>
      <c r="L25" s="73"/>
    </row>
    <row r="26" spans="1:12" s="43" customFormat="1" x14ac:dyDescent="0.2">
      <c r="A26" s="43" t="s">
        <v>224</v>
      </c>
      <c r="B26" s="71"/>
      <c r="C26" s="216">
        <f>SUM(C27:C30)</f>
        <v>0</v>
      </c>
      <c r="D26" s="216">
        <f t="shared" ref="D26:L26" si="3">SUM(D27:D30)</f>
        <v>0</v>
      </c>
      <c r="E26" s="216">
        <f t="shared" si="3"/>
        <v>0</v>
      </c>
      <c r="F26" s="216">
        <f t="shared" si="3"/>
        <v>0</v>
      </c>
      <c r="G26" s="216">
        <f t="shared" si="3"/>
        <v>0</v>
      </c>
      <c r="H26" s="216">
        <f t="shared" si="3"/>
        <v>0</v>
      </c>
      <c r="I26" s="216">
        <f t="shared" si="3"/>
        <v>0</v>
      </c>
      <c r="J26" s="216">
        <f t="shared" si="3"/>
        <v>0</v>
      </c>
      <c r="K26" s="216">
        <f t="shared" si="3"/>
        <v>0</v>
      </c>
      <c r="L26" s="216">
        <f t="shared" si="3"/>
        <v>0</v>
      </c>
    </row>
    <row r="27" spans="1:12" outlineLevel="1" x14ac:dyDescent="0.2">
      <c r="A27" s="32" t="s">
        <v>174</v>
      </c>
      <c r="B27" s="70"/>
      <c r="C27" s="73">
        <f>Egr.!C187</f>
        <v>0</v>
      </c>
      <c r="D27" s="73">
        <f>Egr.!D187</f>
        <v>0</v>
      </c>
      <c r="E27" s="73">
        <f>Egr.!E187</f>
        <v>0</v>
      </c>
      <c r="F27" s="73">
        <f>Egr.!F187</f>
        <v>0</v>
      </c>
      <c r="G27" s="73">
        <f>Egr.!G187</f>
        <v>0</v>
      </c>
      <c r="H27" s="73">
        <f>Egr.!H187</f>
        <v>0</v>
      </c>
      <c r="I27" s="73">
        <f>Egr.!I187</f>
        <v>0</v>
      </c>
      <c r="J27" s="73">
        <f>Egr.!J187</f>
        <v>0</v>
      </c>
      <c r="K27" s="73">
        <f>Egr.!K187</f>
        <v>0</v>
      </c>
      <c r="L27" s="73">
        <f>Egr.!L187</f>
        <v>0</v>
      </c>
    </row>
    <row r="28" spans="1:12" outlineLevel="1" x14ac:dyDescent="0.2">
      <c r="A28" s="32" t="s">
        <v>177</v>
      </c>
      <c r="B28" s="70"/>
      <c r="C28" s="73">
        <f>Egr.!C209</f>
        <v>0</v>
      </c>
      <c r="D28" s="73">
        <f>Egr.!D209</f>
        <v>0</v>
      </c>
      <c r="E28" s="73">
        <f>Egr.!E209</f>
        <v>0</v>
      </c>
      <c r="F28" s="73">
        <f>Egr.!F209</f>
        <v>0</v>
      </c>
      <c r="G28" s="73">
        <f>Egr.!G209</f>
        <v>0</v>
      </c>
      <c r="H28" s="73">
        <f>Egr.!H209</f>
        <v>0</v>
      </c>
      <c r="I28" s="73">
        <f>Egr.!I209</f>
        <v>0</v>
      </c>
      <c r="J28" s="73">
        <f>Egr.!J209</f>
        <v>0</v>
      </c>
      <c r="K28" s="73">
        <f>Egr.!K209</f>
        <v>0</v>
      </c>
      <c r="L28" s="73">
        <f>Egr.!L209</f>
        <v>0</v>
      </c>
    </row>
    <row r="29" spans="1:12" outlineLevel="1" x14ac:dyDescent="0.2">
      <c r="A29" s="32" t="s">
        <v>179</v>
      </c>
      <c r="B29" s="70"/>
      <c r="C29" s="73">
        <f>Egr.!C229</f>
        <v>0</v>
      </c>
      <c r="D29" s="73">
        <f>Egr.!D229</f>
        <v>0</v>
      </c>
      <c r="E29" s="73">
        <f>Egr.!E229</f>
        <v>0</v>
      </c>
      <c r="F29" s="73">
        <f>Egr.!F229</f>
        <v>0</v>
      </c>
      <c r="G29" s="73">
        <f>Egr.!G229</f>
        <v>0</v>
      </c>
      <c r="H29" s="73">
        <f>Egr.!H229</f>
        <v>0</v>
      </c>
      <c r="I29" s="73">
        <f>Egr.!I229</f>
        <v>0</v>
      </c>
      <c r="J29" s="73">
        <f>Egr.!J229</f>
        <v>0</v>
      </c>
      <c r="K29" s="73">
        <f>Egr.!K229</f>
        <v>0</v>
      </c>
      <c r="L29" s="73">
        <f>Egr.!L229</f>
        <v>0</v>
      </c>
    </row>
    <row r="30" spans="1:12" outlineLevel="1" x14ac:dyDescent="0.2">
      <c r="A30" s="32" t="s">
        <v>222</v>
      </c>
      <c r="B30" s="70"/>
      <c r="C30" s="73">
        <f>Egr.!C249</f>
        <v>0</v>
      </c>
      <c r="D30" s="73">
        <f>Egr.!D249</f>
        <v>0</v>
      </c>
      <c r="E30" s="73">
        <f>Egr.!E249</f>
        <v>0</v>
      </c>
      <c r="F30" s="73">
        <f>Egr.!F249</f>
        <v>0</v>
      </c>
      <c r="G30" s="73">
        <f>Egr.!G249</f>
        <v>0</v>
      </c>
      <c r="H30" s="73">
        <f>Egr.!H249</f>
        <v>0</v>
      </c>
      <c r="I30" s="73">
        <f>Egr.!I249</f>
        <v>0</v>
      </c>
      <c r="J30" s="73">
        <f>Egr.!J249</f>
        <v>0</v>
      </c>
      <c r="K30" s="73">
        <f>Egr.!K249</f>
        <v>0</v>
      </c>
      <c r="L30" s="73">
        <f>Egr.!L249</f>
        <v>0</v>
      </c>
    </row>
    <row r="31" spans="1:12" outlineLevel="1" x14ac:dyDescent="0.2">
      <c r="B31" s="70"/>
      <c r="C31" s="70"/>
      <c r="D31" s="70"/>
      <c r="E31" s="70"/>
      <c r="F31" s="70"/>
      <c r="G31" s="70"/>
    </row>
    <row r="32" spans="1:12" s="43" customFormat="1" x14ac:dyDescent="0.2">
      <c r="A32" s="43" t="s">
        <v>630</v>
      </c>
      <c r="B32" s="71"/>
      <c r="C32" s="71">
        <f>SUM(C33:C36)</f>
        <v>0</v>
      </c>
      <c r="D32" s="71">
        <f t="shared" ref="D32:L32" si="4">SUM(D33:D36)</f>
        <v>0</v>
      </c>
      <c r="E32" s="71">
        <f t="shared" si="4"/>
        <v>0</v>
      </c>
      <c r="F32" s="71">
        <f t="shared" si="4"/>
        <v>0</v>
      </c>
      <c r="G32" s="71">
        <f t="shared" si="4"/>
        <v>0</v>
      </c>
      <c r="H32" s="71">
        <f t="shared" si="4"/>
        <v>0</v>
      </c>
      <c r="I32" s="71">
        <f t="shared" si="4"/>
        <v>0</v>
      </c>
      <c r="J32" s="71">
        <f t="shared" si="4"/>
        <v>0</v>
      </c>
      <c r="K32" s="71">
        <f t="shared" si="4"/>
        <v>0</v>
      </c>
      <c r="L32" s="71">
        <f t="shared" si="4"/>
        <v>0</v>
      </c>
    </row>
    <row r="33" spans="1:13" outlineLevel="1" x14ac:dyDescent="0.2">
      <c r="A33" s="32" t="s">
        <v>174</v>
      </c>
      <c r="B33" s="70"/>
      <c r="C33" s="70">
        <f>Egr.!C195</f>
        <v>0</v>
      </c>
      <c r="D33" s="70">
        <f>Egr.!D195</f>
        <v>0</v>
      </c>
      <c r="E33" s="70">
        <f>Egr.!E195</f>
        <v>0</v>
      </c>
      <c r="F33" s="70">
        <f>Egr.!F195</f>
        <v>0</v>
      </c>
      <c r="G33" s="70">
        <f>Egr.!G195</f>
        <v>0</v>
      </c>
      <c r="H33" s="70">
        <f>Egr.!H195</f>
        <v>0</v>
      </c>
      <c r="I33" s="70">
        <f>Egr.!I195</f>
        <v>0</v>
      </c>
      <c r="J33" s="70">
        <f>Egr.!J195</f>
        <v>0</v>
      </c>
      <c r="K33" s="70">
        <f>Egr.!K195</f>
        <v>0</v>
      </c>
      <c r="L33" s="70">
        <f>Egr.!L195</f>
        <v>0</v>
      </c>
    </row>
    <row r="34" spans="1:13" outlineLevel="1" x14ac:dyDescent="0.2">
      <c r="A34" s="32" t="s">
        <v>177</v>
      </c>
      <c r="B34" s="70"/>
      <c r="C34" s="70">
        <f>Egr.!C217</f>
        <v>0</v>
      </c>
      <c r="D34" s="70">
        <f>Egr.!D217</f>
        <v>0</v>
      </c>
      <c r="E34" s="70">
        <f>Egr.!E217</f>
        <v>0</v>
      </c>
      <c r="F34" s="70">
        <f>Egr.!F217</f>
        <v>0</v>
      </c>
      <c r="G34" s="70">
        <f>Egr.!G217</f>
        <v>0</v>
      </c>
      <c r="H34" s="70">
        <f>Egr.!H217</f>
        <v>0</v>
      </c>
      <c r="I34" s="70">
        <f>Egr.!I217</f>
        <v>0</v>
      </c>
      <c r="J34" s="70">
        <f>Egr.!J217</f>
        <v>0</v>
      </c>
      <c r="K34" s="70">
        <f>Egr.!K217</f>
        <v>0</v>
      </c>
      <c r="L34" s="70">
        <f>Egr.!L217</f>
        <v>0</v>
      </c>
    </row>
    <row r="35" spans="1:13" outlineLevel="1" x14ac:dyDescent="0.2">
      <c r="A35" s="32" t="s">
        <v>179</v>
      </c>
      <c r="B35" s="70"/>
      <c r="C35" s="70">
        <f>Egr.!C237</f>
        <v>0</v>
      </c>
      <c r="D35" s="70">
        <f>Egr.!D237</f>
        <v>0</v>
      </c>
      <c r="E35" s="70">
        <f>Egr.!E237</f>
        <v>0</v>
      </c>
      <c r="F35" s="70">
        <f>Egr.!F237</f>
        <v>0</v>
      </c>
      <c r="G35" s="70">
        <f>Egr.!G237</f>
        <v>0</v>
      </c>
      <c r="H35" s="70">
        <f>Egr.!H237</f>
        <v>0</v>
      </c>
      <c r="I35" s="70">
        <f>Egr.!I237</f>
        <v>0</v>
      </c>
      <c r="J35" s="70">
        <f>Egr.!J237</f>
        <v>0</v>
      </c>
      <c r="K35" s="70">
        <f>Egr.!K237</f>
        <v>0</v>
      </c>
      <c r="L35" s="70">
        <f>Egr.!L237</f>
        <v>0</v>
      </c>
    </row>
    <row r="36" spans="1:13" outlineLevel="1" x14ac:dyDescent="0.2">
      <c r="A36" s="32" t="s">
        <v>222</v>
      </c>
      <c r="B36" s="70"/>
      <c r="C36" s="70">
        <f>Egr.!C257</f>
        <v>0</v>
      </c>
      <c r="D36" s="70">
        <f>Egr.!D257</f>
        <v>0</v>
      </c>
      <c r="E36" s="70">
        <f>Egr.!E257</f>
        <v>0</v>
      </c>
      <c r="F36" s="70">
        <f>Egr.!F257</f>
        <v>0</v>
      </c>
      <c r="G36" s="70">
        <f>Egr.!G257</f>
        <v>0</v>
      </c>
      <c r="H36" s="70">
        <f>Egr.!H257</f>
        <v>0</v>
      </c>
      <c r="I36" s="70">
        <f>Egr.!I257</f>
        <v>0</v>
      </c>
      <c r="J36" s="70">
        <f>Egr.!J257</f>
        <v>0</v>
      </c>
      <c r="K36" s="70">
        <f>Egr.!K257</f>
        <v>0</v>
      </c>
      <c r="L36" s="70">
        <f>Egr.!L257</f>
        <v>0</v>
      </c>
    </row>
    <row r="37" spans="1:13" outlineLevel="1" x14ac:dyDescent="0.2">
      <c r="B37" s="70"/>
      <c r="C37" s="70"/>
      <c r="D37" s="70"/>
      <c r="E37" s="70"/>
      <c r="F37" s="70"/>
      <c r="G37" s="70"/>
      <c r="H37" s="70"/>
      <c r="I37" s="70"/>
      <c r="J37" s="70"/>
      <c r="K37" s="70"/>
      <c r="L37" s="70"/>
    </row>
    <row r="38" spans="1:13" x14ac:dyDescent="0.2">
      <c r="A38" s="32" t="s">
        <v>225</v>
      </c>
      <c r="B38" s="70"/>
      <c r="C38" s="70">
        <f>Egr.!C197</f>
        <v>0</v>
      </c>
      <c r="D38" s="70">
        <f>Egr.!D197</f>
        <v>0</v>
      </c>
      <c r="E38" s="70">
        <f>Egr.!E197</f>
        <v>0</v>
      </c>
      <c r="F38" s="70">
        <f>Egr.!F197</f>
        <v>0</v>
      </c>
      <c r="G38" s="70">
        <f>Egr.!G197</f>
        <v>0</v>
      </c>
      <c r="H38" s="70">
        <f>Egr.!H197</f>
        <v>0</v>
      </c>
      <c r="I38" s="70">
        <f>Egr.!I197</f>
        <v>0</v>
      </c>
      <c r="J38" s="70">
        <f>Egr.!J197</f>
        <v>0</v>
      </c>
      <c r="K38" s="70">
        <f>Egr.!K197</f>
        <v>0</v>
      </c>
      <c r="L38" s="70">
        <f>Egr.!L197</f>
        <v>0</v>
      </c>
    </row>
    <row r="39" spans="1:13" x14ac:dyDescent="0.2">
      <c r="A39" s="32" t="s">
        <v>470</v>
      </c>
      <c r="B39" s="70"/>
      <c r="C39" s="70">
        <f>Inv.Rep.!C56</f>
        <v>257500</v>
      </c>
      <c r="D39" s="70">
        <f>+C39</f>
        <v>257500</v>
      </c>
      <c r="E39" s="70">
        <f>+D39</f>
        <v>257500</v>
      </c>
      <c r="F39" s="70">
        <f>+E39</f>
        <v>257500</v>
      </c>
      <c r="G39" s="70">
        <f>+F39</f>
        <v>257500</v>
      </c>
      <c r="H39" s="70"/>
      <c r="I39" s="70"/>
      <c r="J39" s="70"/>
      <c r="K39" s="70"/>
      <c r="L39" s="70"/>
    </row>
    <row r="40" spans="1:13" x14ac:dyDescent="0.2">
      <c r="A40" s="32" t="s">
        <v>657</v>
      </c>
      <c r="B40" s="70"/>
      <c r="C40" s="70">
        <f>Inv.Rep.!C54</f>
        <v>0</v>
      </c>
      <c r="D40" s="70">
        <v>20000</v>
      </c>
      <c r="E40" s="70">
        <v>30000</v>
      </c>
      <c r="F40" s="70">
        <f>Inv.Rep.!F54</f>
        <v>6000</v>
      </c>
      <c r="G40" s="70">
        <f>Inv.Rep.!G54</f>
        <v>6240</v>
      </c>
      <c r="H40" s="70">
        <f>Inv.Rep.!H54</f>
        <v>6489.6</v>
      </c>
      <c r="I40" s="70">
        <f>Inv.Rep.!I54</f>
        <v>6749.1840000000002</v>
      </c>
      <c r="J40" s="70">
        <f>Inv.Rep.!J54</f>
        <v>7019.1513599999998</v>
      </c>
      <c r="K40" s="70">
        <f>Inv.Rep.!K54</f>
        <v>7299.9174143999999</v>
      </c>
      <c r="L40" s="70">
        <f>Inv.Rep.!L54</f>
        <v>7591.9141109760003</v>
      </c>
    </row>
    <row r="41" spans="1:13" s="43" customFormat="1" x14ac:dyDescent="0.2">
      <c r="A41" s="45" t="s">
        <v>226</v>
      </c>
      <c r="B41" s="70" t="s">
        <v>183</v>
      </c>
      <c r="C41" s="71">
        <f t="shared" ref="C41:F41" si="5">C10+C18+C26+C32+C38+C39+C40</f>
        <v>3592896.84</v>
      </c>
      <c r="D41" s="71">
        <f t="shared" si="5"/>
        <v>3739381.2855111114</v>
      </c>
      <c r="E41" s="71">
        <f t="shared" si="5"/>
        <v>3864288.4003271111</v>
      </c>
      <c r="F41" s="71">
        <f t="shared" si="5"/>
        <v>3983047.5106349504</v>
      </c>
      <c r="G41" s="71">
        <f>G10+G18+G26+G32+G38+G39+G40</f>
        <v>4137008.1684686625</v>
      </c>
      <c r="H41" s="71">
        <f t="shared" ref="H41:L41" si="6">H10+H18+H26+H32+H38+H39+H40</f>
        <v>4011022.8152290611</v>
      </c>
      <c r="I41" s="71">
        <f t="shared" si="6"/>
        <v>4196361.630488744</v>
      </c>
      <c r="J41" s="71">
        <f t="shared" si="6"/>
        <v>4410594.1282488499</v>
      </c>
      <c r="K41" s="71">
        <f t="shared" si="6"/>
        <v>4678074.596090639</v>
      </c>
      <c r="L41" s="71">
        <f t="shared" si="6"/>
        <v>5095651.733580485</v>
      </c>
      <c r="M41" s="71" t="s">
        <v>183</v>
      </c>
    </row>
    <row r="42" spans="1:13" x14ac:dyDescent="0.2">
      <c r="B42" s="70" t="s">
        <v>183</v>
      </c>
      <c r="C42" s="70"/>
      <c r="D42" s="70" t="s">
        <v>183</v>
      </c>
      <c r="E42" s="70"/>
      <c r="F42" s="70"/>
      <c r="G42" s="70"/>
    </row>
    <row r="43" spans="1:13" x14ac:dyDescent="0.2">
      <c r="B43" s="70"/>
      <c r="C43" s="70"/>
      <c r="D43" s="70"/>
      <c r="E43" s="70"/>
      <c r="F43" s="70"/>
      <c r="G43" s="70"/>
    </row>
    <row r="44" spans="1:13" x14ac:dyDescent="0.2">
      <c r="A44" s="36" t="s">
        <v>103</v>
      </c>
      <c r="B44" s="70" t="s">
        <v>183</v>
      </c>
      <c r="C44" s="71">
        <f t="shared" ref="C44:L44" si="7">+C7-C41</f>
        <v>3533076.1778142871</v>
      </c>
      <c r="D44" s="71">
        <f t="shared" si="7"/>
        <v>4217808.1900761742</v>
      </c>
      <c r="E44" s="71">
        <f t="shared" si="7"/>
        <v>4970690.2730929852</v>
      </c>
      <c r="F44" s="71">
        <f t="shared" si="7"/>
        <v>5814938.1228982536</v>
      </c>
      <c r="G44" s="71">
        <f t="shared" si="7"/>
        <v>6729318.9362289133</v>
      </c>
      <c r="H44" s="71">
        <f t="shared" si="7"/>
        <v>8041463.7849082062</v>
      </c>
      <c r="I44" s="71">
        <f t="shared" si="7"/>
        <v>9173261.6475987975</v>
      </c>
      <c r="J44" s="71">
        <f t="shared" si="7"/>
        <v>10421720.769781878</v>
      </c>
      <c r="K44" s="71">
        <f t="shared" si="7"/>
        <v>11778690.897009972</v>
      </c>
      <c r="L44" s="71">
        <f t="shared" si="7"/>
        <v>13165339.60165925</v>
      </c>
    </row>
    <row r="45" spans="1:13" x14ac:dyDescent="0.2">
      <c r="B45" s="70"/>
      <c r="C45" s="70"/>
      <c r="D45" s="70"/>
      <c r="E45" s="70"/>
      <c r="F45" s="70"/>
      <c r="G45" s="70"/>
    </row>
    <row r="46" spans="1:13" x14ac:dyDescent="0.2">
      <c r="A46" s="36" t="s">
        <v>112</v>
      </c>
      <c r="B46" s="70"/>
      <c r="C46" s="71">
        <f t="shared" ref="C46:L46" si="8">SUM(C47:C51)</f>
        <v>1300636.2987202292</v>
      </c>
      <c r="D46" s="71">
        <f t="shared" si="8"/>
        <v>1562636.6907712724</v>
      </c>
      <c r="E46" s="71">
        <f t="shared" si="8"/>
        <v>1850977.8444781466</v>
      </c>
      <c r="F46" s="71">
        <f t="shared" si="8"/>
        <v>2169475.6752955429</v>
      </c>
      <c r="G46" s="71">
        <f t="shared" si="8"/>
        <v>2511757.2657021945</v>
      </c>
      <c r="H46" s="71">
        <f t="shared" si="8"/>
        <v>2995799.9384165164</v>
      </c>
      <c r="I46" s="71">
        <f t="shared" si="8"/>
        <v>3410707.3575090514</v>
      </c>
      <c r="J46" s="71">
        <f t="shared" si="8"/>
        <v>3862142.1455268022</v>
      </c>
      <c r="K46" s="71">
        <f t="shared" si="8"/>
        <v>4343556.6007433273</v>
      </c>
      <c r="L46" s="71">
        <f t="shared" si="8"/>
        <v>4824575.4709456898</v>
      </c>
    </row>
    <row r="47" spans="1:13" x14ac:dyDescent="0.2">
      <c r="A47" s="32" t="s">
        <v>658</v>
      </c>
      <c r="B47" s="70"/>
      <c r="C47" s="70">
        <f>1000*12</f>
        <v>12000</v>
      </c>
      <c r="D47" s="70">
        <f>+C47+(C47*Inflación!D8)</f>
        <v>12480</v>
      </c>
      <c r="E47" s="70">
        <f>+D47+(D47*Inflación!E8)</f>
        <v>12979.2</v>
      </c>
      <c r="F47" s="70">
        <f>+E47+(E47*Inflación!F8)</f>
        <v>13498.368</v>
      </c>
      <c r="G47" s="70">
        <f>+F47+(F47*Inflación!G8)</f>
        <v>14038.30272</v>
      </c>
      <c r="H47" s="70">
        <f>+G47+(G47*Inflación!H8)</f>
        <v>14599.8348288</v>
      </c>
      <c r="I47" s="70">
        <f>+H47+(H47*Inflación!I8)</f>
        <v>15183.828221952001</v>
      </c>
      <c r="J47" s="70">
        <f>+I47+(I47*Inflación!J8)</f>
        <v>15791.18135083008</v>
      </c>
      <c r="K47" s="70">
        <f>+J47+(J47*Inflación!K8)</f>
        <v>16422.828604863284</v>
      </c>
      <c r="L47" s="70">
        <f>+K47+(K47*Inflación!L8)</f>
        <v>17079.741749057815</v>
      </c>
    </row>
    <row r="48" spans="1:13" x14ac:dyDescent="0.2">
      <c r="A48" s="32" t="s">
        <v>227</v>
      </c>
      <c r="B48" s="71">
        <f>SUM(C48:L48)</f>
        <v>710031.78052119585</v>
      </c>
      <c r="C48" s="70">
        <f>+IF(Condiciones!$B$7="SI",Amort.!C179,Amort.!C180)</f>
        <v>0</v>
      </c>
      <c r="D48" s="70">
        <f>+IF(Condiciones!$B$7="SI",Amort.!D179,Amort.!D180)</f>
        <v>22812.247224122268</v>
      </c>
      <c r="E48" s="70">
        <f>+IF(Condiciones!$B$7="SI",Amort.!E179,Amort.!E180)</f>
        <v>48227.03352054923</v>
      </c>
      <c r="F48" s="70">
        <f>+IF(Condiciones!$B$7="SI",Amort.!F179,Amort.!F180)</f>
        <v>69041.436536523004</v>
      </c>
      <c r="G48" s="70">
        <f>+IF(Condiciones!$B$7="SI",Amort.!G179,Amort.!G180)</f>
        <v>87349.43046300397</v>
      </c>
      <c r="H48" s="70">
        <f>+IF(Condiciones!$B$7="SI",Amort.!H179,Amort.!H180)</f>
        <v>101833.11864844026</v>
      </c>
      <c r="I48" s="70">
        <f>+IF(Condiciones!$B$7="SI",Amort.!I179,Amort.!I180)</f>
        <v>110544.74682234364</v>
      </c>
      <c r="J48" s="70">
        <f>+IF(Condiciones!$B$7="SI",Amort.!J179,Amort.!J180)</f>
        <v>110409.86207168967</v>
      </c>
      <c r="K48" s="70">
        <f>+IF(Condiciones!$B$7="SI",Amort.!K179,Amort.!K180)</f>
        <v>95929.28420558224</v>
      </c>
      <c r="L48" s="70">
        <f>+IF(Condiciones!$B$7="SI",Amort.!L179,Amort.!L180)</f>
        <v>63884.621028941503</v>
      </c>
    </row>
    <row r="49" spans="1:12" x14ac:dyDescent="0.2">
      <c r="A49" s="32" t="s">
        <v>493</v>
      </c>
      <c r="B49" s="70"/>
      <c r="C49" s="70">
        <f>+'Impuestos V.'!E19</f>
        <v>19209.700804</v>
      </c>
      <c r="D49" s="70">
        <f>+'Impuestos V.'!F19</f>
        <v>17541.041981617775</v>
      </c>
      <c r="E49" s="70">
        <f>+'Impuestos V.'!G19</f>
        <v>15817.484882493154</v>
      </c>
      <c r="F49" s="70">
        <f>+'Impuestos V.'!H19</f>
        <v>14025.851533948757</v>
      </c>
      <c r="G49" s="70">
        <f>+'Impuestos V.'!I19</f>
        <v>12148.190454978474</v>
      </c>
      <c r="H49" s="70">
        <f>+'Impuestos V.'!J19</f>
        <v>10264.01340478659</v>
      </c>
      <c r="I49" s="70">
        <f>+'Impuestos V.'!K19</f>
        <v>8232.2253549005218</v>
      </c>
      <c r="J49" s="70">
        <f>+'Impuestos V.'!L19</f>
        <v>5984.629488651397</v>
      </c>
      <c r="K49" s="70">
        <f>+'Impuestos V.'!M19</f>
        <v>3383.0253498879847</v>
      </c>
      <c r="L49" s="70">
        <f>+'Impuestos V.'!N19</f>
        <v>823.6612913522722</v>
      </c>
    </row>
    <row r="50" spans="1:12" x14ac:dyDescent="0.2">
      <c r="A50" s="32" t="s">
        <v>655</v>
      </c>
      <c r="B50" s="293">
        <v>0.15</v>
      </c>
      <c r="C50" s="70">
        <f>(C44-C47-C48-C49)*0.15</f>
        <v>525279.9715515431</v>
      </c>
      <c r="D50" s="70">
        <f t="shared" ref="D50:L50" si="9">(D44-D47-D48-D49)*0.15</f>
        <v>624746.23513056512</v>
      </c>
      <c r="E50" s="70">
        <f t="shared" si="9"/>
        <v>734049.98320349131</v>
      </c>
      <c r="F50" s="70">
        <f t="shared" si="9"/>
        <v>857755.87002416735</v>
      </c>
      <c r="G50" s="70">
        <f t="shared" si="9"/>
        <v>992367.4518886396</v>
      </c>
      <c r="H50" s="70">
        <f t="shared" si="9"/>
        <v>1187215.0227039268</v>
      </c>
      <c r="I50" s="70">
        <f t="shared" si="9"/>
        <v>1355895.1270799399</v>
      </c>
      <c r="J50" s="70">
        <f t="shared" si="9"/>
        <v>1543430.2645306061</v>
      </c>
      <c r="K50" s="70">
        <f t="shared" si="9"/>
        <v>1749443.3638274458</v>
      </c>
      <c r="L50" s="70">
        <f t="shared" si="9"/>
        <v>1962532.7366384848</v>
      </c>
    </row>
    <row r="51" spans="1:12" x14ac:dyDescent="0.2">
      <c r="A51" s="32" t="s">
        <v>656</v>
      </c>
      <c r="B51" s="293">
        <v>0.25</v>
      </c>
      <c r="C51" s="70">
        <f>(C44-C50-C47-C48-C49)*0.25</f>
        <v>744146.62636468606</v>
      </c>
      <c r="D51" s="70">
        <f t="shared" ref="D51:L51" si="10">(D44-D50-D47-D48-D49)*0.25</f>
        <v>885057.16643496719</v>
      </c>
      <c r="E51" s="70">
        <f t="shared" si="10"/>
        <v>1039904.1428716129</v>
      </c>
      <c r="F51" s="70">
        <f t="shared" si="10"/>
        <v>1215154.149200904</v>
      </c>
      <c r="G51" s="70">
        <f t="shared" si="10"/>
        <v>1405853.8901755728</v>
      </c>
      <c r="H51" s="70">
        <f t="shared" si="10"/>
        <v>1681887.9488305631</v>
      </c>
      <c r="I51" s="70">
        <f t="shared" si="10"/>
        <v>1920851.4300299156</v>
      </c>
      <c r="J51" s="70">
        <f t="shared" si="10"/>
        <v>2186526.2080850252</v>
      </c>
      <c r="K51" s="70">
        <f t="shared" si="10"/>
        <v>2478378.0987555482</v>
      </c>
      <c r="L51" s="70">
        <f t="shared" si="10"/>
        <v>2780254.7102378537</v>
      </c>
    </row>
    <row r="52" spans="1:12" x14ac:dyDescent="0.2">
      <c r="B52" s="70"/>
      <c r="C52" s="70"/>
      <c r="D52" s="70"/>
      <c r="E52" s="70"/>
      <c r="F52" s="70"/>
      <c r="G52" s="70"/>
    </row>
    <row r="53" spans="1:12" x14ac:dyDescent="0.2">
      <c r="A53" s="36" t="s">
        <v>113</v>
      </c>
      <c r="B53" s="74">
        <f>SUM(C53:L53)</f>
        <v>49014043.112959944</v>
      </c>
      <c r="C53" s="71">
        <f t="shared" ref="C53:L53" si="11">+C44-C46</f>
        <v>2232439.8790940577</v>
      </c>
      <c r="D53" s="71">
        <f t="shared" si="11"/>
        <v>2655171.4993049018</v>
      </c>
      <c r="E53" s="71">
        <f t="shared" si="11"/>
        <v>3119712.4286148385</v>
      </c>
      <c r="F53" s="71">
        <f t="shared" si="11"/>
        <v>3645462.4476027107</v>
      </c>
      <c r="G53" s="71">
        <f t="shared" si="11"/>
        <v>4217561.6705267187</v>
      </c>
      <c r="H53" s="71">
        <f t="shared" si="11"/>
        <v>5045663.8464916898</v>
      </c>
      <c r="I53" s="71">
        <f t="shared" si="11"/>
        <v>5762554.290089746</v>
      </c>
      <c r="J53" s="71">
        <f t="shared" si="11"/>
        <v>6559578.6242550761</v>
      </c>
      <c r="K53" s="71">
        <f t="shared" si="11"/>
        <v>7435134.2962666452</v>
      </c>
      <c r="L53" s="71">
        <f t="shared" si="11"/>
        <v>8340764.1307135597</v>
      </c>
    </row>
    <row r="55" spans="1:12" x14ac:dyDescent="0.2">
      <c r="A55" s="36" t="s">
        <v>555</v>
      </c>
      <c r="C55" s="76" t="s">
        <v>183</v>
      </c>
      <c r="D55" s="76" t="s">
        <v>183</v>
      </c>
      <c r="E55" s="76" t="s">
        <v>183</v>
      </c>
      <c r="F55" s="76" t="s">
        <v>183</v>
      </c>
      <c r="G55" s="76" t="s">
        <v>189</v>
      </c>
      <c r="H55" s="76" t="s">
        <v>189</v>
      </c>
      <c r="I55" s="76" t="s">
        <v>183</v>
      </c>
      <c r="J55" s="76" t="s">
        <v>183</v>
      </c>
      <c r="K55" s="76" t="s">
        <v>183</v>
      </c>
      <c r="L55" s="76" t="s">
        <v>183</v>
      </c>
    </row>
    <row r="56" spans="1:12" x14ac:dyDescent="0.2">
      <c r="A56" s="32" t="s">
        <v>216</v>
      </c>
      <c r="C56" s="76">
        <f t="shared" ref="C56:F56" si="12">C16+C24</f>
        <v>756142.84</v>
      </c>
      <c r="D56" s="76">
        <f t="shared" si="12"/>
        <v>779457.12551111111</v>
      </c>
      <c r="E56" s="76">
        <f t="shared" si="12"/>
        <v>806536.07392711111</v>
      </c>
      <c r="F56" s="76">
        <f t="shared" si="12"/>
        <v>838485.09117895109</v>
      </c>
      <c r="G56" s="76">
        <f>G16+G24</f>
        <v>876963.25223442214</v>
      </c>
      <c r="H56" s="76">
        <f t="shared" ref="H56:L56" si="13">H16+H24</f>
        <v>888376.10234545136</v>
      </c>
      <c r="I56" s="76">
        <f t="shared" si="13"/>
        <v>948809.04908978939</v>
      </c>
      <c r="J56" s="76">
        <f t="shared" si="13"/>
        <v>1033139.4435939381</v>
      </c>
      <c r="K56" s="76">
        <f t="shared" si="13"/>
        <v>1165521.72404953</v>
      </c>
      <c r="L56" s="76">
        <f t="shared" si="13"/>
        <v>1442596.746657731</v>
      </c>
    </row>
    <row r="57" spans="1:12" x14ac:dyDescent="0.2">
      <c r="A57" s="32" t="s">
        <v>554</v>
      </c>
      <c r="C57" s="76">
        <f>+C39</f>
        <v>257500</v>
      </c>
      <c r="D57" s="76">
        <f t="shared" ref="D57:L57" si="14">+D39</f>
        <v>257500</v>
      </c>
      <c r="E57" s="76">
        <f t="shared" si="14"/>
        <v>257500</v>
      </c>
      <c r="F57" s="76">
        <f t="shared" si="14"/>
        <v>257500</v>
      </c>
      <c r="G57" s="76">
        <f t="shared" si="14"/>
        <v>257500</v>
      </c>
      <c r="H57" s="76">
        <f t="shared" si="14"/>
        <v>0</v>
      </c>
      <c r="I57" s="76">
        <f t="shared" si="14"/>
        <v>0</v>
      </c>
      <c r="J57" s="76">
        <f t="shared" si="14"/>
        <v>0</v>
      </c>
      <c r="K57" s="76">
        <f t="shared" si="14"/>
        <v>0</v>
      </c>
      <c r="L57" s="76">
        <f t="shared" si="14"/>
        <v>0</v>
      </c>
    </row>
    <row r="58" spans="1:12" x14ac:dyDescent="0.2">
      <c r="C58" s="74">
        <f t="shared" ref="C58:L58" si="15">SUM(C56:C57)</f>
        <v>1013642.84</v>
      </c>
      <c r="D58" s="74">
        <f t="shared" si="15"/>
        <v>1036957.1255111111</v>
      </c>
      <c r="E58" s="74">
        <f t="shared" si="15"/>
        <v>1064036.073927111</v>
      </c>
      <c r="F58" s="74">
        <f t="shared" si="15"/>
        <v>1095985.0911789511</v>
      </c>
      <c r="G58" s="74">
        <f t="shared" si="15"/>
        <v>1134463.2522344221</v>
      </c>
      <c r="H58" s="74">
        <f t="shared" si="15"/>
        <v>888376.10234545136</v>
      </c>
      <c r="I58" s="74">
        <f t="shared" si="15"/>
        <v>948809.04908978939</v>
      </c>
      <c r="J58" s="74">
        <f t="shared" si="15"/>
        <v>1033139.4435939381</v>
      </c>
      <c r="K58" s="74">
        <f t="shared" si="15"/>
        <v>1165521.72404953</v>
      </c>
      <c r="L58" s="74">
        <f t="shared" si="15"/>
        <v>1442596.746657731</v>
      </c>
    </row>
    <row r="59" spans="1:12" x14ac:dyDescent="0.2">
      <c r="A59" s="36" t="s">
        <v>556</v>
      </c>
    </row>
  </sheetData>
  <phoneticPr fontId="3" type="noConversion"/>
  <printOptions horizontalCentered="1" verticalCentered="1"/>
  <pageMargins left="0.54" right="0" top="0" bottom="0" header="0" footer="0"/>
  <pageSetup paperSize="9" scale="86" orientation="landscape" horizontalDpi="355" verticalDpi="464" r:id="rId1"/>
  <headerFooter alignWithMargins="0"/>
  <colBreaks count="1" manualBreakCount="1">
    <brk id="9" max="1048575" man="1"/>
  </colBreaks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M42"/>
  <sheetViews>
    <sheetView zoomScaleNormal="100" workbookViewId="0">
      <pane xSplit="2" ySplit="5" topLeftCell="C6" activePane="bottomRight" state="frozen"/>
      <selection pane="topRight" activeCell="C1" sqref="C1"/>
      <selection pane="bottomLeft" activeCell="A5" sqref="A5"/>
      <selection pane="bottomRight" activeCell="I45" sqref="I45"/>
    </sheetView>
  </sheetViews>
  <sheetFormatPr baseColWidth="10" defaultColWidth="11.42578125" defaultRowHeight="12.75" x14ac:dyDescent="0.2"/>
  <cols>
    <col min="1" max="1" width="32.5703125" style="32" customWidth="1"/>
    <col min="2" max="2" width="8" style="32" customWidth="1"/>
    <col min="3" max="13" width="11.7109375" style="32" customWidth="1"/>
    <col min="14" max="16384" width="11.42578125" style="32"/>
  </cols>
  <sheetData>
    <row r="2" spans="1:13" ht="15.75" x14ac:dyDescent="0.25">
      <c r="A2" s="31" t="s">
        <v>140</v>
      </c>
    </row>
    <row r="3" spans="1:13" ht="16.5" x14ac:dyDescent="0.3">
      <c r="A3" s="33" t="s">
        <v>99</v>
      </c>
    </row>
    <row r="5" spans="1:13" x14ac:dyDescent="0.2">
      <c r="C5" s="45" t="s">
        <v>122</v>
      </c>
      <c r="D5" s="45" t="s">
        <v>0</v>
      </c>
      <c r="E5" s="45" t="s">
        <v>1</v>
      </c>
      <c r="F5" s="45" t="s">
        <v>2</v>
      </c>
      <c r="G5" s="45" t="s">
        <v>3</v>
      </c>
      <c r="H5" s="45" t="s">
        <v>4</v>
      </c>
      <c r="I5" s="45" t="s">
        <v>5</v>
      </c>
      <c r="J5" s="45" t="s">
        <v>6</v>
      </c>
      <c r="K5" s="45" t="s">
        <v>7</v>
      </c>
      <c r="L5" s="45" t="s">
        <v>8</v>
      </c>
      <c r="M5" s="45" t="s">
        <v>9</v>
      </c>
    </row>
    <row r="7" spans="1:13" x14ac:dyDescent="0.2">
      <c r="A7" s="72" t="s">
        <v>105</v>
      </c>
      <c r="B7" s="75"/>
      <c r="C7" s="75"/>
    </row>
    <row r="8" spans="1:13" x14ac:dyDescent="0.2">
      <c r="A8" s="69" t="s">
        <v>637</v>
      </c>
      <c r="B8" s="76" t="s">
        <v>183</v>
      </c>
      <c r="C8" s="70">
        <v>0</v>
      </c>
      <c r="D8" s="70">
        <f>+Ing.!E193</f>
        <v>7125973.017814287</v>
      </c>
      <c r="E8" s="70">
        <f>+Ing.!F193</f>
        <v>7957189.4755872851</v>
      </c>
      <c r="F8" s="70">
        <f>+Ing.!G193</f>
        <v>8834978.6734200958</v>
      </c>
      <c r="G8" s="70">
        <f>+Ing.!H193</f>
        <v>9797985.633533204</v>
      </c>
      <c r="H8" s="70">
        <f>+Ing.!I193</f>
        <v>10866327.104697576</v>
      </c>
      <c r="I8" s="70">
        <f>+Ing.!J193</f>
        <v>12052486.600137267</v>
      </c>
      <c r="J8" s="70">
        <f>+Ing.!K193</f>
        <v>13369623.278087541</v>
      </c>
      <c r="K8" s="70">
        <f>+Ing.!L193</f>
        <v>14832314.898030728</v>
      </c>
      <c r="L8" s="70">
        <f>+Ing.!M193</f>
        <v>16456765.493100611</v>
      </c>
      <c r="M8" s="70">
        <f>+Ing.!N193</f>
        <v>18260991.335239735</v>
      </c>
    </row>
    <row r="9" spans="1:13" x14ac:dyDescent="0.2">
      <c r="A9" s="32" t="s">
        <v>56</v>
      </c>
      <c r="B9" s="32" t="s">
        <v>183</v>
      </c>
      <c r="C9" s="70">
        <v>0</v>
      </c>
      <c r="D9" s="70">
        <v>0</v>
      </c>
      <c r="E9" s="70">
        <v>0</v>
      </c>
      <c r="F9" s="70">
        <v>0</v>
      </c>
      <c r="G9" s="70">
        <v>0</v>
      </c>
      <c r="H9" s="70">
        <v>0</v>
      </c>
      <c r="I9" s="70">
        <v>0</v>
      </c>
      <c r="J9" s="70">
        <v>0</v>
      </c>
      <c r="K9" s="70">
        <v>0</v>
      </c>
      <c r="L9" s="70">
        <v>0</v>
      </c>
      <c r="M9" s="70">
        <v>0</v>
      </c>
    </row>
    <row r="10" spans="1:13" x14ac:dyDescent="0.2">
      <c r="A10" s="217" t="s">
        <v>605</v>
      </c>
      <c r="C10" s="71">
        <f>SUM(C8:C9)</f>
        <v>0</v>
      </c>
      <c r="D10" s="71">
        <f>SUM(D8:D9)</f>
        <v>7125973.017814287</v>
      </c>
      <c r="E10" s="71">
        <f t="shared" ref="E10:M10" si="0">SUM(E8:E9)</f>
        <v>7957189.4755872851</v>
      </c>
      <c r="F10" s="71">
        <f t="shared" si="0"/>
        <v>8834978.6734200958</v>
      </c>
      <c r="G10" s="71">
        <f t="shared" si="0"/>
        <v>9797985.633533204</v>
      </c>
      <c r="H10" s="71">
        <f t="shared" si="0"/>
        <v>10866327.104697576</v>
      </c>
      <c r="I10" s="71">
        <f t="shared" si="0"/>
        <v>12052486.600137267</v>
      </c>
      <c r="J10" s="71">
        <f t="shared" si="0"/>
        <v>13369623.278087541</v>
      </c>
      <c r="K10" s="71">
        <f t="shared" si="0"/>
        <v>14832314.898030728</v>
      </c>
      <c r="L10" s="71">
        <f t="shared" si="0"/>
        <v>16456765.493100611</v>
      </c>
      <c r="M10" s="71">
        <f t="shared" si="0"/>
        <v>18260991.335239735</v>
      </c>
    </row>
    <row r="11" spans="1:13" x14ac:dyDescent="0.2">
      <c r="C11" s="70"/>
      <c r="D11" s="70"/>
      <c r="E11" s="70"/>
      <c r="F11" s="70"/>
      <c r="G11" s="70"/>
      <c r="H11" s="70"/>
    </row>
    <row r="12" spans="1:13" x14ac:dyDescent="0.2">
      <c r="A12" s="72" t="s">
        <v>117</v>
      </c>
      <c r="B12" s="75"/>
      <c r="C12" s="70"/>
      <c r="D12" s="70"/>
      <c r="E12" s="70"/>
      <c r="F12" s="70"/>
      <c r="G12" s="70"/>
      <c r="H12" s="70"/>
    </row>
    <row r="13" spans="1:13" x14ac:dyDescent="0.2">
      <c r="A13" s="32" t="str">
        <f>+PyG!A10</f>
        <v>Estaciones MDMQ</v>
      </c>
      <c r="C13" s="70">
        <v>0</v>
      </c>
      <c r="D13" s="70">
        <f>+PyG!C10-PyG!C16</f>
        <v>2160514</v>
      </c>
      <c r="E13" s="70">
        <f>+PyG!D10-PyG!D16</f>
        <v>2246934.56</v>
      </c>
      <c r="F13" s="70">
        <f>+PyG!E10-PyG!E16</f>
        <v>2336811.9424000001</v>
      </c>
      <c r="G13" s="70">
        <f>+PyG!F10-PyG!F16</f>
        <v>2430284.4200959997</v>
      </c>
      <c r="H13" s="70">
        <f>+PyG!G10-PyG!G16</f>
        <v>2527495.7968998402</v>
      </c>
      <c r="I13" s="70">
        <f>+PyG!H10-PyG!H16</f>
        <v>2628595.6287758336</v>
      </c>
      <c r="J13" s="70">
        <f>+PyG!I10-PyG!I16</f>
        <v>2733739.4539268673</v>
      </c>
      <c r="K13" s="70">
        <f>+PyG!J10-PyG!J16</f>
        <v>2843089.0320839416</v>
      </c>
      <c r="L13" s="70">
        <f>+PyG!K10-PyG!K16</f>
        <v>2956812.5933673</v>
      </c>
      <c r="M13" s="70">
        <f>+PyG!L10-PyG!L16</f>
        <v>3075085.097101992</v>
      </c>
    </row>
    <row r="14" spans="1:13" x14ac:dyDescent="0.2">
      <c r="A14" s="32" t="str">
        <f>PyG!A18</f>
        <v>Central:</v>
      </c>
      <c r="C14" s="73">
        <v>0</v>
      </c>
      <c r="D14" s="73">
        <f>PyG!C18-PyG!C24</f>
        <v>418740</v>
      </c>
      <c r="E14" s="73">
        <f>PyG!D18-PyG!D24</f>
        <v>435489.6</v>
      </c>
      <c r="F14" s="73">
        <f>PyG!E18-PyG!E24</f>
        <v>433440.38400000002</v>
      </c>
      <c r="G14" s="73">
        <f>PyG!F18-PyG!F24</f>
        <v>450777.99935999996</v>
      </c>
      <c r="H14" s="73">
        <f>PyG!G18-PyG!G24</f>
        <v>468809.11933439999</v>
      </c>
      <c r="I14" s="73">
        <f>PyG!H18-PyG!H24</f>
        <v>487561.48410777596</v>
      </c>
      <c r="J14" s="73">
        <f>PyG!I18-PyG!I24</f>
        <v>507063.94347208692</v>
      </c>
      <c r="K14" s="73">
        <f>PyG!J18-PyG!J24</f>
        <v>527346.50121097045</v>
      </c>
      <c r="L14" s="73">
        <f>PyG!K18-PyG!K24</f>
        <v>548440.36125940934</v>
      </c>
      <c r="M14" s="73">
        <f>PyG!L18-PyG!L24</f>
        <v>570377.97570978559</v>
      </c>
    </row>
    <row r="15" spans="1:13" x14ac:dyDescent="0.2">
      <c r="A15" s="32" t="s">
        <v>224</v>
      </c>
      <c r="C15" s="73">
        <f>+PyG!B26</f>
        <v>0</v>
      </c>
      <c r="D15" s="73">
        <f>+PyG!C26</f>
        <v>0</v>
      </c>
      <c r="E15" s="73">
        <f>+PyG!D26</f>
        <v>0</v>
      </c>
      <c r="F15" s="73">
        <f>+PyG!E26</f>
        <v>0</v>
      </c>
      <c r="G15" s="73">
        <f>+PyG!F26</f>
        <v>0</v>
      </c>
      <c r="H15" s="73">
        <f>+PyG!G26</f>
        <v>0</v>
      </c>
      <c r="I15" s="73">
        <f>+PyG!H26</f>
        <v>0</v>
      </c>
      <c r="J15" s="73">
        <f>+PyG!I26</f>
        <v>0</v>
      </c>
      <c r="K15" s="73">
        <f>+PyG!J26</f>
        <v>0</v>
      </c>
      <c r="L15" s="73">
        <f>+PyG!K26</f>
        <v>0</v>
      </c>
      <c r="M15" s="73">
        <f>+PyG!L26</f>
        <v>0</v>
      </c>
    </row>
    <row r="16" spans="1:13" x14ac:dyDescent="0.2">
      <c r="A16" s="32" t="s">
        <v>630</v>
      </c>
      <c r="C16" s="73">
        <f>+PyG!B32</f>
        <v>0</v>
      </c>
      <c r="D16" s="73">
        <f>+PyG!C32</f>
        <v>0</v>
      </c>
      <c r="E16" s="73">
        <f>+PyG!D32</f>
        <v>0</v>
      </c>
      <c r="F16" s="73">
        <f>+PyG!E32</f>
        <v>0</v>
      </c>
      <c r="G16" s="73">
        <f>+PyG!F32</f>
        <v>0</v>
      </c>
      <c r="H16" s="73">
        <f>+PyG!G32</f>
        <v>0</v>
      </c>
      <c r="I16" s="73">
        <f>+PyG!H32</f>
        <v>0</v>
      </c>
      <c r="J16" s="73">
        <f>+PyG!I32</f>
        <v>0</v>
      </c>
      <c r="K16" s="73">
        <f>+PyG!J32</f>
        <v>0</v>
      </c>
      <c r="L16" s="73">
        <f>+PyG!K32</f>
        <v>0</v>
      </c>
      <c r="M16" s="73">
        <f>+PyG!L32</f>
        <v>0</v>
      </c>
    </row>
    <row r="17" spans="1:13" x14ac:dyDescent="0.2">
      <c r="A17" s="32" t="s">
        <v>659</v>
      </c>
      <c r="C17" s="73">
        <f>+PyG!B38</f>
        <v>0</v>
      </c>
      <c r="D17" s="73">
        <f>+PyG!C38</f>
        <v>0</v>
      </c>
      <c r="E17" s="73">
        <f>+PyG!D38</f>
        <v>0</v>
      </c>
      <c r="F17" s="73">
        <f>+PyG!E38</f>
        <v>0</v>
      </c>
      <c r="G17" s="73">
        <f>+PyG!F38</f>
        <v>0</v>
      </c>
      <c r="H17" s="73">
        <f>+PyG!G38</f>
        <v>0</v>
      </c>
      <c r="I17" s="73">
        <f>+PyG!H38</f>
        <v>0</v>
      </c>
      <c r="J17" s="73">
        <f>+PyG!I38</f>
        <v>0</v>
      </c>
      <c r="K17" s="73">
        <f>+PyG!J38</f>
        <v>0</v>
      </c>
      <c r="L17" s="73">
        <f>+PyG!K38</f>
        <v>0</v>
      </c>
      <c r="M17" s="73">
        <f>+PyG!L38</f>
        <v>0</v>
      </c>
    </row>
    <row r="18" spans="1:13" x14ac:dyDescent="0.2">
      <c r="A18" s="217" t="s">
        <v>606</v>
      </c>
      <c r="B18" s="76" t="s">
        <v>183</v>
      </c>
      <c r="C18" s="71">
        <f>SUM(C13:C13)</f>
        <v>0</v>
      </c>
      <c r="D18" s="71">
        <f>SUM(D13:D17)*2</f>
        <v>5158508</v>
      </c>
      <c r="E18" s="71">
        <f t="shared" ref="E18:M18" si="1">SUM(E13:E17)*2</f>
        <v>5364848.32</v>
      </c>
      <c r="F18" s="71">
        <f t="shared" si="1"/>
        <v>5540504.6528000003</v>
      </c>
      <c r="G18" s="71">
        <f t="shared" si="1"/>
        <v>5762124.838911999</v>
      </c>
      <c r="H18" s="71">
        <f t="shared" si="1"/>
        <v>5992609.8324684808</v>
      </c>
      <c r="I18" s="71">
        <f t="shared" si="1"/>
        <v>6232314.2257672194</v>
      </c>
      <c r="J18" s="71">
        <f t="shared" si="1"/>
        <v>6481606.7947979085</v>
      </c>
      <c r="K18" s="71">
        <f t="shared" si="1"/>
        <v>6740871.0665898239</v>
      </c>
      <c r="L18" s="71">
        <f t="shared" si="1"/>
        <v>7010505.9092534184</v>
      </c>
      <c r="M18" s="71">
        <f t="shared" si="1"/>
        <v>7290926.1456235554</v>
      </c>
    </row>
    <row r="19" spans="1:13" x14ac:dyDescent="0.2">
      <c r="B19" s="76" t="s">
        <v>183</v>
      </c>
      <c r="C19" s="70"/>
      <c r="D19" s="70"/>
      <c r="E19" s="70"/>
      <c r="F19" s="70"/>
      <c r="G19" s="70"/>
      <c r="H19" s="70"/>
    </row>
    <row r="20" spans="1:13" x14ac:dyDescent="0.2">
      <c r="A20" s="36" t="s">
        <v>104</v>
      </c>
      <c r="B20" s="40" t="s">
        <v>183</v>
      </c>
      <c r="C20" s="71">
        <f t="shared" ref="C20:M20" si="2">C10-C18</f>
        <v>0</v>
      </c>
      <c r="D20" s="71">
        <f>D10-D18</f>
        <v>1967465.017814287</v>
      </c>
      <c r="E20" s="71">
        <f t="shared" si="2"/>
        <v>2592341.1555872848</v>
      </c>
      <c r="F20" s="71">
        <f t="shared" si="2"/>
        <v>3294474.0206200955</v>
      </c>
      <c r="G20" s="71">
        <f t="shared" si="2"/>
        <v>4035860.794621205</v>
      </c>
      <c r="H20" s="71">
        <f t="shared" si="2"/>
        <v>4873717.272229095</v>
      </c>
      <c r="I20" s="71">
        <f t="shared" si="2"/>
        <v>5820172.3743700478</v>
      </c>
      <c r="J20" s="71">
        <f t="shared" si="2"/>
        <v>6888016.4832896329</v>
      </c>
      <c r="K20" s="71">
        <f t="shared" si="2"/>
        <v>8091443.8314409042</v>
      </c>
      <c r="L20" s="71">
        <f t="shared" si="2"/>
        <v>9446259.583847193</v>
      </c>
      <c r="M20" s="71">
        <f t="shared" si="2"/>
        <v>10970065.189616179</v>
      </c>
    </row>
    <row r="21" spans="1:13" x14ac:dyDescent="0.2">
      <c r="C21" s="70"/>
      <c r="D21" s="70"/>
      <c r="E21" s="70"/>
      <c r="F21" s="70"/>
      <c r="G21" s="70"/>
      <c r="H21" s="70"/>
    </row>
    <row r="22" spans="1:13" x14ac:dyDescent="0.2">
      <c r="A22" s="36" t="s">
        <v>106</v>
      </c>
      <c r="C22" s="70"/>
      <c r="D22" s="70"/>
      <c r="E22" s="70"/>
      <c r="F22" s="70"/>
      <c r="G22" s="70"/>
      <c r="H22" s="70"/>
      <c r="I22" s="70"/>
      <c r="J22" s="70"/>
    </row>
    <row r="23" spans="1:13" x14ac:dyDescent="0.2">
      <c r="A23" s="32" t="s">
        <v>420</v>
      </c>
      <c r="C23" s="70">
        <f>+'Plan Inversiones'!F73</f>
        <v>10954942.370000001</v>
      </c>
      <c r="D23" s="70">
        <v>0</v>
      </c>
      <c r="E23" s="70">
        <v>0</v>
      </c>
      <c r="F23" s="70">
        <v>0</v>
      </c>
      <c r="G23" s="70">
        <v>0</v>
      </c>
      <c r="H23" s="70">
        <v>0</v>
      </c>
      <c r="I23" s="70">
        <v>0</v>
      </c>
      <c r="J23" s="70">
        <v>0</v>
      </c>
      <c r="K23" s="70">
        <v>0</v>
      </c>
      <c r="L23" s="70">
        <v>0</v>
      </c>
      <c r="M23" s="70">
        <v>0</v>
      </c>
    </row>
    <row r="24" spans="1:13" x14ac:dyDescent="0.2">
      <c r="A24" s="32" t="s">
        <v>507</v>
      </c>
      <c r="C24" s="70">
        <v>0</v>
      </c>
      <c r="D24" s="70">
        <f>+IF(Condiciones!$B$9="SI",'IVA+Itransacc'!C20,0)</f>
        <v>0</v>
      </c>
      <c r="E24" s="70">
        <f>+IF(Condiciones!$B$9="SI",'IVA+Itransacc'!D20,0)</f>
        <v>46378.79601698264</v>
      </c>
      <c r="F24" s="70">
        <f>+IF(Condiciones!$B$9="SI",'IVA+Itransacc'!E20,0)</f>
        <v>118425.34450684936</v>
      </c>
      <c r="G24" s="70">
        <f>+IF(Condiciones!$B$9="SI",'IVA+Itransacc'!F20,0)</f>
        <v>132303.59079686212</v>
      </c>
      <c r="H24" s="70">
        <f>+IF(Condiciones!$B$9="SI",'IVA+Itransacc'!G20,0)</f>
        <v>147336.21188858847</v>
      </c>
      <c r="I24" s="70">
        <f>+IF(Condiciones!$B$9="SI",'IVA+Itransacc'!H20,0)</f>
        <v>164051.35268615774</v>
      </c>
      <c r="J24" s="70">
        <f>+IF(Condiciones!$B$9="SI",'IVA+Itransacc'!I20,0)</f>
        <v>182637.9426744089</v>
      </c>
      <c r="K24" s="70">
        <f>+IF(Condiciones!$B$9="SI",'IVA+Itransacc'!J20,0)</f>
        <v>203305.31670038874</v>
      </c>
      <c r="L24" s="70">
        <f>+IF(Condiciones!$B$9="SI",'IVA+Itransacc'!K20,0)</f>
        <v>226286.20455614489</v>
      </c>
      <c r="M24" s="70">
        <f>+IF(Condiciones!$B$9="SI",'IVA+Itransacc'!L20,0)</f>
        <v>251839.40794116815</v>
      </c>
    </row>
    <row r="25" spans="1:13" x14ac:dyDescent="0.2">
      <c r="A25" s="34" t="s">
        <v>615</v>
      </c>
      <c r="C25" s="71">
        <f>SUM(C23:C24)</f>
        <v>10954942.370000001</v>
      </c>
      <c r="D25" s="71">
        <f>SUM(D23:D24)</f>
        <v>0</v>
      </c>
      <c r="E25" s="71">
        <f>SUM(E23:E24)</f>
        <v>46378.79601698264</v>
      </c>
      <c r="F25" s="71">
        <f t="shared" ref="F25:M25" si="3">SUM(F23:F24)</f>
        <v>118425.34450684936</v>
      </c>
      <c r="G25" s="71">
        <f t="shared" si="3"/>
        <v>132303.59079686212</v>
      </c>
      <c r="H25" s="71">
        <f t="shared" si="3"/>
        <v>147336.21188858847</v>
      </c>
      <c r="I25" s="71">
        <f t="shared" si="3"/>
        <v>164051.35268615774</v>
      </c>
      <c r="J25" s="71">
        <f t="shared" si="3"/>
        <v>182637.9426744089</v>
      </c>
      <c r="K25" s="71">
        <f t="shared" si="3"/>
        <v>203305.31670038874</v>
      </c>
      <c r="L25" s="71">
        <f t="shared" si="3"/>
        <v>226286.20455614489</v>
      </c>
      <c r="M25" s="71">
        <f t="shared" si="3"/>
        <v>251839.40794116815</v>
      </c>
    </row>
    <row r="26" spans="1:13" x14ac:dyDescent="0.2">
      <c r="C26" s="70"/>
      <c r="D26" s="70"/>
      <c r="E26" s="70"/>
      <c r="F26" s="70"/>
      <c r="G26" s="70"/>
      <c r="H26" s="70"/>
      <c r="I26" s="70"/>
      <c r="J26" s="70"/>
    </row>
    <row r="27" spans="1:13" x14ac:dyDescent="0.2">
      <c r="A27" s="36" t="s">
        <v>107</v>
      </c>
      <c r="C27" s="70"/>
      <c r="D27" s="70"/>
      <c r="E27" s="70" t="s">
        <v>183</v>
      </c>
      <c r="F27" s="70"/>
      <c r="G27" s="70"/>
      <c r="H27" s="70"/>
      <c r="I27" s="70"/>
      <c r="J27" s="70"/>
      <c r="K27" s="70"/>
    </row>
    <row r="28" spans="1:13" x14ac:dyDescent="0.2">
      <c r="A28" s="32" t="s">
        <v>100</v>
      </c>
      <c r="C28" s="70">
        <f>'Plan Inversiones'!F73-'Plan Inversiones'!F71</f>
        <v>10954942.370000001</v>
      </c>
      <c r="D28" s="70"/>
      <c r="E28" s="70">
        <v>0</v>
      </c>
      <c r="F28" s="70">
        <v>0</v>
      </c>
      <c r="G28" s="70">
        <v>0</v>
      </c>
      <c r="H28" s="70">
        <v>0</v>
      </c>
      <c r="I28" s="70">
        <v>0</v>
      </c>
      <c r="J28" s="70">
        <v>0</v>
      </c>
      <c r="K28" s="70">
        <v>0</v>
      </c>
      <c r="L28" s="70">
        <v>0</v>
      </c>
      <c r="M28" s="70">
        <v>0</v>
      </c>
    </row>
    <row r="29" spans="1:13" x14ac:dyDescent="0.2">
      <c r="A29" s="32" t="s">
        <v>421</v>
      </c>
      <c r="C29" s="70"/>
      <c r="D29" s="70">
        <f>+IF(Condiciones!$B$7="SI",Amort.!C164,Amort.!C165)</f>
        <v>0</v>
      </c>
      <c r="E29" s="70">
        <f>+IF(Condiciones!$B$7="SI",Amort.!D164,Amort.!D165)</f>
        <v>35691.012502002799</v>
      </c>
      <c r="F29" s="70">
        <f>+IF(Condiciones!$B$7="SI",Amort.!E164,Amort.!E165)</f>
        <v>81272.958709514001</v>
      </c>
      <c r="G29" s="70">
        <f>+IF(Condiciones!$B$7="SI",Amort.!F164,Amort.!F165)</f>
        <v>127423.10789079909</v>
      </c>
      <c r="H29" s="70">
        <f>+IF(Condiciones!$B$7="SI",Amort.!G164,Amort.!G165)</f>
        <v>180578.28127555907</v>
      </c>
      <c r="I29" s="70">
        <f>+IF(Condiciones!$B$7="SI",Amort.!H164,Amort.!H165)</f>
        <v>243478.11064097195</v>
      </c>
      <c r="J29" s="70">
        <f>+IF(Condiciones!$B$7="SI",Amort.!I164,Amort.!I165)</f>
        <v>320919.88531729078</v>
      </c>
      <c r="K29" s="70">
        <f>+IF(Condiciones!$B$7="SI",Amort.!J164,Amort.!J165)</f>
        <v>422502.58516112779</v>
      </c>
      <c r="L29" s="281">
        <f>+IF(Condiciones!$B$7="SI",Amort.!K164,Amort.!K165)</f>
        <v>572230.95355002722</v>
      </c>
      <c r="M29" s="281">
        <f>+IF(Condiciones!$B$7="SI",Amort.!L164,Amort.!L165)</f>
        <v>1162947.6916227289</v>
      </c>
    </row>
    <row r="30" spans="1:13" x14ac:dyDescent="0.2">
      <c r="A30" s="32" t="s">
        <v>205</v>
      </c>
      <c r="C30" s="70"/>
      <c r="D30" s="70">
        <f>+PyG!C47</f>
        <v>12000</v>
      </c>
      <c r="E30" s="70">
        <f>+PyG!D47</f>
        <v>12480</v>
      </c>
      <c r="F30" s="70">
        <f>+PyG!E47</f>
        <v>12979.2</v>
      </c>
      <c r="G30" s="70">
        <f>+PyG!F47</f>
        <v>13498.368</v>
      </c>
      <c r="H30" s="70">
        <f>+PyG!G47</f>
        <v>14038.30272</v>
      </c>
      <c r="I30" s="70">
        <f>+PyG!H47</f>
        <v>14599.8348288</v>
      </c>
      <c r="J30" s="70">
        <f>+PyG!I47</f>
        <v>15183.828221952001</v>
      </c>
      <c r="K30" s="70">
        <f>+PyG!J47</f>
        <v>15791.18135083008</v>
      </c>
      <c r="L30" s="70">
        <f>+PyG!K47</f>
        <v>16422.828604863284</v>
      </c>
      <c r="M30" s="70">
        <f>+PyG!L47</f>
        <v>17079.741749057815</v>
      </c>
    </row>
    <row r="31" spans="1:13" x14ac:dyDescent="0.2">
      <c r="A31" s="32" t="s">
        <v>492</v>
      </c>
      <c r="D31" s="70">
        <f>+'Impuestos V.'!E19</f>
        <v>19209.700804</v>
      </c>
      <c r="E31" s="70">
        <f>+'Impuestos V.'!F19</f>
        <v>17541.041981617775</v>
      </c>
      <c r="F31" s="70">
        <f>+'Impuestos V.'!G19</f>
        <v>15817.484882493154</v>
      </c>
      <c r="G31" s="70">
        <f>+'Impuestos V.'!H19</f>
        <v>14025.851533948757</v>
      </c>
      <c r="H31" s="70">
        <f>+'Impuestos V.'!I19</f>
        <v>12148.190454978474</v>
      </c>
      <c r="I31" s="70">
        <f>+'Impuestos V.'!J19</f>
        <v>10264.01340478659</v>
      </c>
      <c r="J31" s="70">
        <f>+'Impuestos V.'!K19</f>
        <v>8232.2253549005218</v>
      </c>
      <c r="K31" s="70">
        <f>+'Impuestos V.'!L19</f>
        <v>5984.629488651397</v>
      </c>
      <c r="L31" s="70">
        <f>+'Impuestos V.'!M19</f>
        <v>3383.0253498879847</v>
      </c>
      <c r="M31" s="70">
        <f>+'Impuestos V.'!N19</f>
        <v>823.6612913522722</v>
      </c>
    </row>
    <row r="32" spans="1:13" x14ac:dyDescent="0.2">
      <c r="A32" s="32" t="s">
        <v>128</v>
      </c>
      <c r="C32" s="70">
        <v>0</v>
      </c>
      <c r="D32" s="70">
        <v>0</v>
      </c>
      <c r="E32" s="70">
        <f>+PyG!C50</f>
        <v>525279.9715515431</v>
      </c>
      <c r="F32" s="70">
        <f>+PyG!D50</f>
        <v>624746.23513056512</v>
      </c>
      <c r="G32" s="70">
        <f>+PyG!E50</f>
        <v>734049.98320349131</v>
      </c>
      <c r="H32" s="70">
        <f>+PyG!F50</f>
        <v>857755.87002416735</v>
      </c>
      <c r="I32" s="70">
        <f>+PyG!G50</f>
        <v>992367.4518886396</v>
      </c>
      <c r="J32" s="70">
        <f>+PyG!H50</f>
        <v>1187215.0227039268</v>
      </c>
      <c r="K32" s="70">
        <f>+PyG!I50</f>
        <v>1355895.1270799399</v>
      </c>
      <c r="L32" s="70">
        <f>+PyG!J50</f>
        <v>1543430.2645306061</v>
      </c>
      <c r="M32" s="70">
        <f>+PyG!K50</f>
        <v>1749443.3638274458</v>
      </c>
    </row>
    <row r="33" spans="1:13" x14ac:dyDescent="0.2">
      <c r="A33" s="32" t="s">
        <v>129</v>
      </c>
      <c r="C33" s="70">
        <v>0</v>
      </c>
      <c r="D33" s="70">
        <v>0</v>
      </c>
      <c r="E33" s="70">
        <f>+PyG!C51</f>
        <v>744146.62636468606</v>
      </c>
      <c r="F33" s="70">
        <f>+PyG!D51</f>
        <v>885057.16643496719</v>
      </c>
      <c r="G33" s="70">
        <f>+PyG!E51</f>
        <v>1039904.1428716129</v>
      </c>
      <c r="H33" s="70">
        <f>+PyG!F51</f>
        <v>1215154.149200904</v>
      </c>
      <c r="I33" s="70">
        <f>+PyG!G51</f>
        <v>1405853.8901755728</v>
      </c>
      <c r="J33" s="70">
        <f>+PyG!H51</f>
        <v>1681887.9488305631</v>
      </c>
      <c r="K33" s="70">
        <f>+PyG!I51</f>
        <v>1920851.4300299156</v>
      </c>
      <c r="L33" s="70">
        <f>+PyG!J51</f>
        <v>2186526.2080850252</v>
      </c>
      <c r="M33" s="70">
        <f>+PyG!K51</f>
        <v>2478378.0987555482</v>
      </c>
    </row>
    <row r="34" spans="1:13" x14ac:dyDescent="0.2">
      <c r="A34" s="34" t="s">
        <v>614</v>
      </c>
      <c r="C34" s="71">
        <f>SUM(C28:C33)</f>
        <v>10954942.370000001</v>
      </c>
      <c r="D34" s="71">
        <f>SUM(D28:D33)</f>
        <v>31209.700804</v>
      </c>
      <c r="E34" s="71">
        <f>SUM(E28:E33)</f>
        <v>1335138.6523998496</v>
      </c>
      <c r="F34" s="71">
        <f>SUM(F28:F33)</f>
        <v>1619873.0451575394</v>
      </c>
      <c r="G34" s="71">
        <f t="shared" ref="G34:M34" si="4">SUM(G28:G33)</f>
        <v>1928901.4534998522</v>
      </c>
      <c r="H34" s="71">
        <f t="shared" si="4"/>
        <v>2279674.7936756089</v>
      </c>
      <c r="I34" s="71">
        <f t="shared" si="4"/>
        <v>2666563.3009387711</v>
      </c>
      <c r="J34" s="71">
        <f t="shared" si="4"/>
        <v>3213438.910428633</v>
      </c>
      <c r="K34" s="71">
        <f t="shared" si="4"/>
        <v>3721024.9531104648</v>
      </c>
      <c r="L34" s="71">
        <f t="shared" si="4"/>
        <v>4321993.28012041</v>
      </c>
      <c r="M34" s="71">
        <f t="shared" si="4"/>
        <v>5408672.5572461337</v>
      </c>
    </row>
    <row r="35" spans="1:13" x14ac:dyDescent="0.2">
      <c r="C35" s="70"/>
      <c r="D35" s="70"/>
      <c r="E35" s="70"/>
      <c r="F35" s="70"/>
      <c r="G35" s="70"/>
      <c r="H35" s="70"/>
      <c r="I35" s="70"/>
      <c r="J35" s="70"/>
      <c r="K35" s="70"/>
    </row>
    <row r="36" spans="1:13" x14ac:dyDescent="0.2">
      <c r="A36" s="36" t="s">
        <v>108</v>
      </c>
      <c r="C36" s="70">
        <f>C25-C34</f>
        <v>0</v>
      </c>
      <c r="D36" s="39">
        <f>D25-D34</f>
        <v>-31209.700804</v>
      </c>
      <c r="E36" s="39">
        <f>E25-E34</f>
        <v>-1288759.8563828669</v>
      </c>
      <c r="F36" s="39">
        <f t="shared" ref="F36:M36" si="5">F25-F34</f>
        <v>-1501447.7006506901</v>
      </c>
      <c r="G36" s="39">
        <f t="shared" si="5"/>
        <v>-1796597.8627029902</v>
      </c>
      <c r="H36" s="39">
        <f t="shared" si="5"/>
        <v>-2132338.5817870204</v>
      </c>
      <c r="I36" s="39">
        <f t="shared" si="5"/>
        <v>-2502511.9482526132</v>
      </c>
      <c r="J36" s="39">
        <f t="shared" si="5"/>
        <v>-3030800.9677542243</v>
      </c>
      <c r="K36" s="39">
        <f t="shared" si="5"/>
        <v>-3517719.6364100762</v>
      </c>
      <c r="L36" s="39">
        <f t="shared" si="5"/>
        <v>-4095707.0755642653</v>
      </c>
      <c r="M36" s="39">
        <f t="shared" si="5"/>
        <v>-5156833.1493049655</v>
      </c>
    </row>
    <row r="37" spans="1:13" x14ac:dyDescent="0.2">
      <c r="C37" s="70"/>
      <c r="D37" s="70"/>
      <c r="E37" s="70"/>
      <c r="F37" s="70"/>
      <c r="G37" s="70"/>
      <c r="H37" s="70"/>
    </row>
    <row r="38" spans="1:13" x14ac:dyDescent="0.2">
      <c r="A38" s="36" t="s">
        <v>109</v>
      </c>
      <c r="C38" s="77">
        <f>C20+C36</f>
        <v>0</v>
      </c>
      <c r="D38" s="41">
        <f>D20+D36</f>
        <v>1936255.317010287</v>
      </c>
      <c r="E38" s="41">
        <f>E20+E36</f>
        <v>1303581.299204418</v>
      </c>
      <c r="F38" s="41">
        <f>F20+F36</f>
        <v>1793026.3199694054</v>
      </c>
      <c r="G38" s="41">
        <f t="shared" ref="G38:M38" si="6">G20+G36</f>
        <v>2239262.931918215</v>
      </c>
      <c r="H38" s="41">
        <f t="shared" si="6"/>
        <v>2741378.6904420746</v>
      </c>
      <c r="I38" s="41">
        <f t="shared" si="6"/>
        <v>3317660.4261174346</v>
      </c>
      <c r="J38" s="41">
        <f t="shared" si="6"/>
        <v>3857215.5155354086</v>
      </c>
      <c r="K38" s="41">
        <f t="shared" si="6"/>
        <v>4573724.195030828</v>
      </c>
      <c r="L38" s="41">
        <f t="shared" si="6"/>
        <v>5350552.5082829278</v>
      </c>
      <c r="M38" s="41">
        <f t="shared" si="6"/>
        <v>5813232.0403112136</v>
      </c>
    </row>
    <row r="39" spans="1:13" x14ac:dyDescent="0.2">
      <c r="C39" s="70"/>
      <c r="D39" s="70"/>
      <c r="E39" s="70"/>
      <c r="F39" s="70"/>
      <c r="G39" s="70"/>
      <c r="H39" s="70"/>
    </row>
    <row r="40" spans="1:13" x14ac:dyDescent="0.2">
      <c r="A40" s="36" t="s">
        <v>110</v>
      </c>
      <c r="C40" s="78">
        <v>0</v>
      </c>
      <c r="D40" s="70">
        <f>+C42</f>
        <v>0</v>
      </c>
      <c r="E40" s="70">
        <f t="shared" ref="E40:M40" si="7">D42</f>
        <v>1936255.317010287</v>
      </c>
      <c r="F40" s="70">
        <f t="shared" si="7"/>
        <v>3239836.6162147047</v>
      </c>
      <c r="G40" s="70">
        <f t="shared" si="7"/>
        <v>5032862.9361841101</v>
      </c>
      <c r="H40" s="70">
        <f t="shared" si="7"/>
        <v>7272125.8681023251</v>
      </c>
      <c r="I40" s="70">
        <f t="shared" si="7"/>
        <v>10013504.558544399</v>
      </c>
      <c r="J40" s="70">
        <f t="shared" si="7"/>
        <v>13331164.984661834</v>
      </c>
      <c r="K40" s="70">
        <f t="shared" si="7"/>
        <v>17188380.500197243</v>
      </c>
      <c r="L40" s="70">
        <f t="shared" si="7"/>
        <v>21762104.69522807</v>
      </c>
      <c r="M40" s="70">
        <f t="shared" si="7"/>
        <v>27112657.203511</v>
      </c>
    </row>
    <row r="41" spans="1:13" x14ac:dyDescent="0.2"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</row>
    <row r="42" spans="1:13" x14ac:dyDescent="0.2">
      <c r="A42" s="36" t="s">
        <v>111</v>
      </c>
      <c r="C42" s="71">
        <f t="shared" ref="C42:H42" si="8">C38+C40</f>
        <v>0</v>
      </c>
      <c r="D42" s="41">
        <f>D38+D40</f>
        <v>1936255.317010287</v>
      </c>
      <c r="E42" s="41">
        <f>E38+E40</f>
        <v>3239836.6162147047</v>
      </c>
      <c r="F42" s="41">
        <f t="shared" si="8"/>
        <v>5032862.9361841101</v>
      </c>
      <c r="G42" s="41">
        <f t="shared" si="8"/>
        <v>7272125.8681023251</v>
      </c>
      <c r="H42" s="41">
        <f t="shared" si="8"/>
        <v>10013504.558544399</v>
      </c>
      <c r="I42" s="41">
        <f>I38+I40</f>
        <v>13331164.984661834</v>
      </c>
      <c r="J42" s="41">
        <f>J38+J40</f>
        <v>17188380.500197243</v>
      </c>
      <c r="K42" s="41">
        <f>K38+K40</f>
        <v>21762104.69522807</v>
      </c>
      <c r="L42" s="41">
        <f>L38+L40</f>
        <v>27112657.203511</v>
      </c>
      <c r="M42" s="41">
        <f>M38+M40</f>
        <v>32925889.243822213</v>
      </c>
    </row>
  </sheetData>
  <phoneticPr fontId="3" type="noConversion"/>
  <printOptions horizontalCentered="1" verticalCentered="1"/>
  <pageMargins left="0.92870078740157491" right="0" top="0" bottom="0" header="0" footer="0"/>
  <pageSetup paperSize="9" scale="76" orientation="landscape" horizontalDpi="355" verticalDpi="464" r:id="rId1"/>
  <headerFooter alignWithMargins="0"/>
  <colBreaks count="1" manualBreakCount="1">
    <brk id="10" max="1048575" man="1"/>
  </col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R22"/>
  <sheetViews>
    <sheetView zoomScaleNormal="100" workbookViewId="0">
      <selection activeCell="C16" sqref="C16"/>
    </sheetView>
  </sheetViews>
  <sheetFormatPr baseColWidth="10" defaultColWidth="11.42578125" defaultRowHeight="12.75" x14ac:dyDescent="0.2"/>
  <cols>
    <col min="1" max="1" width="27.5703125" style="32" bestFit="1" customWidth="1"/>
    <col min="2" max="2" width="5" style="32" customWidth="1"/>
    <col min="3" max="3" width="9.85546875" style="32" bestFit="1" customWidth="1"/>
    <col min="4" max="12" width="8.42578125" style="32" bestFit="1" customWidth="1"/>
    <col min="13" max="13" width="9" style="32" bestFit="1" customWidth="1"/>
    <col min="14" max="16384" width="11.42578125" style="32"/>
  </cols>
  <sheetData>
    <row r="2" spans="1:18" x14ac:dyDescent="0.2">
      <c r="A2" s="43" t="s">
        <v>140</v>
      </c>
      <c r="B2" s="43"/>
    </row>
    <row r="3" spans="1:18" x14ac:dyDescent="0.2">
      <c r="A3" s="43" t="s">
        <v>115</v>
      </c>
      <c r="B3" s="43"/>
    </row>
    <row r="6" spans="1:18" x14ac:dyDescent="0.2">
      <c r="A6" s="72" t="s">
        <v>445</v>
      </c>
      <c r="B6" s="72"/>
      <c r="C6" s="79">
        <v>1</v>
      </c>
    </row>
    <row r="7" spans="1:18" x14ac:dyDescent="0.2">
      <c r="A7" s="72"/>
      <c r="B7" s="72"/>
      <c r="C7" s="79"/>
    </row>
    <row r="8" spans="1:18" s="254" customFormat="1" x14ac:dyDescent="0.2">
      <c r="A8" s="255"/>
      <c r="B8" s="255"/>
      <c r="C8" s="35" t="s">
        <v>122</v>
      </c>
      <c r="D8" s="35" t="s">
        <v>0</v>
      </c>
      <c r="E8" s="35" t="s">
        <v>1</v>
      </c>
      <c r="F8" s="35" t="s">
        <v>2</v>
      </c>
      <c r="G8" s="35" t="s">
        <v>3</v>
      </c>
      <c r="H8" s="35" t="s">
        <v>4</v>
      </c>
      <c r="I8" s="35" t="s">
        <v>5</v>
      </c>
      <c r="J8" s="35" t="s">
        <v>6</v>
      </c>
      <c r="K8" s="35" t="s">
        <v>7</v>
      </c>
      <c r="L8" s="35" t="s">
        <v>8</v>
      </c>
      <c r="M8" s="35" t="s">
        <v>9</v>
      </c>
      <c r="N8" s="35"/>
      <c r="O8" s="35"/>
      <c r="P8" s="35"/>
      <c r="Q8" s="35"/>
      <c r="R8" s="35"/>
    </row>
    <row r="10" spans="1:18" x14ac:dyDescent="0.2">
      <c r="A10" s="32" t="s">
        <v>116</v>
      </c>
      <c r="C10" s="39">
        <f>+IF(Condiciones!B7="NO",-'Plan Inversiones'!F77,0)</f>
        <v>-12707733.1492</v>
      </c>
      <c r="D10" s="39">
        <v>0</v>
      </c>
      <c r="E10" s="39">
        <v>0</v>
      </c>
      <c r="F10" s="39">
        <v>0</v>
      </c>
      <c r="G10" s="39">
        <v>0</v>
      </c>
      <c r="H10" s="39">
        <v>0</v>
      </c>
      <c r="I10" s="39">
        <v>0</v>
      </c>
      <c r="J10" s="39">
        <v>0</v>
      </c>
      <c r="K10" s="39">
        <v>0</v>
      </c>
      <c r="L10" s="39">
        <v>0</v>
      </c>
      <c r="M10" s="39">
        <v>0</v>
      </c>
      <c r="N10" s="39"/>
      <c r="O10" s="39"/>
      <c r="P10" s="39"/>
      <c r="Q10" s="39"/>
      <c r="R10" s="39"/>
    </row>
    <row r="11" spans="1:18" x14ac:dyDescent="0.2">
      <c r="A11" s="32" t="s">
        <v>109</v>
      </c>
      <c r="B11" s="40" t="s">
        <v>183</v>
      </c>
      <c r="C11" s="39">
        <v>0</v>
      </c>
      <c r="D11" s="39">
        <f>+Flujo!D38</f>
        <v>1936255.317010287</v>
      </c>
      <c r="E11" s="39">
        <f>+Flujo!E38</f>
        <v>1303581.299204418</v>
      </c>
      <c r="F11" s="39">
        <f>+Flujo!F38</f>
        <v>1793026.3199694054</v>
      </c>
      <c r="G11" s="39">
        <f>+Flujo!G38</f>
        <v>2239262.931918215</v>
      </c>
      <c r="H11" s="39">
        <f>+Flujo!H38</f>
        <v>2741378.6904420746</v>
      </c>
      <c r="I11" s="39">
        <f>+Flujo!I38</f>
        <v>3317660.4261174346</v>
      </c>
      <c r="J11" s="39">
        <f>+Flujo!J38</f>
        <v>3857215.5155354086</v>
      </c>
      <c r="K11" s="39">
        <f>+Flujo!K38</f>
        <v>4573724.195030828</v>
      </c>
      <c r="L11" s="39">
        <f>+Flujo!L38</f>
        <v>5350552.5082829278</v>
      </c>
      <c r="M11" s="39">
        <f>+Flujo!M38</f>
        <v>5813232.0403112136</v>
      </c>
      <c r="N11" s="39"/>
      <c r="O11" s="39"/>
      <c r="P11" s="39"/>
      <c r="Q11" s="39"/>
      <c r="R11" s="39"/>
    </row>
    <row r="12" spans="1:18" x14ac:dyDescent="0.2">
      <c r="A12" s="32" t="s">
        <v>446</v>
      </c>
      <c r="B12" s="47"/>
      <c r="C12" s="39">
        <v>0</v>
      </c>
      <c r="D12" s="39">
        <f>+IF(Condiciones!$B$7="NO",Amort.!C180,Amort.!C179)</f>
        <v>0</v>
      </c>
      <c r="E12" s="39">
        <f>+IF(Condiciones!$B$7="NO",Amort.!D180,Amort.!D179)</f>
        <v>22812.247224122268</v>
      </c>
      <c r="F12" s="39">
        <f>+IF(Condiciones!$B$7="NO",Amort.!E180,Amort.!E179)</f>
        <v>48227.03352054923</v>
      </c>
      <c r="G12" s="39">
        <f>+IF(Condiciones!$B$7="NO",Amort.!F180,Amort.!F179)</f>
        <v>69041.436536523004</v>
      </c>
      <c r="H12" s="39">
        <f>+IF(Condiciones!$B$7="NO",Amort.!G180,Amort.!G179)</f>
        <v>87349.43046300397</v>
      </c>
      <c r="I12" s="39">
        <f>+IF(Condiciones!$B$7="NO",Amort.!H180,Amort.!H179)</f>
        <v>101833.11864844026</v>
      </c>
      <c r="J12" s="39">
        <f>+IF(Condiciones!$B$7="NO",Amort.!I180,Amort.!I179)</f>
        <v>110544.74682234364</v>
      </c>
      <c r="K12" s="39">
        <f>+IF(Condiciones!$B$7="NO",Amort.!J180,Amort.!J179)</f>
        <v>110409.86207168967</v>
      </c>
      <c r="L12" s="39">
        <f>+IF(Condiciones!$B$7="NO",Amort.!K180,Amort.!K179)</f>
        <v>95929.28420558224</v>
      </c>
      <c r="M12" s="39">
        <f>+IF(Condiciones!$B$7="NO",Amort.!L180,Amort.!L179)</f>
        <v>63884.621028941503</v>
      </c>
      <c r="N12" s="39" t="s">
        <v>183</v>
      </c>
      <c r="O12" s="39"/>
      <c r="P12" s="39"/>
      <c r="Q12" s="39"/>
      <c r="R12" s="39"/>
    </row>
    <row r="13" spans="1:18" x14ac:dyDescent="0.2">
      <c r="A13" s="32" t="s">
        <v>118</v>
      </c>
      <c r="C13" s="81">
        <v>0</v>
      </c>
      <c r="D13" s="81">
        <v>0</v>
      </c>
      <c r="E13" s="81">
        <v>0</v>
      </c>
      <c r="F13" s="81">
        <v>0</v>
      </c>
      <c r="G13" s="81">
        <v>0</v>
      </c>
      <c r="H13" s="81">
        <v>0</v>
      </c>
      <c r="I13" s="81">
        <v>0</v>
      </c>
      <c r="J13" s="81">
        <v>0</v>
      </c>
      <c r="K13" s="81">
        <v>0</v>
      </c>
      <c r="L13" s="81">
        <v>0</v>
      </c>
      <c r="M13" s="81">
        <f>+Deprec.!L70</f>
        <v>0</v>
      </c>
      <c r="N13" s="81"/>
      <c r="O13" s="81"/>
      <c r="P13" s="81"/>
      <c r="Q13" s="81"/>
      <c r="R13" s="81"/>
    </row>
    <row r="14" spans="1:18" x14ac:dyDescent="0.2">
      <c r="A14" s="32" t="s">
        <v>119</v>
      </c>
      <c r="C14" s="41">
        <f>SUM(C10:C13)</f>
        <v>-12707733.1492</v>
      </c>
      <c r="D14" s="41">
        <f>SUM(D10:D13)</f>
        <v>1936255.317010287</v>
      </c>
      <c r="E14" s="41">
        <f t="shared" ref="E14:M14" si="0">SUM(E10:E13)</f>
        <v>1326393.5464285403</v>
      </c>
      <c r="F14" s="41">
        <f t="shared" si="0"/>
        <v>1841253.3534899547</v>
      </c>
      <c r="G14" s="41">
        <f t="shared" si="0"/>
        <v>2308304.3684547381</v>
      </c>
      <c r="H14" s="41">
        <f t="shared" si="0"/>
        <v>2828728.1209050785</v>
      </c>
      <c r="I14" s="41">
        <f t="shared" si="0"/>
        <v>3419493.5447658747</v>
      </c>
      <c r="J14" s="41">
        <f t="shared" si="0"/>
        <v>3967760.2623577523</v>
      </c>
      <c r="K14" s="41">
        <f t="shared" si="0"/>
        <v>4684134.0571025172</v>
      </c>
      <c r="L14" s="41">
        <f t="shared" si="0"/>
        <v>5446481.7924885098</v>
      </c>
      <c r="M14" s="41">
        <f t="shared" si="0"/>
        <v>5877116.6613401547</v>
      </c>
      <c r="N14" s="41"/>
      <c r="O14" s="41"/>
      <c r="P14" s="41"/>
      <c r="Q14" s="41"/>
      <c r="R14" s="41"/>
    </row>
    <row r="15" spans="1:18" x14ac:dyDescent="0.2">
      <c r="D15" s="82"/>
      <c r="E15" s="82"/>
      <c r="F15" s="82"/>
      <c r="G15" s="82"/>
      <c r="H15" s="82"/>
      <c r="I15" s="82"/>
      <c r="J15" s="82"/>
      <c r="K15" s="82"/>
      <c r="L15" s="82"/>
      <c r="M15" s="82"/>
    </row>
    <row r="16" spans="1:18" x14ac:dyDescent="0.2">
      <c r="A16" s="83" t="s">
        <v>170</v>
      </c>
      <c r="B16" s="83"/>
      <c r="C16" s="84">
        <v>0.12</v>
      </c>
      <c r="D16" s="85"/>
      <c r="E16" s="85"/>
      <c r="F16" s="85"/>
      <c r="G16" s="85"/>
      <c r="H16" s="85"/>
      <c r="I16" s="85"/>
      <c r="J16" s="85"/>
      <c r="K16" s="85"/>
      <c r="L16" s="85"/>
      <c r="M16" s="85"/>
    </row>
    <row r="17" spans="1:13" x14ac:dyDescent="0.2">
      <c r="A17" s="83" t="s">
        <v>121</v>
      </c>
      <c r="B17" s="83"/>
      <c r="C17" s="88">
        <f>NPV(C16,D14:M14)+C14</f>
        <v>3736500.7651601471</v>
      </c>
      <c r="D17" s="85"/>
      <c r="E17" s="89"/>
      <c r="F17" s="85"/>
      <c r="G17" s="85"/>
      <c r="H17" s="85"/>
      <c r="I17" s="85"/>
      <c r="J17" s="85"/>
      <c r="K17" s="85"/>
      <c r="L17" s="85"/>
      <c r="M17" s="85"/>
    </row>
    <row r="18" spans="1:13" x14ac:dyDescent="0.2">
      <c r="A18" s="83" t="s">
        <v>120</v>
      </c>
      <c r="B18" s="83"/>
      <c r="C18" s="86">
        <f>IF(C14=0,0,IRR(C14:M14))</f>
        <v>0.17209270978252711</v>
      </c>
      <c r="D18" s="87"/>
      <c r="E18" s="85"/>
      <c r="F18" s="85"/>
      <c r="G18" s="85"/>
      <c r="H18" s="85"/>
      <c r="I18" s="85"/>
      <c r="J18" s="85"/>
      <c r="K18" s="85"/>
      <c r="L18" s="85"/>
      <c r="M18" s="85"/>
    </row>
    <row r="20" spans="1:13" x14ac:dyDescent="0.2">
      <c r="D20" s="249"/>
    </row>
    <row r="22" spans="1:13" x14ac:dyDescent="0.2">
      <c r="I22" s="32" t="s">
        <v>183</v>
      </c>
    </row>
  </sheetData>
  <phoneticPr fontId="3" type="noConversion"/>
  <printOptions horizontalCentered="1" verticalCentered="1"/>
  <pageMargins left="0.92870078740157491" right="0" top="0" bottom="0" header="0" footer="0"/>
  <pageSetup paperSize="9" scale="86" orientation="landscape" horizontalDpi="355" verticalDpi="464" r:id="rId1"/>
  <headerFooter alignWithMargins="0"/>
  <colBreaks count="1" manualBreakCount="1">
    <brk id="11" max="1048575" man="1"/>
  </col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T129"/>
  <sheetViews>
    <sheetView zoomScaleNormal="100" workbookViewId="0">
      <selection activeCell="A40" sqref="A40"/>
    </sheetView>
  </sheetViews>
  <sheetFormatPr baseColWidth="10" defaultColWidth="11.42578125" defaultRowHeight="12.75" x14ac:dyDescent="0.2"/>
  <cols>
    <col min="1" max="1" width="28.28515625" style="32" customWidth="1"/>
    <col min="2" max="11" width="11.7109375" style="32" customWidth="1"/>
    <col min="12" max="15" width="10.7109375" style="32" customWidth="1"/>
    <col min="16" max="16384" width="11.42578125" style="32"/>
  </cols>
  <sheetData>
    <row r="2" spans="1:20" x14ac:dyDescent="0.2">
      <c r="A2" s="43" t="s">
        <v>140</v>
      </c>
    </row>
    <row r="3" spans="1:20" x14ac:dyDescent="0.2">
      <c r="A3" s="43" t="s">
        <v>424</v>
      </c>
    </row>
    <row r="6" spans="1:20" x14ac:dyDescent="0.2">
      <c r="A6" s="80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34"/>
    </row>
    <row r="7" spans="1:20" x14ac:dyDescent="0.2">
      <c r="A7" s="90" t="s">
        <v>194</v>
      </c>
      <c r="B7" s="91" t="s">
        <v>0</v>
      </c>
      <c r="C7" s="91" t="s">
        <v>1</v>
      </c>
      <c r="D7" s="91" t="s">
        <v>2</v>
      </c>
      <c r="E7" s="91" t="s">
        <v>3</v>
      </c>
      <c r="F7" s="91" t="s">
        <v>4</v>
      </c>
      <c r="G7" s="91" t="s">
        <v>5</v>
      </c>
      <c r="H7" s="91" t="s">
        <v>6</v>
      </c>
      <c r="I7" s="91" t="s">
        <v>7</v>
      </c>
      <c r="J7" s="91" t="s">
        <v>8</v>
      </c>
      <c r="K7" s="91" t="s">
        <v>9</v>
      </c>
    </row>
    <row r="8" spans="1:20" x14ac:dyDescent="0.2">
      <c r="A8" s="64" t="s">
        <v>219</v>
      </c>
      <c r="B8" s="92">
        <f>+Ing.!E70</f>
        <v>365724.1</v>
      </c>
      <c r="C8" s="92">
        <f>+Ing.!F70</f>
        <v>390328.62699999998</v>
      </c>
      <c r="D8" s="92">
        <f>+Ing.!G70</f>
        <v>416625.58608999994</v>
      </c>
      <c r="E8" s="92">
        <f>+Ing.!H70</f>
        <v>444732.5509723</v>
      </c>
      <c r="F8" s="92">
        <f>+Ing.!I70</f>
        <v>474775.29861204099</v>
      </c>
      <c r="G8" s="92">
        <f>+Ing.!J70</f>
        <v>506888.3826587142</v>
      </c>
      <c r="H8" s="92">
        <f>+Ing.!K70</f>
        <v>541215.74698296946</v>
      </c>
      <c r="I8" s="92">
        <f>+Ing.!L70</f>
        <v>577911.38213606703</v>
      </c>
      <c r="J8" s="92">
        <f>+Ing.!M70</f>
        <v>617140.02773581014</v>
      </c>
      <c r="K8" s="92">
        <f>+Ing.!N70</f>
        <v>659077.92399304186</v>
      </c>
    </row>
    <row r="9" spans="1:20" x14ac:dyDescent="0.2">
      <c r="A9" s="64" t="s">
        <v>601</v>
      </c>
      <c r="B9" s="92">
        <f>Ing.!E107</f>
        <v>109717.23</v>
      </c>
      <c r="C9" s="92">
        <f>Ing.!F107</f>
        <v>117098.58809999999</v>
      </c>
      <c r="D9" s="92">
        <f>Ing.!G107</f>
        <v>124987.67582699998</v>
      </c>
      <c r="E9" s="92">
        <f>Ing.!H107</f>
        <v>133419.76529169001</v>
      </c>
      <c r="F9" s="92">
        <f>Ing.!I107</f>
        <v>142432.58958361228</v>
      </c>
      <c r="G9" s="92">
        <f>Ing.!J107</f>
        <v>152066.51479761425</v>
      </c>
      <c r="H9" s="92">
        <f>Ing.!K107</f>
        <v>162364.72409489087</v>
      </c>
      <c r="I9" s="92">
        <f>Ing.!L107</f>
        <v>173373.41464082009</v>
      </c>
      <c r="J9" s="92">
        <f>Ing.!M107</f>
        <v>185142.00832074304</v>
      </c>
      <c r="K9" s="92">
        <f>Ing.!N107</f>
        <v>197723.37719791252</v>
      </c>
    </row>
    <row r="10" spans="1:20" x14ac:dyDescent="0.2">
      <c r="A10" s="64" t="s">
        <v>221</v>
      </c>
      <c r="B10" s="92">
        <f>+Ing.!E139</f>
        <v>8439.7869230769229</v>
      </c>
      <c r="C10" s="92">
        <f>+Ing.!F139</f>
        <v>9007.5836999999992</v>
      </c>
      <c r="D10" s="92">
        <f>+Ing.!G139</f>
        <v>9614.4366020769212</v>
      </c>
      <c r="E10" s="92">
        <f>+Ing.!H139</f>
        <v>10263.058868591539</v>
      </c>
      <c r="F10" s="92">
        <f>+Ing.!I139</f>
        <v>10956.353044893252</v>
      </c>
      <c r="G10" s="92">
        <f>+Ing.!J139</f>
        <v>11697.424215201097</v>
      </c>
      <c r="H10" s="92">
        <f>+Ing.!K139</f>
        <v>12489.594161145449</v>
      </c>
      <c r="I10" s="92">
        <f>+Ing.!L139</f>
        <v>13336.416510832318</v>
      </c>
      <c r="J10" s="92">
        <f>+Ing.!M139</f>
        <v>14241.692947749465</v>
      </c>
      <c r="K10" s="92">
        <f>+Ing.!N139</f>
        <v>15209.490553685582</v>
      </c>
    </row>
    <row r="11" spans="1:20" x14ac:dyDescent="0.2">
      <c r="A11" s="64" t="s">
        <v>222</v>
      </c>
      <c r="B11" s="92">
        <f>+Ing.!E171</f>
        <v>342.6129216568047</v>
      </c>
      <c r="C11" s="92">
        <f>+Ing.!F171</f>
        <v>450.37918500000006</v>
      </c>
      <c r="D11" s="92">
        <f>+Ing.!G171</f>
        <v>480.72183010384612</v>
      </c>
      <c r="E11" s="92">
        <f>+Ing.!H171</f>
        <v>513.15294342957691</v>
      </c>
      <c r="F11" s="92">
        <f>+Ing.!I171</f>
        <v>547.81765224466278</v>
      </c>
      <c r="G11" s="92">
        <f>+Ing.!J171</f>
        <v>584.87121076005496</v>
      </c>
      <c r="H11" s="92">
        <f>+Ing.!K171</f>
        <v>624.47970805727243</v>
      </c>
      <c r="I11" s="92">
        <f>+Ing.!L171</f>
        <v>666.82082554161593</v>
      </c>
      <c r="J11" s="92">
        <f>+Ing.!M171</f>
        <v>712.08464738747341</v>
      </c>
      <c r="K11" s="92">
        <f>+Ing.!N171</f>
        <v>760.47452768427922</v>
      </c>
    </row>
    <row r="12" spans="1:20" x14ac:dyDescent="0.2">
      <c r="A12" s="45" t="s">
        <v>31</v>
      </c>
      <c r="B12" s="93">
        <f t="shared" ref="B12:K12" si="0">SUM(B8:B11)</f>
        <v>484223.72984473367</v>
      </c>
      <c r="C12" s="93">
        <f t="shared" si="0"/>
        <v>516885.17798500002</v>
      </c>
      <c r="D12" s="93">
        <f t="shared" si="0"/>
        <v>551708.4203491807</v>
      </c>
      <c r="E12" s="93">
        <f t="shared" si="0"/>
        <v>588928.52807601111</v>
      </c>
      <c r="F12" s="93">
        <f t="shared" si="0"/>
        <v>628712.05889279116</v>
      </c>
      <c r="G12" s="93">
        <f t="shared" si="0"/>
        <v>671237.19288228953</v>
      </c>
      <c r="H12" s="93">
        <f t="shared" si="0"/>
        <v>716694.54494706308</v>
      </c>
      <c r="I12" s="93">
        <f t="shared" si="0"/>
        <v>765288.03411326103</v>
      </c>
      <c r="J12" s="93">
        <f t="shared" si="0"/>
        <v>817235.81365169026</v>
      </c>
      <c r="K12" s="93">
        <f t="shared" si="0"/>
        <v>872771.26627232425</v>
      </c>
    </row>
    <row r="13" spans="1:20" x14ac:dyDescent="0.2">
      <c r="A13" s="94"/>
      <c r="B13" s="58"/>
    </row>
    <row r="14" spans="1:20" x14ac:dyDescent="0.2">
      <c r="A14" s="90" t="s">
        <v>457</v>
      </c>
      <c r="B14" s="91" t="str">
        <f>+B7</f>
        <v>Año 1</v>
      </c>
      <c r="C14" s="91" t="str">
        <f>+C7</f>
        <v>Año 2</v>
      </c>
      <c r="D14" s="91" t="str">
        <f t="shared" ref="D14:K14" si="1">+D7</f>
        <v>Año 3</v>
      </c>
      <c r="E14" s="91" t="str">
        <f t="shared" si="1"/>
        <v>Año 4</v>
      </c>
      <c r="F14" s="91" t="str">
        <f t="shared" si="1"/>
        <v>Año 5</v>
      </c>
      <c r="G14" s="91" t="str">
        <f t="shared" si="1"/>
        <v>Año 6</v>
      </c>
      <c r="H14" s="91" t="str">
        <f t="shared" si="1"/>
        <v>Año 7</v>
      </c>
      <c r="I14" s="91" t="str">
        <f t="shared" si="1"/>
        <v>Año 8</v>
      </c>
      <c r="J14" s="91" t="str">
        <f t="shared" si="1"/>
        <v>Año 9</v>
      </c>
      <c r="K14" s="91" t="str">
        <f t="shared" si="1"/>
        <v>Año 10</v>
      </c>
    </row>
    <row r="15" spans="1:20" x14ac:dyDescent="0.2">
      <c r="A15" s="64" t="s">
        <v>219</v>
      </c>
      <c r="B15" s="92">
        <f>+Ing.!E90</f>
        <v>7039455.7263685688</v>
      </c>
      <c r="C15" s="92">
        <f>+Ing.!F90</f>
        <v>7859590.3311152067</v>
      </c>
      <c r="D15" s="92">
        <f>+Ing.!G90</f>
        <v>8726767.3162981197</v>
      </c>
      <c r="E15" s="92">
        <f>+Ing.!H90</f>
        <v>9677993.2704987004</v>
      </c>
      <c r="F15" s="92">
        <f>+Ing.!I90</f>
        <v>10733255.11502777</v>
      </c>
      <c r="G15" s="92">
        <f>+Ing.!J90</f>
        <v>11904892.034396049</v>
      </c>
      <c r="H15" s="92">
        <f>+Ing.!K90</f>
        <v>13205902.731332721</v>
      </c>
      <c r="I15" s="92">
        <f>+Ing.!L90</f>
        <v>14650686.574847316</v>
      </c>
      <c r="J15" s="92">
        <f>+Ing.!M90</f>
        <v>16255249.261276133</v>
      </c>
      <c r="K15" s="92">
        <f>+Ing.!N90</f>
        <v>18037386.542033914</v>
      </c>
    </row>
    <row r="16" spans="1:20" x14ac:dyDescent="0.2">
      <c r="A16" s="64" t="s">
        <v>601</v>
      </c>
      <c r="B16" s="92">
        <f>Ing.!E122</f>
        <v>0</v>
      </c>
      <c r="C16" s="92">
        <f>Ing.!F122</f>
        <v>0</v>
      </c>
      <c r="D16" s="92">
        <f>Ing.!G122</f>
        <v>0</v>
      </c>
      <c r="E16" s="92">
        <f>Ing.!H122</f>
        <v>0</v>
      </c>
      <c r="F16" s="92">
        <f>Ing.!I122</f>
        <v>0</v>
      </c>
      <c r="G16" s="92">
        <f>Ing.!J122</f>
        <v>0</v>
      </c>
      <c r="H16" s="92">
        <f>Ing.!K122</f>
        <v>0</v>
      </c>
      <c r="I16" s="92">
        <f>Ing.!L122</f>
        <v>0</v>
      </c>
      <c r="J16" s="92">
        <f>Ing.!M122</f>
        <v>0</v>
      </c>
      <c r="K16" s="92">
        <f>Ing.!N122</f>
        <v>0</v>
      </c>
    </row>
    <row r="17" spans="1:11" x14ac:dyDescent="0.2">
      <c r="A17" s="64" t="s">
        <v>221</v>
      </c>
      <c r="B17" s="92">
        <f>+Ing.!E154</f>
        <v>80035.397730296681</v>
      </c>
      <c r="C17" s="92">
        <f>+Ing.!F154</f>
        <v>88726.494974617002</v>
      </c>
      <c r="D17" s="92">
        <f>+Ing.!G154</f>
        <v>98373.961019977069</v>
      </c>
      <c r="E17" s="92">
        <f>+Ing.!H154</f>
        <v>109083.96639500404</v>
      </c>
      <c r="F17" s="92">
        <f>+Ing.!I154</f>
        <v>120974.53606345858</v>
      </c>
      <c r="G17" s="92">
        <f>+Ing.!J154</f>
        <v>134176.87794656257</v>
      </c>
      <c r="H17" s="92">
        <f>+Ing.!K154</f>
        <v>148836.86068619907</v>
      </c>
      <c r="I17" s="92">
        <f>+Ing.!L154</f>
        <v>165116.6574394638</v>
      </c>
      <c r="J17" s="92">
        <f>+Ing.!M154</f>
        <v>183196.57438588853</v>
      </c>
      <c r="K17" s="92">
        <f>+Ing.!N154</f>
        <v>203277.08473256239</v>
      </c>
    </row>
    <row r="18" spans="1:11" x14ac:dyDescent="0.2">
      <c r="A18" s="64" t="s">
        <v>222</v>
      </c>
      <c r="B18" s="92">
        <f>+Ing.!E186</f>
        <v>6481.8937154213845</v>
      </c>
      <c r="C18" s="92">
        <f>+Ing.!F186</f>
        <v>8872.6494974616999</v>
      </c>
      <c r="D18" s="92">
        <f>+Ing.!G186</f>
        <v>9837.3961019977069</v>
      </c>
      <c r="E18" s="92">
        <f>+Ing.!H186</f>
        <v>10908.396639500404</v>
      </c>
      <c r="F18" s="92">
        <f>+Ing.!I186</f>
        <v>12097.45360634586</v>
      </c>
      <c r="G18" s="92">
        <f>+Ing.!J186</f>
        <v>13417.687794656258</v>
      </c>
      <c r="H18" s="92">
        <f>+Ing.!K186</f>
        <v>14883.686068619907</v>
      </c>
      <c r="I18" s="92">
        <f>+Ing.!L186</f>
        <v>16511.665743946382</v>
      </c>
      <c r="J18" s="92">
        <f>+Ing.!M186</f>
        <v>18319.657438588853</v>
      </c>
      <c r="K18" s="92">
        <f>+Ing.!N186</f>
        <v>20327.708473256247</v>
      </c>
    </row>
    <row r="19" spans="1:11" x14ac:dyDescent="0.2">
      <c r="A19" s="94"/>
      <c r="B19" s="93">
        <f>SUM(B15:B18)</f>
        <v>7125973.017814287</v>
      </c>
      <c r="C19" s="93">
        <f>SUM(C15:C18)</f>
        <v>7957189.4755872851</v>
      </c>
      <c r="D19" s="93">
        <f t="shared" ref="D19:K19" si="2">SUM(D15:D18)</f>
        <v>8834978.6734200958</v>
      </c>
      <c r="E19" s="93">
        <f t="shared" si="2"/>
        <v>9797985.633533204</v>
      </c>
      <c r="F19" s="93">
        <f t="shared" si="2"/>
        <v>10866327.104697576</v>
      </c>
      <c r="G19" s="93">
        <f t="shared" si="2"/>
        <v>12052486.600137267</v>
      </c>
      <c r="H19" s="93">
        <f t="shared" si="2"/>
        <v>13369623.278087541</v>
      </c>
      <c r="I19" s="93">
        <f t="shared" si="2"/>
        <v>14832314.898030728</v>
      </c>
      <c r="J19" s="93">
        <f t="shared" si="2"/>
        <v>16456765.493100611</v>
      </c>
      <c r="K19" s="93">
        <f t="shared" si="2"/>
        <v>18260991.335239735</v>
      </c>
    </row>
    <row r="20" spans="1:11" x14ac:dyDescent="0.2">
      <c r="A20" s="45" t="s">
        <v>447</v>
      </c>
      <c r="B20" s="95">
        <f>+B19/B12</f>
        <v>14.716282120455414</v>
      </c>
      <c r="C20" s="95">
        <f t="shared" ref="C20:K20" si="3">+C19/C12</f>
        <v>15.394501166791443</v>
      </c>
      <c r="D20" s="95">
        <f t="shared" si="3"/>
        <v>16.013855050151975</v>
      </c>
      <c r="E20" s="95">
        <f t="shared" si="3"/>
        <v>16.636968946881463</v>
      </c>
      <c r="F20" s="95">
        <f t="shared" si="3"/>
        <v>17.283471743541849</v>
      </c>
      <c r="G20" s="95">
        <f t="shared" si="3"/>
        <v>17.955629884547879</v>
      </c>
      <c r="H20" s="95">
        <f t="shared" si="3"/>
        <v>18.654562633897342</v>
      </c>
      <c r="I20" s="95">
        <f t="shared" si="3"/>
        <v>19.381349553200483</v>
      </c>
      <c r="J20" s="95">
        <f t="shared" si="3"/>
        <v>20.137107574331736</v>
      </c>
      <c r="K20" s="95">
        <f t="shared" si="3"/>
        <v>20.922997858572828</v>
      </c>
    </row>
    <row r="21" spans="1:11" x14ac:dyDescent="0.2">
      <c r="A21" s="94"/>
      <c r="B21" s="32" t="s">
        <v>183</v>
      </c>
    </row>
    <row r="22" spans="1:11" x14ac:dyDescent="0.2">
      <c r="A22" s="94"/>
    </row>
    <row r="23" spans="1:11" x14ac:dyDescent="0.2">
      <c r="A23" s="334" t="s">
        <v>450</v>
      </c>
      <c r="B23" s="335"/>
      <c r="C23" s="335"/>
      <c r="D23" s="335"/>
      <c r="E23" s="335"/>
      <c r="F23" s="335"/>
      <c r="G23" s="335"/>
      <c r="H23" s="335"/>
      <c r="I23" s="335"/>
      <c r="J23" s="335"/>
      <c r="K23" s="336"/>
    </row>
    <row r="24" spans="1:11" x14ac:dyDescent="0.2">
      <c r="A24" s="63" t="s">
        <v>425</v>
      </c>
      <c r="B24" s="90" t="str">
        <f>+B14</f>
        <v>Año 1</v>
      </c>
      <c r="C24" s="90" t="str">
        <f t="shared" ref="C24:K24" si="4">+C14</f>
        <v>Año 2</v>
      </c>
      <c r="D24" s="90" t="str">
        <f t="shared" si="4"/>
        <v>Año 3</v>
      </c>
      <c r="E24" s="90" t="str">
        <f t="shared" si="4"/>
        <v>Año 4</v>
      </c>
      <c r="F24" s="90" t="str">
        <f t="shared" si="4"/>
        <v>Año 5</v>
      </c>
      <c r="G24" s="90" t="str">
        <f t="shared" si="4"/>
        <v>Año 6</v>
      </c>
      <c r="H24" s="90" t="str">
        <f t="shared" si="4"/>
        <v>Año 7</v>
      </c>
      <c r="I24" s="90" t="str">
        <f t="shared" si="4"/>
        <v>Año 8</v>
      </c>
      <c r="J24" s="90" t="str">
        <f t="shared" si="4"/>
        <v>Año 9</v>
      </c>
      <c r="K24" s="90" t="str">
        <f t="shared" si="4"/>
        <v>Año 10</v>
      </c>
    </row>
    <row r="25" spans="1:11" x14ac:dyDescent="0.2">
      <c r="A25" s="96" t="s">
        <v>212</v>
      </c>
      <c r="B25" s="97">
        <f>+PyG!C11+PyG!C19</f>
        <v>2280534</v>
      </c>
      <c r="C25" s="97">
        <f>+PyG!D11+PyG!D19</f>
        <v>2371755.36</v>
      </c>
      <c r="D25" s="97">
        <f>+PyG!E11+PyG!E19</f>
        <v>2447156.7744</v>
      </c>
      <c r="E25" s="97">
        <f>+PyG!F11+PyG!F19</f>
        <v>2545043.045376</v>
      </c>
      <c r="F25" s="97">
        <f>+PyG!G11+PyG!G19</f>
        <v>2646844.7671910399</v>
      </c>
      <c r="G25" s="97">
        <f>+PyG!H11+PyG!H19</f>
        <v>2752718.5578786815</v>
      </c>
      <c r="H25" s="97">
        <f>+PyG!I11+PyG!I19</f>
        <v>2862827.300193829</v>
      </c>
      <c r="I25" s="97">
        <f>+PyG!J11+PyG!J19</f>
        <v>2977340.392201582</v>
      </c>
      <c r="J25" s="97">
        <f>+PyG!K11+PyG!K19</f>
        <v>3096434.0078896456</v>
      </c>
      <c r="K25" s="97">
        <f>+PyG!L11+PyG!L19</f>
        <v>3220291.3682052316</v>
      </c>
    </row>
    <row r="26" spans="1:11" x14ac:dyDescent="0.2">
      <c r="A26" s="96" t="s">
        <v>213</v>
      </c>
      <c r="B26" s="97">
        <f>+PyG!C12+PyG!C20</f>
        <v>23920</v>
      </c>
      <c r="C26" s="97">
        <f>+PyG!D12+PyG!D20</f>
        <v>24876.799999999999</v>
      </c>
      <c r="D26" s="97">
        <f>+PyG!E12+PyG!E20</f>
        <v>25871.871999999996</v>
      </c>
      <c r="E26" s="97">
        <f>+PyG!F12+PyG!F20</f>
        <v>26906.746879999999</v>
      </c>
      <c r="F26" s="97">
        <f>+PyG!G12+PyG!G20</f>
        <v>27983.016755199998</v>
      </c>
      <c r="G26" s="97">
        <f>+PyG!H12+PyG!H20</f>
        <v>29102.337425407997</v>
      </c>
      <c r="H26" s="97">
        <f>+PyG!I12+PyG!I20</f>
        <v>30266.430922424319</v>
      </c>
      <c r="I26" s="97">
        <f>+PyG!J12+PyG!J20</f>
        <v>31477.088159321294</v>
      </c>
      <c r="J26" s="97">
        <f>+PyG!K12+PyG!K20</f>
        <v>32736.171685694146</v>
      </c>
      <c r="K26" s="97">
        <f>+PyG!L12+PyG!L20</f>
        <v>34045.618553121909</v>
      </c>
    </row>
    <row r="27" spans="1:11" x14ac:dyDescent="0.2">
      <c r="A27" s="204" t="s">
        <v>52</v>
      </c>
      <c r="B27" s="97">
        <f>+PyG!C13+PyG!C21</f>
        <v>62100</v>
      </c>
      <c r="C27" s="97">
        <f>+PyG!D13+PyG!D21</f>
        <v>64584.000000000007</v>
      </c>
      <c r="D27" s="97">
        <f>+PyG!E13+PyG!E21</f>
        <v>67167.360000000015</v>
      </c>
      <c r="E27" s="97">
        <f>+PyG!F13+PyG!F21</f>
        <v>69854.054400000008</v>
      </c>
      <c r="F27" s="97">
        <f>+PyG!G13+PyG!G21</f>
        <v>72648.216575999992</v>
      </c>
      <c r="G27" s="97">
        <f>+PyG!H13+PyG!H21</f>
        <v>75554.145239039994</v>
      </c>
      <c r="H27" s="97">
        <f>+PyG!I13+PyG!I21</f>
        <v>78576.311048601608</v>
      </c>
      <c r="I27" s="97">
        <f>+PyG!J13+PyG!J21</f>
        <v>81719.363490545657</v>
      </c>
      <c r="J27" s="97">
        <f>+PyG!K13+PyG!K21</f>
        <v>84988.13803016748</v>
      </c>
      <c r="K27" s="97">
        <f>+PyG!L13+PyG!L21</f>
        <v>88387.663551374178</v>
      </c>
    </row>
    <row r="28" spans="1:11" x14ac:dyDescent="0.2">
      <c r="A28" s="96" t="s">
        <v>427</v>
      </c>
      <c r="B28" s="97">
        <f>+PyG!C14+PyG!C22</f>
        <v>76800</v>
      </c>
      <c r="C28" s="97">
        <f>+PyG!D14+PyG!D22</f>
        <v>79872</v>
      </c>
      <c r="D28" s="97">
        <f>+PyG!E14+PyG!E22</f>
        <v>83066.880000000005</v>
      </c>
      <c r="E28" s="97">
        <f>+PyG!F14+PyG!F22</f>
        <v>86389.555200000003</v>
      </c>
      <c r="F28" s="97">
        <f>+PyG!G14+PyG!G22</f>
        <v>89845.137407999995</v>
      </c>
      <c r="G28" s="97">
        <f>+PyG!H14+PyG!H22</f>
        <v>93438.942904320007</v>
      </c>
      <c r="H28" s="97">
        <f>+PyG!I14+PyG!I22</f>
        <v>97176.500620492807</v>
      </c>
      <c r="I28" s="97">
        <f>+PyG!J14+PyG!J22</f>
        <v>101063.56064531251</v>
      </c>
      <c r="J28" s="97">
        <f>+PyG!K14+PyG!K22</f>
        <v>105106.10307112501</v>
      </c>
      <c r="K28" s="97">
        <f>+PyG!L14+PyG!L22</f>
        <v>109310.34719397</v>
      </c>
    </row>
    <row r="29" spans="1:11" x14ac:dyDescent="0.2">
      <c r="A29" s="96" t="s">
        <v>215</v>
      </c>
      <c r="B29" s="97">
        <f>+PyG!C15+PyG!C23</f>
        <v>135900</v>
      </c>
      <c r="C29" s="97">
        <f>+PyG!D15+PyG!D23</f>
        <v>141336</v>
      </c>
      <c r="D29" s="97">
        <f>+PyG!E15+PyG!E23</f>
        <v>146989.44</v>
      </c>
      <c r="E29" s="97">
        <f>+PyG!F15+PyG!F23</f>
        <v>152869.01760000002</v>
      </c>
      <c r="F29" s="97">
        <f>+PyG!G15+PyG!G23</f>
        <v>158983.77830399998</v>
      </c>
      <c r="G29" s="97">
        <f>+PyG!H15+PyG!H23</f>
        <v>165343.12943616003</v>
      </c>
      <c r="H29" s="97">
        <f>+PyG!I15+PyG!I23</f>
        <v>171956.85461360638</v>
      </c>
      <c r="I29" s="97">
        <f>+PyG!J15+PyG!J23</f>
        <v>178835.12879815063</v>
      </c>
      <c r="J29" s="97">
        <f>+PyG!K15+PyG!K23</f>
        <v>185988.53395007667</v>
      </c>
      <c r="K29" s="97">
        <f>+PyG!L15+PyG!L23</f>
        <v>193428.07530807974</v>
      </c>
    </row>
    <row r="30" spans="1:11" x14ac:dyDescent="0.2">
      <c r="A30" s="96" t="s">
        <v>216</v>
      </c>
      <c r="B30" s="97">
        <f>+PyG!C16+PyG!C24</f>
        <v>756142.84</v>
      </c>
      <c r="C30" s="97">
        <f>+PyG!D16+PyG!D24</f>
        <v>779457.12551111111</v>
      </c>
      <c r="D30" s="97">
        <f>+PyG!E16+PyG!E24</f>
        <v>806536.07392711111</v>
      </c>
      <c r="E30" s="97">
        <f>+PyG!F16+PyG!F24</f>
        <v>838485.09117895109</v>
      </c>
      <c r="F30" s="97">
        <f>+PyG!G16+PyG!G24</f>
        <v>876963.25223442214</v>
      </c>
      <c r="G30" s="97">
        <f>+PyG!H16+PyG!H24</f>
        <v>888376.10234545136</v>
      </c>
      <c r="H30" s="97">
        <f>+PyG!I16+PyG!I24</f>
        <v>948809.04908978939</v>
      </c>
      <c r="I30" s="97">
        <f>+PyG!J16+PyG!J24</f>
        <v>1033139.4435939381</v>
      </c>
      <c r="J30" s="97">
        <f>+PyG!K16+PyG!K24</f>
        <v>1165521.72404953</v>
      </c>
      <c r="K30" s="97">
        <f>+PyG!L16+PyG!L24</f>
        <v>1442596.746657731</v>
      </c>
    </row>
    <row r="31" spans="1:11" x14ac:dyDescent="0.2">
      <c r="A31" s="96" t="s">
        <v>224</v>
      </c>
      <c r="B31" s="97">
        <f>+PyG!C26</f>
        <v>0</v>
      </c>
      <c r="C31" s="97">
        <f>+PyG!D26</f>
        <v>0</v>
      </c>
      <c r="D31" s="97">
        <f>+PyG!E26</f>
        <v>0</v>
      </c>
      <c r="E31" s="97">
        <f>+PyG!F26</f>
        <v>0</v>
      </c>
      <c r="F31" s="97">
        <f>+PyG!G26</f>
        <v>0</v>
      </c>
      <c r="G31" s="97">
        <f>+PyG!H26</f>
        <v>0</v>
      </c>
      <c r="H31" s="97">
        <f>+PyG!I26</f>
        <v>0</v>
      </c>
      <c r="I31" s="97">
        <f>+PyG!J26</f>
        <v>0</v>
      </c>
      <c r="J31" s="97">
        <f>+PyG!K26</f>
        <v>0</v>
      </c>
      <c r="K31" s="97">
        <f>+PyG!L26</f>
        <v>0</v>
      </c>
    </row>
    <row r="32" spans="1:11" x14ac:dyDescent="0.2">
      <c r="A32" s="204" t="s">
        <v>630</v>
      </c>
      <c r="B32" s="97">
        <f>+PyG!C32</f>
        <v>0</v>
      </c>
      <c r="C32" s="97">
        <f>+PyG!D32</f>
        <v>0</v>
      </c>
      <c r="D32" s="97">
        <f>+PyG!E32</f>
        <v>0</v>
      </c>
      <c r="E32" s="97">
        <f>+PyG!F32</f>
        <v>0</v>
      </c>
      <c r="F32" s="97">
        <f>+PyG!G32</f>
        <v>0</v>
      </c>
      <c r="G32" s="97">
        <f>+PyG!H32</f>
        <v>0</v>
      </c>
      <c r="H32" s="97">
        <f>+PyG!I32</f>
        <v>0</v>
      </c>
      <c r="I32" s="97">
        <f>+PyG!J32</f>
        <v>0</v>
      </c>
      <c r="J32" s="97">
        <f>+PyG!K32</f>
        <v>0</v>
      </c>
      <c r="K32" s="97">
        <f>+PyG!L32</f>
        <v>0</v>
      </c>
    </row>
    <row r="33" spans="1:12" x14ac:dyDescent="0.2">
      <c r="A33" s="96" t="s">
        <v>205</v>
      </c>
      <c r="B33" s="97">
        <f>+PyG!C47</f>
        <v>12000</v>
      </c>
      <c r="C33" s="97">
        <f>+PyG!D47</f>
        <v>12480</v>
      </c>
      <c r="D33" s="97">
        <f>+PyG!E47</f>
        <v>12979.2</v>
      </c>
      <c r="E33" s="97">
        <f>+PyG!F47</f>
        <v>13498.368</v>
      </c>
      <c r="F33" s="97">
        <f>+PyG!G47</f>
        <v>14038.30272</v>
      </c>
      <c r="G33" s="97">
        <f>+PyG!H47</f>
        <v>14599.8348288</v>
      </c>
      <c r="H33" s="97">
        <f>+PyG!I47</f>
        <v>15183.828221952001</v>
      </c>
      <c r="I33" s="97">
        <f>+PyG!J47</f>
        <v>15791.18135083008</v>
      </c>
      <c r="J33" s="97">
        <f>+PyG!K47</f>
        <v>16422.828604863284</v>
      </c>
      <c r="K33" s="97">
        <f>+PyG!L47</f>
        <v>17079.741749057815</v>
      </c>
    </row>
    <row r="34" spans="1:12" x14ac:dyDescent="0.2">
      <c r="A34" s="204" t="s">
        <v>233</v>
      </c>
      <c r="B34" s="97">
        <f>+PyG!C48</f>
        <v>0</v>
      </c>
      <c r="C34" s="97">
        <f>+PyG!D48</f>
        <v>22812.247224122268</v>
      </c>
      <c r="D34" s="97">
        <f>+PyG!E48</f>
        <v>48227.03352054923</v>
      </c>
      <c r="E34" s="97">
        <f>+PyG!F48</f>
        <v>69041.436536523004</v>
      </c>
      <c r="F34" s="97">
        <f>+PyG!G48</f>
        <v>87349.43046300397</v>
      </c>
      <c r="G34" s="97">
        <f>+PyG!H48</f>
        <v>101833.11864844026</v>
      </c>
      <c r="H34" s="97">
        <f>+PyG!I48</f>
        <v>110544.74682234364</v>
      </c>
      <c r="I34" s="97">
        <f>+PyG!J48</f>
        <v>110409.86207168967</v>
      </c>
      <c r="J34" s="97">
        <f>+PyG!K48</f>
        <v>95929.28420558224</v>
      </c>
      <c r="K34" s="97">
        <f>+PyG!L48</f>
        <v>63884.621028941503</v>
      </c>
    </row>
    <row r="35" spans="1:12" x14ac:dyDescent="0.2">
      <c r="A35" s="96" t="s">
        <v>429</v>
      </c>
      <c r="B35" s="97">
        <f>+PyG!C50</f>
        <v>525279.9715515431</v>
      </c>
      <c r="C35" s="97">
        <f>+PyG!D50</f>
        <v>624746.23513056512</v>
      </c>
      <c r="D35" s="97">
        <f>+PyG!E50</f>
        <v>734049.98320349131</v>
      </c>
      <c r="E35" s="97">
        <f>+PyG!F50</f>
        <v>857755.87002416735</v>
      </c>
      <c r="F35" s="97">
        <f>+PyG!G50</f>
        <v>992367.4518886396</v>
      </c>
      <c r="G35" s="97">
        <f>+PyG!H50</f>
        <v>1187215.0227039268</v>
      </c>
      <c r="H35" s="97">
        <f>+PyG!I50</f>
        <v>1355895.1270799399</v>
      </c>
      <c r="I35" s="97">
        <f>+PyG!J50</f>
        <v>1543430.2645306061</v>
      </c>
      <c r="J35" s="97">
        <f>+PyG!K50</f>
        <v>1749443.3638274458</v>
      </c>
      <c r="K35" s="97">
        <f>+PyG!L50</f>
        <v>1962532.7366384848</v>
      </c>
    </row>
    <row r="36" spans="1:12" x14ac:dyDescent="0.2">
      <c r="A36" s="96" t="s">
        <v>428</v>
      </c>
      <c r="B36" s="97">
        <f>+PyG!C51</f>
        <v>744146.62636468606</v>
      </c>
      <c r="C36" s="97">
        <f>+PyG!D51</f>
        <v>885057.16643496719</v>
      </c>
      <c r="D36" s="97">
        <f>+PyG!E51</f>
        <v>1039904.1428716129</v>
      </c>
      <c r="E36" s="97">
        <f>+PyG!F51</f>
        <v>1215154.149200904</v>
      </c>
      <c r="F36" s="97">
        <f>+PyG!G51</f>
        <v>1405853.8901755728</v>
      </c>
      <c r="G36" s="97">
        <f>+PyG!H51</f>
        <v>1681887.9488305631</v>
      </c>
      <c r="H36" s="97">
        <f>+PyG!I51</f>
        <v>1920851.4300299156</v>
      </c>
      <c r="I36" s="97">
        <f>+PyG!J51</f>
        <v>2186526.2080850252</v>
      </c>
      <c r="J36" s="97">
        <f>+PyG!K51</f>
        <v>2478378.0987555482</v>
      </c>
      <c r="K36" s="97">
        <f>+PyG!L51</f>
        <v>2780254.7102378537</v>
      </c>
    </row>
    <row r="37" spans="1:12" x14ac:dyDescent="0.2">
      <c r="A37" s="96" t="s">
        <v>493</v>
      </c>
      <c r="B37" s="97">
        <f>+PyG!C49</f>
        <v>19209.700804</v>
      </c>
      <c r="C37" s="97">
        <f>+PyG!D49</f>
        <v>17541.041981617775</v>
      </c>
      <c r="D37" s="97">
        <f>+PyG!E49</f>
        <v>15817.484882493154</v>
      </c>
      <c r="E37" s="97">
        <f>+PyG!F49</f>
        <v>14025.851533948757</v>
      </c>
      <c r="F37" s="97">
        <f>+PyG!G49</f>
        <v>12148.190454978474</v>
      </c>
      <c r="G37" s="97">
        <f>+PyG!H49</f>
        <v>10264.01340478659</v>
      </c>
      <c r="H37" s="97">
        <f>+PyG!I49</f>
        <v>8232.2253549005218</v>
      </c>
      <c r="I37" s="97">
        <f>+PyG!J49</f>
        <v>5984.629488651397</v>
      </c>
      <c r="J37" s="97">
        <f>+PyG!K49</f>
        <v>3383.0253498879847</v>
      </c>
      <c r="K37" s="97">
        <f>+PyG!L49</f>
        <v>823.6612913522722</v>
      </c>
    </row>
    <row r="38" spans="1:12" x14ac:dyDescent="0.2">
      <c r="A38" s="96" t="s">
        <v>503</v>
      </c>
      <c r="B38" s="97">
        <f>+PyG!C39</f>
        <v>257500</v>
      </c>
      <c r="C38" s="97">
        <f>+PyG!D39</f>
        <v>257500</v>
      </c>
      <c r="D38" s="97">
        <f>+PyG!E39</f>
        <v>257500</v>
      </c>
      <c r="E38" s="97">
        <f>+PyG!F39</f>
        <v>257500</v>
      </c>
      <c r="F38" s="97">
        <f>+PyG!G39</f>
        <v>257500</v>
      </c>
      <c r="G38" s="97">
        <f>+PyG!H39</f>
        <v>0</v>
      </c>
      <c r="H38" s="97">
        <f>+PyG!I39</f>
        <v>0</v>
      </c>
      <c r="I38" s="97">
        <f>+PyG!J39</f>
        <v>0</v>
      </c>
      <c r="J38" s="97">
        <f>+PyG!K39</f>
        <v>0</v>
      </c>
      <c r="K38" s="97">
        <f>+PyG!L39</f>
        <v>0</v>
      </c>
    </row>
    <row r="39" spans="1:12" x14ac:dyDescent="0.2">
      <c r="A39" s="204" t="s">
        <v>657</v>
      </c>
      <c r="B39" s="97">
        <f>+PyG!C40</f>
        <v>0</v>
      </c>
      <c r="C39" s="97">
        <f>+PyG!D40</f>
        <v>20000</v>
      </c>
      <c r="D39" s="97">
        <f>+PyG!E40</f>
        <v>30000</v>
      </c>
      <c r="E39" s="97">
        <f>+PyG!F40</f>
        <v>6000</v>
      </c>
      <c r="F39" s="97">
        <f>+PyG!G40</f>
        <v>6240</v>
      </c>
      <c r="G39" s="97">
        <f>+PyG!H40</f>
        <v>6489.6</v>
      </c>
      <c r="H39" s="97">
        <f>+PyG!I40</f>
        <v>6749.1840000000002</v>
      </c>
      <c r="I39" s="97">
        <f>+PyG!J40</f>
        <v>7019.1513599999998</v>
      </c>
      <c r="J39" s="97">
        <f>+PyG!K40</f>
        <v>7299.9174143999999</v>
      </c>
      <c r="K39" s="97">
        <f>+PyG!L40</f>
        <v>7591.9141109760003</v>
      </c>
    </row>
    <row r="40" spans="1:12" x14ac:dyDescent="0.2">
      <c r="A40" s="96" t="s">
        <v>426</v>
      </c>
      <c r="B40" s="98">
        <f>+PyG!C53</f>
        <v>2232439.8790940577</v>
      </c>
      <c r="C40" s="98">
        <f>+PyG!D53</f>
        <v>2655171.4993049018</v>
      </c>
      <c r="D40" s="98">
        <f>+PyG!E53</f>
        <v>3119712.4286148385</v>
      </c>
      <c r="E40" s="98">
        <f>+PyG!F53</f>
        <v>3645462.4476027107</v>
      </c>
      <c r="F40" s="98">
        <f>+PyG!G53</f>
        <v>4217561.6705267187</v>
      </c>
      <c r="G40" s="98">
        <f>+PyG!H53</f>
        <v>5045663.8464916898</v>
      </c>
      <c r="H40" s="98">
        <f>+PyG!I53</f>
        <v>5762554.290089746</v>
      </c>
      <c r="I40" s="98">
        <f>+PyG!J53</f>
        <v>6559578.6242550761</v>
      </c>
      <c r="J40" s="98">
        <f>+PyG!K53</f>
        <v>7435134.2962666452</v>
      </c>
      <c r="K40" s="98">
        <f>+PyG!L53</f>
        <v>8340764.1307135597</v>
      </c>
    </row>
    <row r="41" spans="1:12" x14ac:dyDescent="0.2">
      <c r="A41" s="96" t="s">
        <v>195</v>
      </c>
      <c r="B41" s="98">
        <f>+PyG!C38</f>
        <v>0</v>
      </c>
      <c r="C41" s="98">
        <f>+PyG!D38</f>
        <v>0</v>
      </c>
      <c r="D41" s="98">
        <f>+PyG!E38</f>
        <v>0</v>
      </c>
      <c r="E41" s="98">
        <f>+PyG!F38</f>
        <v>0</v>
      </c>
      <c r="F41" s="98">
        <f>+PyG!G38</f>
        <v>0</v>
      </c>
      <c r="G41" s="98">
        <f>+PyG!H38</f>
        <v>0</v>
      </c>
      <c r="H41" s="98">
        <f>+PyG!I38</f>
        <v>0</v>
      </c>
      <c r="I41" s="98">
        <f>+PyG!J38</f>
        <v>0</v>
      </c>
      <c r="J41" s="98">
        <f>+PyG!K38</f>
        <v>0</v>
      </c>
      <c r="K41" s="98">
        <f>+PyG!L38</f>
        <v>0</v>
      </c>
    </row>
    <row r="42" spans="1:12" x14ac:dyDescent="0.2">
      <c r="A42" s="99" t="s">
        <v>458</v>
      </c>
      <c r="B42" s="100">
        <f>SUM(B25:B41)</f>
        <v>7125973.0178142861</v>
      </c>
      <c r="C42" s="100">
        <f t="shared" ref="C42:K42" si="5">SUM(C25:C41)</f>
        <v>7957189.4755872851</v>
      </c>
      <c r="D42" s="100">
        <f t="shared" si="5"/>
        <v>8834978.6734200958</v>
      </c>
      <c r="E42" s="100">
        <f t="shared" si="5"/>
        <v>9797985.633533204</v>
      </c>
      <c r="F42" s="100">
        <f t="shared" si="5"/>
        <v>10866327.104697576</v>
      </c>
      <c r="G42" s="100">
        <f t="shared" si="5"/>
        <v>12052486.600137267</v>
      </c>
      <c r="H42" s="100">
        <f t="shared" si="5"/>
        <v>13369623.278087541</v>
      </c>
      <c r="I42" s="100">
        <f t="shared" si="5"/>
        <v>14832314.898030728</v>
      </c>
      <c r="J42" s="100">
        <f t="shared" si="5"/>
        <v>16456765.493100611</v>
      </c>
      <c r="K42" s="100">
        <f t="shared" si="5"/>
        <v>18260991.335239731</v>
      </c>
    </row>
    <row r="43" spans="1:12" x14ac:dyDescent="0.2">
      <c r="A43" s="101"/>
      <c r="B43" s="101"/>
      <c r="C43" s="101"/>
      <c r="D43" s="101"/>
      <c r="E43" s="101"/>
      <c r="F43" s="101"/>
      <c r="G43" s="101"/>
      <c r="H43" s="101"/>
      <c r="I43" s="101"/>
      <c r="J43" s="101"/>
      <c r="K43" s="101"/>
      <c r="L43" s="102"/>
    </row>
    <row r="44" spans="1:12" x14ac:dyDescent="0.2">
      <c r="A44" s="101"/>
      <c r="B44" s="101"/>
      <c r="C44" s="101"/>
      <c r="D44" s="101"/>
      <c r="E44" s="101"/>
      <c r="F44" s="101"/>
      <c r="G44" s="101"/>
      <c r="H44" s="101"/>
      <c r="I44" s="101"/>
      <c r="J44" s="101"/>
      <c r="K44" s="101"/>
    </row>
    <row r="45" spans="1:12" x14ac:dyDescent="0.2">
      <c r="A45" s="101"/>
      <c r="B45" s="102"/>
      <c r="C45" s="103"/>
    </row>
    <row r="46" spans="1:12" x14ac:dyDescent="0.2">
      <c r="A46" s="334" t="s">
        <v>430</v>
      </c>
      <c r="B46" s="335"/>
      <c r="C46" s="335"/>
      <c r="D46" s="335"/>
      <c r="E46" s="335"/>
      <c r="F46" s="335"/>
      <c r="G46" s="335"/>
      <c r="H46" s="335"/>
      <c r="I46" s="335"/>
      <c r="J46" s="335"/>
      <c r="K46" s="336"/>
    </row>
    <row r="47" spans="1:12" x14ac:dyDescent="0.2">
      <c r="A47" s="63" t="s">
        <v>425</v>
      </c>
      <c r="B47" s="91" t="str">
        <f>+B24</f>
        <v>Año 1</v>
      </c>
      <c r="C47" s="91" t="str">
        <f>+C24</f>
        <v>Año 2</v>
      </c>
      <c r="D47" s="91" t="str">
        <f t="shared" ref="D47:K47" si="6">+D24</f>
        <v>Año 3</v>
      </c>
      <c r="E47" s="91" t="str">
        <f t="shared" si="6"/>
        <v>Año 4</v>
      </c>
      <c r="F47" s="91" t="str">
        <f t="shared" si="6"/>
        <v>Año 5</v>
      </c>
      <c r="G47" s="91" t="str">
        <f t="shared" si="6"/>
        <v>Año 6</v>
      </c>
      <c r="H47" s="91" t="str">
        <f t="shared" si="6"/>
        <v>Año 7</v>
      </c>
      <c r="I47" s="91" t="str">
        <f t="shared" si="6"/>
        <v>Año 8</v>
      </c>
      <c r="J47" s="91" t="str">
        <f t="shared" si="6"/>
        <v>Año 9</v>
      </c>
      <c r="K47" s="91" t="str">
        <f t="shared" si="6"/>
        <v>Año 10</v>
      </c>
    </row>
    <row r="48" spans="1:12" x14ac:dyDescent="0.2">
      <c r="A48" s="96" t="s">
        <v>212</v>
      </c>
      <c r="B48" s="104">
        <f>+B25/B12</f>
        <v>4.7096700542355769</v>
      </c>
      <c r="C48" s="104">
        <f>+C25/C12</f>
        <v>4.5885536305102335</v>
      </c>
      <c r="D48" s="104">
        <f>+D25/D12</f>
        <v>4.4355980154357164</v>
      </c>
      <c r="E48" s="104">
        <f>+E25/E12</f>
        <v>4.3214803223923965</v>
      </c>
      <c r="F48" s="104">
        <f t="shared" ref="F48:K48" si="7">+F25/F12</f>
        <v>4.2099475105540858</v>
      </c>
      <c r="G48" s="104">
        <f t="shared" si="7"/>
        <v>4.1009625018818161</v>
      </c>
      <c r="H48" s="104">
        <f t="shared" si="7"/>
        <v>3.9944873591932875</v>
      </c>
      <c r="I48" s="104">
        <f t="shared" si="7"/>
        <v>3.8904833990399772</v>
      </c>
      <c r="J48" s="104">
        <f t="shared" si="7"/>
        <v>3.7889112985072391</v>
      </c>
      <c r="K48" s="104">
        <f t="shared" si="7"/>
        <v>3.6897311960776999</v>
      </c>
    </row>
    <row r="49" spans="1:13" x14ac:dyDescent="0.2">
      <c r="A49" s="96" t="s">
        <v>213</v>
      </c>
      <c r="B49" s="104">
        <f>+B26/B12</f>
        <v>4.939865298974494E-2</v>
      </c>
      <c r="C49" s="104">
        <f t="shared" ref="C49:K49" si="8">+C26/C12</f>
        <v>4.8128290497666239E-2</v>
      </c>
      <c r="D49" s="104">
        <f t="shared" si="8"/>
        <v>4.6894103924724366E-2</v>
      </c>
      <c r="E49" s="104">
        <f t="shared" si="8"/>
        <v>4.5687626931407932E-2</v>
      </c>
      <c r="F49" s="104">
        <f t="shared" si="8"/>
        <v>4.4508477862632664E-2</v>
      </c>
      <c r="G49" s="104">
        <f t="shared" si="8"/>
        <v>4.33562647213315E-2</v>
      </c>
      <c r="H49" s="104">
        <f t="shared" si="8"/>
        <v>4.2230586427387799E-2</v>
      </c>
      <c r="I49" s="104">
        <f t="shared" si="8"/>
        <v>4.1131034010996638E-2</v>
      </c>
      <c r="J49" s="104">
        <f t="shared" si="8"/>
        <v>4.0057191741778533E-2</v>
      </c>
      <c r="K49" s="104">
        <f t="shared" si="8"/>
        <v>3.9008638195129251E-2</v>
      </c>
    </row>
    <row r="50" spans="1:13" x14ac:dyDescent="0.2">
      <c r="A50" s="96" t="s">
        <v>52</v>
      </c>
      <c r="B50" s="104">
        <f t="shared" ref="B50:K50" si="9">+B27/B12</f>
        <v>0.12824650295414552</v>
      </c>
      <c r="C50" s="104">
        <f t="shared" si="9"/>
        <v>0.12494844648432583</v>
      </c>
      <c r="D50" s="104">
        <f t="shared" si="9"/>
        <v>0.12174430826611139</v>
      </c>
      <c r="E50" s="104">
        <f t="shared" si="9"/>
        <v>0.11861210837961678</v>
      </c>
      <c r="F50" s="104">
        <f t="shared" si="9"/>
        <v>0.11555085598952709</v>
      </c>
      <c r="G50" s="104">
        <f t="shared" si="9"/>
        <v>0.11255953341114909</v>
      </c>
      <c r="H50" s="104">
        <f t="shared" si="9"/>
        <v>0.10963709937879527</v>
      </c>
      <c r="I50" s="104">
        <f t="shared" si="9"/>
        <v>0.10678249214393357</v>
      </c>
      <c r="J50" s="104">
        <f t="shared" si="9"/>
        <v>0.1039946324065404</v>
      </c>
      <c r="K50" s="104">
        <f t="shared" si="9"/>
        <v>0.10127242608350862</v>
      </c>
    </row>
    <row r="51" spans="1:13" x14ac:dyDescent="0.2">
      <c r="A51" s="96" t="s">
        <v>427</v>
      </c>
      <c r="B51" s="104">
        <f t="shared" ref="B51:K51" si="10">+B28/B12</f>
        <v>0.15860437080319448</v>
      </c>
      <c r="C51" s="104">
        <f t="shared" si="10"/>
        <v>0.1545256149757846</v>
      </c>
      <c r="D51" s="104">
        <f t="shared" si="10"/>
        <v>0.15056300925664015</v>
      </c>
      <c r="E51" s="104">
        <f t="shared" si="10"/>
        <v>0.14668937074967098</v>
      </c>
      <c r="F51" s="104">
        <f t="shared" si="10"/>
        <v>0.14290347407400453</v>
      </c>
      <c r="G51" s="104">
        <f t="shared" si="10"/>
        <v>0.13920406064373997</v>
      </c>
      <c r="H51" s="104">
        <f t="shared" si="10"/>
        <v>0.13558984271000768</v>
      </c>
      <c r="I51" s="104">
        <f t="shared" si="10"/>
        <v>0.13205950719249754</v>
      </c>
      <c r="J51" s="104">
        <f t="shared" si="10"/>
        <v>0.12861171930470697</v>
      </c>
      <c r="K51" s="104">
        <f t="shared" si="10"/>
        <v>0.12524512597767248</v>
      </c>
    </row>
    <row r="52" spans="1:13" x14ac:dyDescent="0.2">
      <c r="A52" s="96" t="s">
        <v>215</v>
      </c>
      <c r="B52" s="104">
        <f t="shared" ref="B52:K52" si="11">+B29/B12</f>
        <v>0.28065539052284022</v>
      </c>
      <c r="C52" s="104">
        <f t="shared" si="11"/>
        <v>0.2734379046251188</v>
      </c>
      <c r="D52" s="104">
        <f t="shared" si="11"/>
        <v>0.26642594997366398</v>
      </c>
      <c r="E52" s="104">
        <f t="shared" si="11"/>
        <v>0.25957142558437873</v>
      </c>
      <c r="F52" s="104">
        <f t="shared" si="11"/>
        <v>0.25287216310751581</v>
      </c>
      <c r="G52" s="104">
        <f t="shared" si="11"/>
        <v>0.24632593543599299</v>
      </c>
      <c r="H52" s="104">
        <f t="shared" si="11"/>
        <v>0.23993046385794323</v>
      </c>
      <c r="I52" s="104">
        <f t="shared" si="11"/>
        <v>0.23368342483672416</v>
      </c>
      <c r="J52" s="104">
        <f t="shared" si="11"/>
        <v>0.22758245642590727</v>
      </c>
      <c r="K52" s="104">
        <f t="shared" si="11"/>
        <v>0.22162516432767831</v>
      </c>
    </row>
    <row r="53" spans="1:13" x14ac:dyDescent="0.2">
      <c r="A53" s="96" t="s">
        <v>216</v>
      </c>
      <c r="B53" s="104">
        <f t="shared" ref="B53:K53" si="12">+B30/B12</f>
        <v>1.5615567627023508</v>
      </c>
      <c r="C53" s="104">
        <f t="shared" si="12"/>
        <v>1.5079889281207652</v>
      </c>
      <c r="D53" s="104">
        <f t="shared" si="12"/>
        <v>1.4618882804374238</v>
      </c>
      <c r="E53" s="104">
        <f t="shared" si="12"/>
        <v>1.4237467726656476</v>
      </c>
      <c r="F53" s="104">
        <f t="shared" si="12"/>
        <v>1.3948567389956221</v>
      </c>
      <c r="G53" s="104">
        <f t="shared" si="12"/>
        <v>1.3234905809238138</v>
      </c>
      <c r="H53" s="104">
        <f t="shared" si="12"/>
        <v>1.3238681050096048</v>
      </c>
      <c r="I53" s="104">
        <f t="shared" si="12"/>
        <v>1.350000780805408</v>
      </c>
      <c r="J53" s="104">
        <f t="shared" si="12"/>
        <v>1.4261755353593459</v>
      </c>
      <c r="K53" s="104">
        <f t="shared" si="12"/>
        <v>1.6528921177929894</v>
      </c>
    </row>
    <row r="54" spans="1:13" x14ac:dyDescent="0.2">
      <c r="A54" s="96" t="s">
        <v>224</v>
      </c>
      <c r="B54" s="104">
        <f t="shared" ref="B54:K54" si="13">+B31/B12</f>
        <v>0</v>
      </c>
      <c r="C54" s="104">
        <f t="shared" si="13"/>
        <v>0</v>
      </c>
      <c r="D54" s="104">
        <f t="shared" si="13"/>
        <v>0</v>
      </c>
      <c r="E54" s="104">
        <f t="shared" si="13"/>
        <v>0</v>
      </c>
      <c r="F54" s="104">
        <f t="shared" si="13"/>
        <v>0</v>
      </c>
      <c r="G54" s="104">
        <f t="shared" si="13"/>
        <v>0</v>
      </c>
      <c r="H54" s="104">
        <f t="shared" si="13"/>
        <v>0</v>
      </c>
      <c r="I54" s="104">
        <f t="shared" si="13"/>
        <v>0</v>
      </c>
      <c r="J54" s="104">
        <f t="shared" si="13"/>
        <v>0</v>
      </c>
      <c r="K54" s="104">
        <f t="shared" si="13"/>
        <v>0</v>
      </c>
    </row>
    <row r="55" spans="1:13" x14ac:dyDescent="0.2">
      <c r="A55" s="96" t="s">
        <v>142</v>
      </c>
      <c r="B55" s="104">
        <f t="shared" ref="B55:K55" si="14">+B32/B12</f>
        <v>0</v>
      </c>
      <c r="C55" s="104">
        <f t="shared" si="14"/>
        <v>0</v>
      </c>
      <c r="D55" s="104">
        <f t="shared" si="14"/>
        <v>0</v>
      </c>
      <c r="E55" s="104">
        <f t="shared" si="14"/>
        <v>0</v>
      </c>
      <c r="F55" s="104">
        <f t="shared" si="14"/>
        <v>0</v>
      </c>
      <c r="G55" s="104">
        <f t="shared" si="14"/>
        <v>0</v>
      </c>
      <c r="H55" s="104">
        <f t="shared" si="14"/>
        <v>0</v>
      </c>
      <c r="I55" s="104">
        <f t="shared" si="14"/>
        <v>0</v>
      </c>
      <c r="J55" s="104">
        <f t="shared" si="14"/>
        <v>0</v>
      </c>
      <c r="K55" s="104">
        <f t="shared" si="14"/>
        <v>0</v>
      </c>
    </row>
    <row r="56" spans="1:13" x14ac:dyDescent="0.2">
      <c r="A56" s="96" t="s">
        <v>205</v>
      </c>
      <c r="B56" s="104">
        <f t="shared" ref="B56:K56" si="15">+B33/B12</f>
        <v>2.4781932937999136E-2</v>
      </c>
      <c r="C56" s="104">
        <f t="shared" si="15"/>
        <v>2.4144627339966342E-2</v>
      </c>
      <c r="D56" s="104">
        <f t="shared" si="15"/>
        <v>2.3525470196350023E-2</v>
      </c>
      <c r="E56" s="104">
        <f t="shared" si="15"/>
        <v>2.2920214179636089E-2</v>
      </c>
      <c r="F56" s="104">
        <f t="shared" si="15"/>
        <v>2.232866782406321E-2</v>
      </c>
      <c r="G56" s="104">
        <f t="shared" si="15"/>
        <v>2.1750634475584365E-2</v>
      </c>
      <c r="H56" s="104">
        <f t="shared" si="15"/>
        <v>2.1185912923438698E-2</v>
      </c>
      <c r="I56" s="104">
        <f t="shared" si="15"/>
        <v>2.0634297998827742E-2</v>
      </c>
      <c r="J56" s="104">
        <f t="shared" si="15"/>
        <v>2.0095581141360466E-2</v>
      </c>
      <c r="K56" s="104">
        <f t="shared" si="15"/>
        <v>1.9569550934011332E-2</v>
      </c>
    </row>
    <row r="57" spans="1:13" x14ac:dyDescent="0.2">
      <c r="A57" s="96" t="s">
        <v>233</v>
      </c>
      <c r="B57" s="104">
        <f t="shared" ref="B57:K57" si="16">+B34/B12</f>
        <v>0</v>
      </c>
      <c r="C57" s="104">
        <f t="shared" si="16"/>
        <v>4.4134071154937005E-2</v>
      </c>
      <c r="D57" s="104">
        <f t="shared" si="16"/>
        <v>8.7413988515937374E-2</v>
      </c>
      <c r="E57" s="104">
        <f t="shared" si="16"/>
        <v>0.11723228413144905</v>
      </c>
      <c r="F57" s="104">
        <f t="shared" si="16"/>
        <v>0.13893391931567661</v>
      </c>
      <c r="G57" s="104">
        <f t="shared" si="16"/>
        <v>0.15170958899218515</v>
      </c>
      <c r="H57" s="104">
        <f t="shared" si="16"/>
        <v>0.15424248391692275</v>
      </c>
      <c r="I57" s="104">
        <f t="shared" si="16"/>
        <v>0.14427229637743066</v>
      </c>
      <c r="J57" s="104">
        <f t="shared" si="16"/>
        <v>0.11738262396619313</v>
      </c>
      <c r="K57" s="104">
        <f t="shared" si="16"/>
        <v>7.3197438432864345E-2</v>
      </c>
      <c r="L57" s="282"/>
      <c r="M57" s="283"/>
    </row>
    <row r="58" spans="1:13" x14ac:dyDescent="0.2">
      <c r="A58" s="96" t="s">
        <v>429</v>
      </c>
      <c r="B58" s="104">
        <f t="shared" ref="B58:K58" si="17">+B35/B12</f>
        <v>1.0847877523887028</v>
      </c>
      <c r="C58" s="104">
        <f t="shared" si="17"/>
        <v>1.208675082473917</v>
      </c>
      <c r="D58" s="104">
        <f t="shared" si="17"/>
        <v>1.330503498095797</v>
      </c>
      <c r="E58" s="104">
        <f t="shared" si="17"/>
        <v>1.4564685341808736</v>
      </c>
      <c r="F58" s="104">
        <f t="shared" si="17"/>
        <v>1.5784132622432481</v>
      </c>
      <c r="G58" s="104">
        <f t="shared" si="17"/>
        <v>1.7686967219531307</v>
      </c>
      <c r="H58" s="104">
        <f t="shared" si="17"/>
        <v>1.8918730952250933</v>
      </c>
      <c r="I58" s="104">
        <f t="shared" si="17"/>
        <v>2.0167965468308648</v>
      </c>
      <c r="J58" s="104">
        <f t="shared" si="17"/>
        <v>2.1406836736759396</v>
      </c>
      <c r="K58" s="104">
        <f t="shared" si="17"/>
        <v>2.2486220760000712</v>
      </c>
    </row>
    <row r="59" spans="1:13" x14ac:dyDescent="0.2">
      <c r="A59" s="96" t="s">
        <v>428</v>
      </c>
      <c r="B59" s="104">
        <f t="shared" ref="B59:K59" si="18">+B36/B12</f>
        <v>1.5367826492173291</v>
      </c>
      <c r="C59" s="104">
        <f t="shared" si="18"/>
        <v>1.7122897001713822</v>
      </c>
      <c r="D59" s="104">
        <f t="shared" si="18"/>
        <v>1.8848799556357128</v>
      </c>
      <c r="E59" s="104">
        <f t="shared" si="18"/>
        <v>2.0633304234229044</v>
      </c>
      <c r="F59" s="104">
        <f t="shared" si="18"/>
        <v>2.2360854548446016</v>
      </c>
      <c r="G59" s="104">
        <f t="shared" si="18"/>
        <v>2.5056536894336019</v>
      </c>
      <c r="H59" s="104">
        <f t="shared" si="18"/>
        <v>2.6801535515688832</v>
      </c>
      <c r="I59" s="104">
        <f t="shared" si="18"/>
        <v>2.8571284413437255</v>
      </c>
      <c r="J59" s="104">
        <f t="shared" si="18"/>
        <v>3.0326352043742477</v>
      </c>
      <c r="K59" s="104">
        <f t="shared" si="18"/>
        <v>3.1855479410001015</v>
      </c>
    </row>
    <row r="60" spans="1:13" x14ac:dyDescent="0.2">
      <c r="A60" s="96" t="s">
        <v>493</v>
      </c>
      <c r="B60" s="104">
        <f t="shared" ref="B60:K60" si="19">+B37/B12</f>
        <v>3.9671126423646341E-2</v>
      </c>
      <c r="C60" s="104">
        <f t="shared" si="19"/>
        <v>3.3936051426351435E-2</v>
      </c>
      <c r="D60" s="104">
        <f t="shared" si="19"/>
        <v>2.8670008104067255E-2</v>
      </c>
      <c r="E60" s="104">
        <f t="shared" si="19"/>
        <v>2.3815880646451695E-2</v>
      </c>
      <c r="F60" s="104">
        <f t="shared" si="19"/>
        <v>1.9322343643881024E-2</v>
      </c>
      <c r="G60" s="104">
        <f t="shared" si="19"/>
        <v>1.5291186950938999E-2</v>
      </c>
      <c r="H60" s="104">
        <f t="shared" si="19"/>
        <v>1.1486379257300717E-2</v>
      </c>
      <c r="I60" s="104">
        <f t="shared" si="19"/>
        <v>7.8201006965773149E-3</v>
      </c>
      <c r="J60" s="104">
        <f t="shared" si="19"/>
        <v>4.1395950757119482E-3</v>
      </c>
      <c r="K60" s="104">
        <f t="shared" si="19"/>
        <v>9.4373099021716807E-4</v>
      </c>
    </row>
    <row r="61" spans="1:13" x14ac:dyDescent="0.2">
      <c r="A61" s="96" t="s">
        <v>503</v>
      </c>
      <c r="B61" s="104">
        <f t="shared" ref="B61:K61" si="20">+B38/B12</f>
        <v>0.53177897762789805</v>
      </c>
      <c r="C61" s="104">
        <f t="shared" si="20"/>
        <v>0.4981764054520299</v>
      </c>
      <c r="D61" s="104">
        <f t="shared" si="20"/>
        <v>0.46673204631719445</v>
      </c>
      <c r="E61" s="104">
        <f t="shared" si="20"/>
        <v>0.43723471987549106</v>
      </c>
      <c r="F61" s="104">
        <f t="shared" si="20"/>
        <v>0.40956745835840452</v>
      </c>
      <c r="G61" s="104">
        <f t="shared" si="20"/>
        <v>0</v>
      </c>
      <c r="H61" s="104">
        <f t="shared" si="20"/>
        <v>0</v>
      </c>
      <c r="I61" s="104">
        <f t="shared" si="20"/>
        <v>0</v>
      </c>
      <c r="J61" s="104">
        <f t="shared" si="20"/>
        <v>0</v>
      </c>
      <c r="K61" s="104">
        <f t="shared" si="20"/>
        <v>0</v>
      </c>
    </row>
    <row r="62" spans="1:13" x14ac:dyDescent="0.2">
      <c r="A62" s="96" t="s">
        <v>502</v>
      </c>
      <c r="B62" s="104">
        <f t="shared" ref="B62:K62" si="21">+B39/B12</f>
        <v>0</v>
      </c>
      <c r="C62" s="104">
        <f t="shared" si="21"/>
        <v>3.8693313044817858E-2</v>
      </c>
      <c r="D62" s="104">
        <f t="shared" si="21"/>
        <v>5.4376549085498382E-2</v>
      </c>
      <c r="E62" s="104">
        <f t="shared" si="21"/>
        <v>1.0187993472826977E-2</v>
      </c>
      <c r="F62" s="104">
        <f t="shared" si="21"/>
        <v>9.9250521947823068E-3</v>
      </c>
      <c r="G62" s="104">
        <f t="shared" si="21"/>
        <v>9.6681174237882844E-3</v>
      </c>
      <c r="H62" s="104">
        <f t="shared" si="21"/>
        <v>9.4170997220280397E-3</v>
      </c>
      <c r="I62" s="104">
        <f t="shared" si="21"/>
        <v>9.1719078923442054E-3</v>
      </c>
      <c r="J62" s="104">
        <f t="shared" si="21"/>
        <v>8.9324492300226817E-3</v>
      </c>
      <c r="K62" s="104">
        <f t="shared" si="21"/>
        <v>8.6986297605805372E-3</v>
      </c>
    </row>
    <row r="63" spans="1:13" x14ac:dyDescent="0.2">
      <c r="A63" s="96" t="s">
        <v>426</v>
      </c>
      <c r="B63" s="104">
        <f t="shared" ref="B63:K63" si="22">+B40/B12</f>
        <v>4.6103479476519862</v>
      </c>
      <c r="C63" s="104">
        <f t="shared" si="22"/>
        <v>5.1368691005141471</v>
      </c>
      <c r="D63" s="104">
        <f t="shared" si="22"/>
        <v>5.6546398669071376</v>
      </c>
      <c r="E63" s="104">
        <f t="shared" si="22"/>
        <v>6.1899912702687114</v>
      </c>
      <c r="F63" s="104">
        <f t="shared" si="22"/>
        <v>6.7082563645338054</v>
      </c>
      <c r="G63" s="104">
        <f t="shared" si="22"/>
        <v>7.516961068300807</v>
      </c>
      <c r="H63" s="104">
        <f t="shared" si="22"/>
        <v>8.0404606547066475</v>
      </c>
      <c r="I63" s="104">
        <f t="shared" si="22"/>
        <v>8.5713853240311764</v>
      </c>
      <c r="J63" s="104">
        <f t="shared" si="22"/>
        <v>9.0979056131227427</v>
      </c>
      <c r="K63" s="104">
        <f t="shared" si="22"/>
        <v>9.5566438230003019</v>
      </c>
    </row>
    <row r="64" spans="1:13" x14ac:dyDescent="0.2">
      <c r="A64" s="96" t="s">
        <v>195</v>
      </c>
      <c r="B64" s="104">
        <f t="shared" ref="B64:K64" si="23">+B41/B12</f>
        <v>0</v>
      </c>
      <c r="C64" s="104">
        <f t="shared" si="23"/>
        <v>0</v>
      </c>
      <c r="D64" s="104">
        <f t="shared" si="23"/>
        <v>0</v>
      </c>
      <c r="E64" s="104">
        <f t="shared" si="23"/>
        <v>0</v>
      </c>
      <c r="F64" s="104">
        <f t="shared" si="23"/>
        <v>0</v>
      </c>
      <c r="G64" s="104">
        <f t="shared" si="23"/>
        <v>0</v>
      </c>
      <c r="H64" s="104">
        <f t="shared" si="23"/>
        <v>0</v>
      </c>
      <c r="I64" s="104">
        <f t="shared" si="23"/>
        <v>0</v>
      </c>
      <c r="J64" s="104">
        <f t="shared" si="23"/>
        <v>0</v>
      </c>
      <c r="K64" s="104">
        <f t="shared" si="23"/>
        <v>0</v>
      </c>
    </row>
    <row r="65" spans="1:12" x14ac:dyDescent="0.2">
      <c r="A65" s="99" t="s">
        <v>459</v>
      </c>
      <c r="B65" s="105">
        <f>SUM(B48:B64)</f>
        <v>14.716282120455414</v>
      </c>
      <c r="C65" s="105">
        <f t="shared" ref="C65:K65" si="24">SUM(C48:C64)</f>
        <v>15.394501166791443</v>
      </c>
      <c r="D65" s="105">
        <f t="shared" si="24"/>
        <v>16.013855050151975</v>
      </c>
      <c r="E65" s="105">
        <f t="shared" si="24"/>
        <v>16.636968946881467</v>
      </c>
      <c r="F65" s="105">
        <f t="shared" si="24"/>
        <v>17.283471743541849</v>
      </c>
      <c r="G65" s="105">
        <f t="shared" si="24"/>
        <v>17.955629884547879</v>
      </c>
      <c r="H65" s="105">
        <f t="shared" si="24"/>
        <v>18.654562633897342</v>
      </c>
      <c r="I65" s="105">
        <f t="shared" si="24"/>
        <v>19.381349553200486</v>
      </c>
      <c r="J65" s="105">
        <f t="shared" si="24"/>
        <v>20.137107574331736</v>
      </c>
      <c r="K65" s="105">
        <f t="shared" si="24"/>
        <v>20.922997858572828</v>
      </c>
    </row>
    <row r="66" spans="1:12" x14ac:dyDescent="0.2">
      <c r="A66" s="101"/>
      <c r="B66" s="101"/>
      <c r="C66" s="101"/>
      <c r="D66" s="101"/>
      <c r="E66" s="101"/>
      <c r="F66" s="101"/>
      <c r="G66" s="101"/>
      <c r="H66" s="101"/>
      <c r="I66" s="101"/>
      <c r="J66" s="101"/>
      <c r="K66" s="101"/>
      <c r="L66" s="101"/>
    </row>
    <row r="67" spans="1:12" x14ac:dyDescent="0.2">
      <c r="A67" s="101"/>
      <c r="B67" s="103"/>
      <c r="C67" s="103"/>
      <c r="D67" s="103"/>
      <c r="E67" s="103"/>
      <c r="F67" s="103"/>
      <c r="G67" s="103"/>
      <c r="H67" s="103"/>
      <c r="I67" s="103"/>
      <c r="J67" s="103"/>
      <c r="K67" s="103"/>
    </row>
    <row r="68" spans="1:12" x14ac:dyDescent="0.2">
      <c r="A68" s="337" t="s">
        <v>455</v>
      </c>
      <c r="B68" s="338"/>
      <c r="C68" s="339"/>
      <c r="D68" s="103"/>
      <c r="E68" s="103" t="s">
        <v>183</v>
      </c>
      <c r="F68" s="103"/>
      <c r="G68" s="103"/>
      <c r="H68" s="103"/>
      <c r="I68" s="103"/>
      <c r="J68" s="103"/>
      <c r="K68" s="103"/>
    </row>
    <row r="69" spans="1:12" x14ac:dyDescent="0.2">
      <c r="A69" s="106" t="s">
        <v>451</v>
      </c>
      <c r="B69" s="107">
        <f>+B48+B49+B50+B51+B52</f>
        <v>5.3265749715055026</v>
      </c>
      <c r="C69" s="108">
        <f t="shared" ref="C69:C74" si="25">+B69/$B$77</f>
        <v>0.36195113194396034</v>
      </c>
    </row>
    <row r="70" spans="1:12" x14ac:dyDescent="0.2">
      <c r="A70" s="109" t="s">
        <v>452</v>
      </c>
      <c r="B70" s="110">
        <f>+B53+B57+B61+B62</f>
        <v>2.0933357403302488</v>
      </c>
      <c r="C70" s="111">
        <f t="shared" si="25"/>
        <v>0.14224623605309542</v>
      </c>
    </row>
    <row r="71" spans="1:12" x14ac:dyDescent="0.2">
      <c r="A71" s="109" t="s">
        <v>453</v>
      </c>
      <c r="B71" s="110">
        <f>+B54+B55</f>
        <v>0</v>
      </c>
      <c r="C71" s="111">
        <f t="shared" si="25"/>
        <v>0</v>
      </c>
    </row>
    <row r="72" spans="1:12" x14ac:dyDescent="0.2">
      <c r="A72" s="109" t="s">
        <v>454</v>
      </c>
      <c r="B72" s="110">
        <f>+B58+B59+B60</f>
        <v>2.6612415280296786</v>
      </c>
      <c r="C72" s="111">
        <f t="shared" si="25"/>
        <v>0.18083653916437167</v>
      </c>
    </row>
    <row r="73" spans="1:12" x14ac:dyDescent="0.2">
      <c r="A73" s="109" t="s">
        <v>460</v>
      </c>
      <c r="B73" s="110">
        <f>+B63</f>
        <v>4.6103479476519862</v>
      </c>
      <c r="C73" s="111">
        <f t="shared" si="25"/>
        <v>0.31328211228321523</v>
      </c>
    </row>
    <row r="74" spans="1:12" x14ac:dyDescent="0.2">
      <c r="A74" s="109" t="s">
        <v>205</v>
      </c>
      <c r="B74" s="110">
        <f>+B56</f>
        <v>2.4781932937999136E-2</v>
      </c>
      <c r="C74" s="111">
        <f t="shared" si="25"/>
        <v>1.6839805553572945E-3</v>
      </c>
    </row>
    <row r="75" spans="1:12" x14ac:dyDescent="0.2">
      <c r="A75" s="109"/>
      <c r="B75" s="110"/>
      <c r="C75" s="111" t="s">
        <v>183</v>
      </c>
    </row>
    <row r="76" spans="1:12" x14ac:dyDescent="0.2">
      <c r="A76" s="112"/>
      <c r="B76" s="113"/>
      <c r="C76" s="114"/>
    </row>
    <row r="77" spans="1:12" x14ac:dyDescent="0.2">
      <c r="A77" s="65"/>
      <c r="B77" s="103">
        <f>SUM(B69:B76)</f>
        <v>14.716282120455416</v>
      </c>
      <c r="C77" s="115">
        <f>+B77/$B$77</f>
        <v>1</v>
      </c>
    </row>
    <row r="78" spans="1:12" x14ac:dyDescent="0.2">
      <c r="A78" s="65"/>
      <c r="B78" s="116"/>
      <c r="C78" s="103"/>
    </row>
    <row r="79" spans="1:12" x14ac:dyDescent="0.2">
      <c r="A79" s="337" t="s">
        <v>456</v>
      </c>
      <c r="B79" s="338"/>
      <c r="C79" s="339"/>
    </row>
    <row r="80" spans="1:12" x14ac:dyDescent="0.2">
      <c r="A80" s="106" t="s">
        <v>460</v>
      </c>
      <c r="B80" s="107">
        <f>+B73</f>
        <v>4.6103479476519862</v>
      </c>
      <c r="C80" s="108">
        <f>+B80/B82</f>
        <v>1</v>
      </c>
    </row>
    <row r="81" spans="1:3" x14ac:dyDescent="0.2">
      <c r="A81" s="112"/>
      <c r="B81" s="113"/>
      <c r="C81" s="114"/>
    </row>
    <row r="82" spans="1:3" x14ac:dyDescent="0.2">
      <c r="A82" s="65"/>
      <c r="B82" s="105">
        <f>+B80+B81</f>
        <v>4.6103479476519862</v>
      </c>
      <c r="C82" s="117">
        <f>+C80+C81</f>
        <v>1</v>
      </c>
    </row>
    <row r="83" spans="1:3" x14ac:dyDescent="0.2">
      <c r="A83" s="65"/>
      <c r="B83" s="102"/>
      <c r="C83" s="103"/>
    </row>
    <row r="84" spans="1:3" x14ac:dyDescent="0.2">
      <c r="A84" s="65"/>
      <c r="B84" s="102"/>
      <c r="C84" s="103"/>
    </row>
    <row r="85" spans="1:3" x14ac:dyDescent="0.2">
      <c r="A85" s="101"/>
      <c r="B85" s="102"/>
      <c r="C85" s="103"/>
    </row>
    <row r="86" spans="1:3" x14ac:dyDescent="0.2">
      <c r="A86" s="101"/>
      <c r="B86" s="102"/>
      <c r="C86" s="103"/>
    </row>
    <row r="87" spans="1:3" x14ac:dyDescent="0.2">
      <c r="A87" s="101"/>
      <c r="B87" s="102"/>
      <c r="C87" s="103"/>
    </row>
    <row r="88" spans="1:3" x14ac:dyDescent="0.2">
      <c r="A88" s="101"/>
      <c r="B88" s="102"/>
      <c r="C88" s="103"/>
    </row>
    <row r="89" spans="1:3" x14ac:dyDescent="0.2">
      <c r="A89" s="101"/>
      <c r="B89" s="102"/>
      <c r="C89" s="103"/>
    </row>
    <row r="90" spans="1:3" x14ac:dyDescent="0.2">
      <c r="A90" s="101"/>
      <c r="B90" s="102"/>
      <c r="C90" s="103"/>
    </row>
    <row r="91" spans="1:3" x14ac:dyDescent="0.2">
      <c r="A91" s="101"/>
      <c r="B91" s="102"/>
      <c r="C91" s="103"/>
    </row>
    <row r="92" spans="1:3" x14ac:dyDescent="0.2">
      <c r="A92" s="101"/>
      <c r="B92" s="102"/>
      <c r="C92" s="103"/>
    </row>
    <row r="93" spans="1:3" x14ac:dyDescent="0.2">
      <c r="A93" s="101"/>
      <c r="B93" s="102"/>
      <c r="C93" s="103"/>
    </row>
    <row r="94" spans="1:3" x14ac:dyDescent="0.2">
      <c r="A94" s="101"/>
      <c r="B94" s="102"/>
      <c r="C94" s="103"/>
    </row>
    <row r="95" spans="1:3" x14ac:dyDescent="0.2">
      <c r="A95" s="101"/>
      <c r="B95" s="102"/>
      <c r="C95" s="103"/>
    </row>
    <row r="96" spans="1:3" x14ac:dyDescent="0.2">
      <c r="A96" s="101"/>
      <c r="B96" s="102"/>
      <c r="C96" s="103"/>
    </row>
    <row r="97" spans="1:3" x14ac:dyDescent="0.2">
      <c r="A97" s="101"/>
      <c r="B97" s="102"/>
      <c r="C97" s="103"/>
    </row>
    <row r="98" spans="1:3" x14ac:dyDescent="0.2">
      <c r="A98" s="101"/>
      <c r="B98" s="102"/>
      <c r="C98" s="103"/>
    </row>
    <row r="99" spans="1:3" x14ac:dyDescent="0.2">
      <c r="A99" s="101"/>
      <c r="B99" s="102"/>
      <c r="C99" s="103"/>
    </row>
    <row r="100" spans="1:3" x14ac:dyDescent="0.2">
      <c r="A100" s="101"/>
      <c r="B100" s="102"/>
      <c r="C100" s="103"/>
    </row>
    <row r="101" spans="1:3" x14ac:dyDescent="0.2">
      <c r="A101" s="101"/>
      <c r="B101" s="102"/>
      <c r="C101" s="103"/>
    </row>
    <row r="102" spans="1:3" x14ac:dyDescent="0.2">
      <c r="A102" s="101"/>
      <c r="B102" s="102"/>
      <c r="C102" s="103"/>
    </row>
    <row r="103" spans="1:3" x14ac:dyDescent="0.2">
      <c r="A103" s="101"/>
      <c r="B103" s="102"/>
      <c r="C103" s="103"/>
    </row>
    <row r="104" spans="1:3" x14ac:dyDescent="0.2">
      <c r="A104" s="101"/>
      <c r="B104" s="102"/>
      <c r="C104" s="103"/>
    </row>
    <row r="105" spans="1:3" x14ac:dyDescent="0.2">
      <c r="A105" s="101"/>
      <c r="B105" s="102"/>
      <c r="C105" s="103"/>
    </row>
    <row r="106" spans="1:3" x14ac:dyDescent="0.2">
      <c r="C106" s="44" t="s">
        <v>183</v>
      </c>
    </row>
    <row r="128" spans="1:1" x14ac:dyDescent="0.2">
      <c r="A128" s="32" t="s">
        <v>547</v>
      </c>
    </row>
    <row r="129" spans="1:1" x14ac:dyDescent="0.2">
      <c r="A129" s="32" t="s">
        <v>431</v>
      </c>
    </row>
  </sheetData>
  <mergeCells count="4">
    <mergeCell ref="A46:K46"/>
    <mergeCell ref="A23:K23"/>
    <mergeCell ref="A68:C68"/>
    <mergeCell ref="A79:C79"/>
  </mergeCells>
  <printOptions horizontalCentered="1" verticalCentered="1"/>
  <pageMargins left="0.94488188976377963" right="0" top="0" bottom="0" header="0" footer="0"/>
  <pageSetup paperSize="9" scale="75" orientation="landscape" horizontalDpi="355" verticalDpi="464" r:id="rId1"/>
  <headerFooter alignWithMargins="0"/>
  <colBreaks count="1" manualBreakCount="1">
    <brk id="8" max="1048575" man="1"/>
  </col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8"/>
  <sheetViews>
    <sheetView topLeftCell="A2" zoomScale="85" zoomScaleNormal="85" workbookViewId="0">
      <selection activeCell="F3" sqref="F3"/>
    </sheetView>
  </sheetViews>
  <sheetFormatPr baseColWidth="10" defaultColWidth="11.42578125" defaultRowHeight="12.75" x14ac:dyDescent="0.2"/>
  <cols>
    <col min="1" max="1" width="34" style="2" customWidth="1"/>
    <col min="2" max="2" width="9.7109375" style="2" bestFit="1" customWidth="1"/>
    <col min="3" max="3" width="12.28515625" style="2" bestFit="1" customWidth="1"/>
    <col min="4" max="4" width="7.5703125" style="2" bestFit="1" customWidth="1"/>
    <col min="5" max="5" width="11.28515625" style="2" bestFit="1" customWidth="1"/>
    <col min="6" max="6" width="8.85546875" style="2" customWidth="1"/>
    <col min="7" max="7" width="11.28515625" style="2" bestFit="1" customWidth="1"/>
    <col min="8" max="8" width="11.7109375" style="2" bestFit="1" customWidth="1"/>
    <col min="9" max="9" width="10.28515625" style="2" bestFit="1" customWidth="1"/>
    <col min="10" max="10" width="13.42578125" style="2" bestFit="1" customWidth="1"/>
    <col min="11" max="12" width="13" style="2" bestFit="1" customWidth="1"/>
    <col min="13" max="16384" width="11.42578125" style="2"/>
  </cols>
  <sheetData>
    <row r="2" spans="1:10" x14ac:dyDescent="0.2">
      <c r="A2" s="1" t="s">
        <v>140</v>
      </c>
    </row>
    <row r="3" spans="1:10" x14ac:dyDescent="0.2">
      <c r="A3" s="1" t="s">
        <v>115</v>
      </c>
    </row>
    <row r="8" spans="1:10" ht="15.75" x14ac:dyDescent="0.25">
      <c r="C8" s="342" t="s">
        <v>173</v>
      </c>
      <c r="D8" s="343"/>
      <c r="E8" s="343"/>
      <c r="F8" s="343"/>
      <c r="G8" s="343"/>
      <c r="H8" s="343"/>
      <c r="I8" s="343"/>
      <c r="J8" s="344"/>
    </row>
    <row r="9" spans="1:10" ht="29.25" customHeight="1" x14ac:dyDescent="0.2">
      <c r="A9" s="345" t="str">
        <f>+Tarifa!A3</f>
        <v>Tipo de</v>
      </c>
      <c r="B9" s="345" t="s">
        <v>172</v>
      </c>
      <c r="C9" s="340" t="s">
        <v>174</v>
      </c>
      <c r="D9" s="341"/>
      <c r="E9" s="340" t="s">
        <v>177</v>
      </c>
      <c r="F9" s="341"/>
      <c r="G9" s="340" t="s">
        <v>179</v>
      </c>
      <c r="H9" s="341"/>
      <c r="I9" s="340" t="s">
        <v>184</v>
      </c>
      <c r="J9" s="341"/>
    </row>
    <row r="10" spans="1:10" x14ac:dyDescent="0.2">
      <c r="A10" s="346"/>
      <c r="B10" s="347"/>
      <c r="C10" s="11" t="s">
        <v>176</v>
      </c>
      <c r="D10" s="11" t="s">
        <v>182</v>
      </c>
      <c r="E10" s="11" t="s">
        <v>178</v>
      </c>
      <c r="F10" s="11" t="s">
        <v>175</v>
      </c>
      <c r="G10" s="11" t="s">
        <v>180</v>
      </c>
      <c r="H10" s="22" t="s">
        <v>181</v>
      </c>
      <c r="I10" s="11" t="s">
        <v>185</v>
      </c>
      <c r="J10" s="11" t="s">
        <v>186</v>
      </c>
    </row>
    <row r="11" spans="1:10" x14ac:dyDescent="0.2">
      <c r="A11" s="3" t="str">
        <f>+Tarifa!A6</f>
        <v>Livianos</v>
      </c>
      <c r="B11" s="19">
        <f>+Ing.!E12</f>
        <v>298102.57199999999</v>
      </c>
      <c r="C11" s="18">
        <f>+B11</f>
        <v>298102.57199999999</v>
      </c>
      <c r="D11" s="12">
        <f>+Tarifa!H6</f>
        <v>19.169999999999995</v>
      </c>
      <c r="E11" s="5">
        <f>+C11*0.3</f>
        <v>89430.771599999993</v>
      </c>
      <c r="F11" s="12">
        <v>0</v>
      </c>
      <c r="G11" s="18">
        <f>+E11*0.1</f>
        <v>8943.0771599999989</v>
      </c>
      <c r="H11" s="12" t="str">
        <f>+Tarifa!K21</f>
        <v xml:space="preserve"> </v>
      </c>
      <c r="I11" s="5">
        <f>+G11*0.02</f>
        <v>178.86154319999997</v>
      </c>
      <c r="J11" s="8">
        <f>+D11</f>
        <v>19.169999999999995</v>
      </c>
    </row>
    <row r="12" spans="1:10" x14ac:dyDescent="0.2">
      <c r="A12" s="4" t="str">
        <f>+Tarifa!A7</f>
        <v>Taxis/busetas</v>
      </c>
      <c r="B12" s="20">
        <f>+Ing.!E13</f>
        <v>22437.828000000005</v>
      </c>
      <c r="C12" s="16">
        <f>+B12</f>
        <v>22437.828000000005</v>
      </c>
      <c r="D12" s="13">
        <f>+Tarifa!H7</f>
        <v>12.985714285714284</v>
      </c>
      <c r="E12" s="6">
        <f>+C12*0.3</f>
        <v>6731.3484000000017</v>
      </c>
      <c r="F12" s="13">
        <v>0</v>
      </c>
      <c r="G12" s="16">
        <f>+E12*0.1</f>
        <v>673.13484000000017</v>
      </c>
      <c r="H12" s="13" t="str">
        <f>+Tarifa!K22</f>
        <v xml:space="preserve">  </v>
      </c>
      <c r="I12" s="6">
        <f>+G12*0.02</f>
        <v>13.462696800000003</v>
      </c>
      <c r="J12" s="9">
        <f>+D12</f>
        <v>12.985714285714284</v>
      </c>
    </row>
    <row r="13" spans="1:10" x14ac:dyDescent="0.2">
      <c r="A13" s="4" t="str">
        <f>+Tarifa!A8</f>
        <v>Pesados</v>
      </c>
      <c r="B13" s="20">
        <f>+Ing.!E14</f>
        <v>13697.2</v>
      </c>
      <c r="C13" s="16">
        <f>+B13</f>
        <v>13697.2</v>
      </c>
      <c r="D13" s="13">
        <f>+Tarifa!H8</f>
        <v>30.381428571428561</v>
      </c>
      <c r="E13" s="6">
        <f>+C13*0.3</f>
        <v>4109.16</v>
      </c>
      <c r="F13" s="13">
        <v>0</v>
      </c>
      <c r="G13" s="16">
        <f>+E13*0.1</f>
        <v>410.916</v>
      </c>
      <c r="H13" s="13" t="str">
        <f>+Tarifa!K23</f>
        <v xml:space="preserve"> </v>
      </c>
      <c r="I13" s="6">
        <f>+G13*0.02</f>
        <v>8.2183200000000003</v>
      </c>
      <c r="J13" s="9">
        <f>+D13</f>
        <v>30.381428571428561</v>
      </c>
    </row>
    <row r="14" spans="1:10" x14ac:dyDescent="0.2">
      <c r="A14" s="4" t="str">
        <f>+Tarifa!A9</f>
        <v>Buses</v>
      </c>
      <c r="B14" s="20">
        <f>+Ing.!E15</f>
        <v>11206.800000000001</v>
      </c>
      <c r="C14" s="16">
        <f>+B14</f>
        <v>11206.800000000001</v>
      </c>
      <c r="D14" s="13">
        <f>+Tarifa!H9</f>
        <v>25.495714285714278</v>
      </c>
      <c r="E14" s="6">
        <f>+C14*0.3</f>
        <v>3362.0400000000004</v>
      </c>
      <c r="F14" s="13">
        <v>0</v>
      </c>
      <c r="G14" s="16">
        <f>+E14*0.1</f>
        <v>336.20400000000006</v>
      </c>
      <c r="H14" s="13" t="str">
        <f>+Tarifa!K24</f>
        <v xml:space="preserve"> </v>
      </c>
      <c r="I14" s="6">
        <f>+G14*0.02</f>
        <v>6.7240800000000016</v>
      </c>
      <c r="J14" s="9">
        <f>+D14</f>
        <v>25.495714285714278</v>
      </c>
    </row>
    <row r="15" spans="1:10" x14ac:dyDescent="0.2">
      <c r="A15" s="21" t="str">
        <f>+Tarifa!A10</f>
        <v>Motos y otros</v>
      </c>
      <c r="B15" s="20">
        <f>+Ing.!E16</f>
        <v>20279.7</v>
      </c>
      <c r="C15" s="17">
        <f>+B15</f>
        <v>20279.7</v>
      </c>
      <c r="D15" s="14">
        <f>+Tarifa!H10</f>
        <v>11.269285714285711</v>
      </c>
      <c r="E15" s="7">
        <f>+C15*0.3</f>
        <v>6083.91</v>
      </c>
      <c r="F15" s="14">
        <v>0</v>
      </c>
      <c r="G15" s="17">
        <f>+E15*0.1</f>
        <v>608.39099999999996</v>
      </c>
      <c r="H15" s="14" t="str">
        <f>+Tarifa!K25</f>
        <v xml:space="preserve"> </v>
      </c>
      <c r="I15" s="7">
        <f>+G15*0.02</f>
        <v>12.167819999999999</v>
      </c>
      <c r="J15" s="10">
        <f>+D15</f>
        <v>11.269285714285711</v>
      </c>
    </row>
    <row r="16" spans="1:10" x14ac:dyDescent="0.2">
      <c r="B16" s="15">
        <f>SUM(B11:B15)</f>
        <v>365724.1</v>
      </c>
      <c r="C16" s="15">
        <f>SUM(C11:C15)</f>
        <v>365724.1</v>
      </c>
      <c r="E16" s="15">
        <f>SUM(E11:E15)</f>
        <v>109717.23</v>
      </c>
      <c r="G16" s="15">
        <f>SUM(G11:G15)</f>
        <v>10971.722999999998</v>
      </c>
      <c r="I16" s="15">
        <f>SUM(I11:I15)</f>
        <v>219.43446</v>
      </c>
    </row>
    <row r="18" spans="8:8" x14ac:dyDescent="0.2">
      <c r="H18" s="2" t="s">
        <v>183</v>
      </c>
    </row>
  </sheetData>
  <mergeCells count="7">
    <mergeCell ref="I9:J9"/>
    <mergeCell ref="C8:J8"/>
    <mergeCell ref="C9:D9"/>
    <mergeCell ref="A9:A10"/>
    <mergeCell ref="B9:B10"/>
    <mergeCell ref="E9:F9"/>
    <mergeCell ref="G9:H9"/>
  </mergeCells>
  <printOptions horizontalCentered="1" verticalCentered="1"/>
  <pageMargins left="0.92870078740157491" right="0" top="0" bottom="0" header="0" footer="0"/>
  <pageSetup paperSize="9" scale="86" orientation="landscape" horizontalDpi="355" verticalDpi="464" r:id="rId1"/>
  <headerFooter alignWithMargins="0"/>
  <colBreaks count="1" manualBreakCount="1">
    <brk id="10" max="1048575" man="1"/>
  </col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33"/>
  <sheetViews>
    <sheetView tabSelected="1" zoomScaleNormal="100" workbookViewId="0">
      <selection activeCell="B26" sqref="B26"/>
    </sheetView>
  </sheetViews>
  <sheetFormatPr baseColWidth="10" defaultColWidth="11.42578125" defaultRowHeight="12" x14ac:dyDescent="0.2"/>
  <cols>
    <col min="1" max="1" width="3" style="258" customWidth="1"/>
    <col min="2" max="2" width="36.140625" style="258" bestFit="1" customWidth="1"/>
    <col min="3" max="3" width="12" style="258" bestFit="1" customWidth="1"/>
    <col min="4" max="4" width="3" style="258" customWidth="1"/>
    <col min="5" max="5" width="34.7109375" style="258" bestFit="1" customWidth="1"/>
    <col min="6" max="6" width="12" style="258" bestFit="1" customWidth="1"/>
    <col min="7" max="7" width="3" style="258" customWidth="1"/>
    <col min="8" max="8" width="21" style="258" bestFit="1" customWidth="1"/>
    <col min="9" max="9" width="11.5703125" style="258" bestFit="1" customWidth="1"/>
    <col min="10" max="10" width="13.28515625" style="258" bestFit="1" customWidth="1"/>
    <col min="11" max="11" width="3" style="258" customWidth="1"/>
    <col min="12" max="12" width="16" style="258" bestFit="1" customWidth="1"/>
    <col min="13" max="13" width="11" style="258" bestFit="1" customWidth="1"/>
    <col min="14" max="14" width="16" style="258" bestFit="1" customWidth="1"/>
    <col min="15" max="15" width="11" style="258" bestFit="1" customWidth="1"/>
    <col min="16" max="16" width="3" style="258" customWidth="1"/>
    <col min="17" max="17" width="34.7109375" style="258" bestFit="1" customWidth="1"/>
    <col min="18" max="18" width="12" style="258" bestFit="1" customWidth="1"/>
    <col min="19" max="19" width="3" style="258" customWidth="1"/>
    <col min="20" max="20" width="31" style="258" bestFit="1" customWidth="1"/>
    <col min="21" max="21" width="11.5703125" style="258" bestFit="1" customWidth="1"/>
    <col min="22" max="22" width="11.5703125" style="261" bestFit="1" customWidth="1"/>
    <col min="23" max="23" width="11.42578125" style="261"/>
    <col min="24" max="16384" width="11.42578125" style="258"/>
  </cols>
  <sheetData>
    <row r="1" spans="2:23" x14ac:dyDescent="0.2">
      <c r="U1" s="259"/>
      <c r="V1" s="260"/>
    </row>
    <row r="2" spans="2:23" s="262" customFormat="1" x14ac:dyDescent="0.2">
      <c r="B2" s="348" t="s">
        <v>618</v>
      </c>
      <c r="C2" s="349"/>
      <c r="E2" s="348" t="s">
        <v>617</v>
      </c>
      <c r="F2" s="349"/>
      <c r="H2" s="348" t="s">
        <v>619</v>
      </c>
      <c r="I2" s="350"/>
      <c r="J2" s="349"/>
      <c r="L2" s="348" t="s">
        <v>620</v>
      </c>
      <c r="M2" s="350"/>
      <c r="N2" s="350"/>
      <c r="O2" s="349"/>
      <c r="Q2" s="348" t="s">
        <v>621</v>
      </c>
      <c r="R2" s="349"/>
      <c r="T2" s="348" t="s">
        <v>623</v>
      </c>
      <c r="U2" s="349"/>
      <c r="V2" s="263"/>
      <c r="W2" s="263"/>
    </row>
    <row r="3" spans="2:23" s="262" customFormat="1" x14ac:dyDescent="0.2">
      <c r="B3" s="264"/>
      <c r="C3" s="265"/>
      <c r="E3" s="264"/>
      <c r="F3" s="265"/>
      <c r="H3" s="266"/>
      <c r="I3" s="267"/>
      <c r="J3" s="268"/>
      <c r="L3" s="278"/>
      <c r="M3" s="279"/>
      <c r="N3" s="279"/>
      <c r="O3" s="280"/>
      <c r="Q3" s="264"/>
      <c r="R3" s="265"/>
      <c r="T3" s="264"/>
      <c r="U3" s="265"/>
      <c r="V3" s="263"/>
      <c r="W3" s="263"/>
    </row>
    <row r="4" spans="2:23" x14ac:dyDescent="0.2">
      <c r="B4" s="269" t="str">
        <f>Ing.!A188</f>
        <v>Total Bruto:</v>
      </c>
      <c r="C4" s="270">
        <f>SUM(C5:C8)</f>
        <v>119554635.50964831</v>
      </c>
      <c r="E4" s="269" t="str">
        <f>PyG!A7</f>
        <v>Ventas</v>
      </c>
      <c r="F4" s="270">
        <f>SUM(PyG!C7:L7)</f>
        <v>119554635.50964834</v>
      </c>
      <c r="H4" s="264"/>
      <c r="I4" s="263" t="str">
        <f>Deprec.!A9</f>
        <v>Inversiones</v>
      </c>
      <c r="J4" s="265" t="str">
        <f>Deprec.!A36</f>
        <v>Reposiciones</v>
      </c>
      <c r="K4" s="262"/>
      <c r="L4" s="351" t="str">
        <f>Amort.!A152</f>
        <v>Anualidades</v>
      </c>
      <c r="M4" s="352"/>
      <c r="N4" s="351" t="str">
        <f>Amort.!A167</f>
        <v>Intereses</v>
      </c>
      <c r="O4" s="353"/>
      <c r="P4" s="262"/>
      <c r="Q4" s="269" t="str">
        <f>PyG!A7</f>
        <v>Ventas</v>
      </c>
      <c r="R4" s="270">
        <f>SUM(PyG!C7:L7)</f>
        <v>119554635.50964834</v>
      </c>
      <c r="S4" s="262"/>
      <c r="T4" s="269" t="str">
        <f>Evaluación!A6</f>
        <v>PROYECTO TOTAL (OPERADOR)</v>
      </c>
      <c r="U4" s="271">
        <f>Evaluación!C6</f>
        <v>1</v>
      </c>
      <c r="V4" s="272"/>
    </row>
    <row r="5" spans="2:23" x14ac:dyDescent="0.2">
      <c r="B5" s="269" t="str">
        <f>Ing.!A189</f>
        <v>1era. Revisión</v>
      </c>
      <c r="C5" s="270">
        <f>SUM(Ing.!E189:N189)</f>
        <v>118091178.90319449</v>
      </c>
      <c r="E5" s="269"/>
      <c r="F5" s="270"/>
      <c r="H5" s="269" t="str">
        <f>Deprec.!A8</f>
        <v>Estaciones MDMQ</v>
      </c>
      <c r="I5" s="261">
        <f>SUM(Deprec.!M34)</f>
        <v>7184300</v>
      </c>
      <c r="J5" s="270">
        <f>Deprec.!M61</f>
        <v>2351727.4485880355</v>
      </c>
      <c r="L5" s="269" t="str">
        <f>Amort.!A153</f>
        <v>Inversión Inicial</v>
      </c>
      <c r="M5" s="261">
        <f>Amort.!B153</f>
        <v>21878286.323552664</v>
      </c>
      <c r="N5" s="269" t="str">
        <f>Amort.!A168</f>
        <v>Inversión Inicial</v>
      </c>
      <c r="O5" s="270">
        <f>Amort.!B168</f>
        <v>9170553.174352672</v>
      </c>
      <c r="Q5" s="269"/>
      <c r="R5" s="270"/>
      <c r="T5" s="269"/>
      <c r="U5" s="270"/>
    </row>
    <row r="6" spans="2:23" x14ac:dyDescent="0.2">
      <c r="B6" s="269" t="str">
        <f>Ing.!A190</f>
        <v>2da. Revisión</v>
      </c>
      <c r="C6" s="270">
        <f>SUM(Ing.!E190:N190)</f>
        <v>0</v>
      </c>
      <c r="E6" s="264" t="str">
        <f>PyG!A9</f>
        <v>Gastos operativos</v>
      </c>
      <c r="F6" s="270"/>
      <c r="H6" s="266" t="s">
        <v>625</v>
      </c>
      <c r="I6" s="263">
        <f>SUM(I5:I5)</f>
        <v>7184300</v>
      </c>
      <c r="J6" s="265">
        <f>SUM(J5:J5)</f>
        <v>2351727.4485880355</v>
      </c>
      <c r="L6" s="269" t="str">
        <f>Amort.!A154</f>
        <v>Año 1</v>
      </c>
      <c r="M6" s="261">
        <f>Amort.!B154</f>
        <v>321219.11251802521</v>
      </c>
      <c r="N6" s="269" t="str">
        <f>Amort.!A169</f>
        <v>Año 1</v>
      </c>
      <c r="O6" s="270">
        <f>Amort.!B169</f>
        <v>281790.83256026043</v>
      </c>
      <c r="Q6" s="264" t="str">
        <f>PyG!A9</f>
        <v>Gastos operativos</v>
      </c>
      <c r="R6" s="270"/>
      <c r="T6" s="269" t="str">
        <f>Evaluación!A10</f>
        <v>Inversión</v>
      </c>
      <c r="U6" s="270">
        <f>SUM(Evaluación!C10:M10)</f>
        <v>-12707733.1492</v>
      </c>
    </row>
    <row r="7" spans="2:23" x14ac:dyDescent="0.2">
      <c r="B7" s="269" t="str">
        <f>Ing.!A191</f>
        <v>3era. Revisión</v>
      </c>
      <c r="C7" s="270">
        <f>SUM(Ing.!E191:N191)</f>
        <v>1331798.4113740297</v>
      </c>
      <c r="E7" s="269" t="str">
        <f>PyG!A10</f>
        <v>Estaciones MDMQ</v>
      </c>
      <c r="F7" s="270">
        <f>SUM(PyG!C10:L10)</f>
        <v>35475389.973239809</v>
      </c>
      <c r="H7" s="273"/>
      <c r="I7" s="277"/>
      <c r="J7" s="274"/>
      <c r="L7" s="269" t="str">
        <f>Amort.!A155</f>
        <v>Año 2</v>
      </c>
      <c r="M7" s="261">
        <f>Amort.!B155</f>
        <v>364655.56966008968</v>
      </c>
      <c r="N7" s="269" t="str">
        <f>Amort.!A170</f>
        <v>Año 2</v>
      </c>
      <c r="O7" s="270">
        <f>Amort.!B170</f>
        <v>130942.86566008977</v>
      </c>
      <c r="Q7" s="269" t="str">
        <f>PyG!A10</f>
        <v>Estaciones MDMQ</v>
      </c>
      <c r="R7" s="270">
        <f t="shared" ref="R7:R13" si="0">VLOOKUP(Q7,$E$7:$F$28,2,0)</f>
        <v>35475389.973239809</v>
      </c>
      <c r="T7" s="269" t="str">
        <f>Evaluación!A11</f>
        <v>Flujo neto generado</v>
      </c>
      <c r="U7" s="270">
        <f>SUM(Evaluación!C11:M11)</f>
        <v>32925889.243822213</v>
      </c>
    </row>
    <row r="8" spans="2:23" x14ac:dyDescent="0.2">
      <c r="B8" s="273" t="str">
        <f>Ing.!A192</f>
        <v>Cuarta Revisión</v>
      </c>
      <c r="C8" s="274">
        <f>SUM(Ing.!E192:N192)</f>
        <v>131658.19507979471</v>
      </c>
      <c r="E8" s="269" t="str">
        <f>PyG!A18</f>
        <v>Central:</v>
      </c>
      <c r="F8" s="270">
        <f>SUM(PyG!C18:L18)</f>
        <v>4848047.3684544284</v>
      </c>
      <c r="L8" s="273" t="str">
        <f>Amort.!A156</f>
        <v>Año 3</v>
      </c>
      <c r="M8" s="277">
        <f>Amort.!B156</f>
        <v>323051.04426899564</v>
      </c>
      <c r="N8" s="273" t="str">
        <f>Amort.!A171</f>
        <v>Año 3</v>
      </c>
      <c r="O8" s="274">
        <f>Amort.!B171</f>
        <v>105189.83210899591</v>
      </c>
      <c r="Q8" s="269" t="str">
        <f>PyG!A18</f>
        <v>Central:</v>
      </c>
      <c r="R8" s="270">
        <f t="shared" si="0"/>
        <v>4848047.3684544284</v>
      </c>
      <c r="T8" s="269" t="str">
        <f>Evaluación!A12</f>
        <v>Interes (Préstamos)</v>
      </c>
      <c r="U8" s="270">
        <f>SUM(Evaluación!C12:M12)</f>
        <v>710031.78052119585</v>
      </c>
    </row>
    <row r="9" spans="2:23" x14ac:dyDescent="0.2">
      <c r="E9" s="269" t="str">
        <f>PyG!A26</f>
        <v>Socios Técnologico</v>
      </c>
      <c r="F9" s="270">
        <f>SUM(PyG!C26:L26)</f>
        <v>0</v>
      </c>
      <c r="Q9" s="269" t="str">
        <f>PyG!A26</f>
        <v>Socios Técnologico</v>
      </c>
      <c r="R9" s="270">
        <f t="shared" si="0"/>
        <v>0</v>
      </c>
      <c r="T9" s="269" t="str">
        <f>Evaluación!A13</f>
        <v>Valor residual</v>
      </c>
      <c r="U9" s="270">
        <f>SUM(Evaluación!C13:M13)</f>
        <v>0</v>
      </c>
      <c r="V9" s="263"/>
    </row>
    <row r="10" spans="2:23" x14ac:dyDescent="0.2">
      <c r="B10" s="348" t="s">
        <v>643</v>
      </c>
      <c r="C10" s="349"/>
      <c r="E10" s="269" t="str">
        <f>PyG!A32</f>
        <v>Gestor de recaudo</v>
      </c>
      <c r="F10" s="270">
        <f>SUM(PyG!C32:L32)</f>
        <v>0</v>
      </c>
      <c r="Q10" s="269" t="str">
        <f>PyG!A32</f>
        <v>Gestor de recaudo</v>
      </c>
      <c r="R10" s="270">
        <f t="shared" si="0"/>
        <v>0</v>
      </c>
      <c r="T10" s="269" t="str">
        <f>Evaluación!A14</f>
        <v>Flujo neto</v>
      </c>
      <c r="U10" s="270">
        <f>SUM(Evaluación!C14:M14)</f>
        <v>20928187.875143409</v>
      </c>
      <c r="V10" s="263"/>
    </row>
    <row r="11" spans="2:23" x14ac:dyDescent="0.2">
      <c r="B11" s="264"/>
      <c r="C11" s="265"/>
      <c r="E11" s="269" t="str">
        <f>PyG!A38</f>
        <v>Exonerados (Carros Nuevos)</v>
      </c>
      <c r="F11" s="270">
        <f>SUM(PyG!C38:L38)</f>
        <v>0</v>
      </c>
      <c r="Q11" s="269" t="str">
        <f>PyG!A38</f>
        <v>Exonerados (Carros Nuevos)</v>
      </c>
      <c r="R11" s="270">
        <f t="shared" si="0"/>
        <v>0</v>
      </c>
      <c r="T11" s="269"/>
      <c r="U11" s="270"/>
      <c r="V11" s="272"/>
    </row>
    <row r="12" spans="2:23" x14ac:dyDescent="0.2">
      <c r="B12" s="264" t="s">
        <v>0</v>
      </c>
      <c r="C12" s="270">
        <f>Ing.!E194</f>
        <v>3103757.1366480016</v>
      </c>
      <c r="E12" s="269" t="str">
        <f>PyG!A39</f>
        <v>Amortización de Gastos Preoperativos</v>
      </c>
      <c r="F12" s="270">
        <f>SUM(PyG!C39:L39)</f>
        <v>1287500</v>
      </c>
      <c r="Q12" s="269" t="str">
        <f>PyG!A39</f>
        <v>Amortización de Gastos Preoperativos</v>
      </c>
      <c r="R12" s="270">
        <f t="shared" si="0"/>
        <v>1287500</v>
      </c>
      <c r="T12" s="269" t="str">
        <f>Evaluación!A16</f>
        <v>Tasa de descuento</v>
      </c>
      <c r="U12" s="271">
        <f>SUM(Evaluación!C16:M16)</f>
        <v>0.12</v>
      </c>
    </row>
    <row r="13" spans="2:23" x14ac:dyDescent="0.2">
      <c r="B13" s="264" t="s">
        <v>1</v>
      </c>
      <c r="C13" s="270">
        <f>Ing.!F194</f>
        <v>3465798.0827002409</v>
      </c>
      <c r="E13" s="269" t="str">
        <f>PyG!A40</f>
        <v>Acreditación y Auditoría ISO 17020</v>
      </c>
      <c r="F13" s="270">
        <f>SUM(PyG!C40:L40)</f>
        <v>97389.766885375997</v>
      </c>
      <c r="Q13" s="269" t="str">
        <f>PyG!A40</f>
        <v>Acreditación y Auditoría ISO 17020</v>
      </c>
      <c r="R13" s="270">
        <f t="shared" si="0"/>
        <v>97389.766885375997</v>
      </c>
      <c r="T13" s="269" t="str">
        <f>Evaluación!A17</f>
        <v>VAN ($)</v>
      </c>
      <c r="U13" s="270">
        <f>SUM(Evaluación!C17:M17)</f>
        <v>3736500.7651601471</v>
      </c>
    </row>
    <row r="14" spans="2:23" x14ac:dyDescent="0.2">
      <c r="B14" s="264" t="s">
        <v>2</v>
      </c>
      <c r="C14" s="270">
        <f>Ing.!G194</f>
        <v>3848124.0444229762</v>
      </c>
      <c r="E14" s="264" t="str">
        <f>PyG!A41</f>
        <v>Totales</v>
      </c>
      <c r="F14" s="265">
        <f>SUM(F6:F13)</f>
        <v>41708327.108579613</v>
      </c>
      <c r="Q14" s="264" t="str">
        <f>PyG!A41</f>
        <v>Totales</v>
      </c>
      <c r="R14" s="265">
        <f>SUM(R7:R13)</f>
        <v>41708327.108579613</v>
      </c>
      <c r="T14" s="269" t="str">
        <f>Evaluación!A18</f>
        <v>TIR</v>
      </c>
      <c r="U14" s="275">
        <f>SUM(Evaluación!C18:M18)</f>
        <v>0.17209270978252711</v>
      </c>
    </row>
    <row r="15" spans="2:23" x14ac:dyDescent="0.2">
      <c r="B15" s="264" t="s">
        <v>3</v>
      </c>
      <c r="C15" s="270">
        <f>Ing.!H194</f>
        <v>4267567.0759389084</v>
      </c>
      <c r="E15" s="269"/>
      <c r="F15" s="270"/>
      <c r="Q15" s="269"/>
      <c r="R15" s="270"/>
      <c r="T15" s="273"/>
      <c r="U15" s="274"/>
    </row>
    <row r="16" spans="2:23" x14ac:dyDescent="0.2">
      <c r="B16" s="264" t="s">
        <v>4</v>
      </c>
      <c r="C16" s="270">
        <f>Ing.!I194</f>
        <v>4732889.1389349457</v>
      </c>
      <c r="E16" s="269" t="str">
        <f>PyG!A44</f>
        <v>Utilidad operacional</v>
      </c>
      <c r="F16" s="270">
        <f>SUM(PyG!C44:L44)</f>
        <v>77846308.401068717</v>
      </c>
      <c r="Q16" s="269" t="str">
        <f>PyG!A44</f>
        <v>Utilidad operacional</v>
      </c>
      <c r="R16" s="270">
        <f>SUM(PyG!C44:L44)</f>
        <v>77846308.401068717</v>
      </c>
    </row>
    <row r="17" spans="2:22" x14ac:dyDescent="0.2">
      <c r="B17" s="264" t="s">
        <v>5</v>
      </c>
      <c r="C17" s="270">
        <f>Ing.!J194</f>
        <v>5249527.496948678</v>
      </c>
      <c r="E17" s="269"/>
      <c r="F17" s="270"/>
      <c r="Q17" s="269"/>
      <c r="R17" s="270"/>
    </row>
    <row r="18" spans="2:22" x14ac:dyDescent="0.2">
      <c r="B18" s="264" t="s">
        <v>6</v>
      </c>
      <c r="C18" s="270">
        <f>Ing.!K194</f>
        <v>5823213.6944559086</v>
      </c>
      <c r="E18" s="264" t="str">
        <f>PyG!A46</f>
        <v>Gastos no operativos</v>
      </c>
      <c r="F18" s="270">
        <f>SUM(PyG!C46:L46)</f>
        <v>28832265.288108774</v>
      </c>
      <c r="Q18" s="264" t="str">
        <f>PyG!A46</f>
        <v>Gastos no operativos</v>
      </c>
      <c r="R18" s="270">
        <f>SUM(PyG!C46:L46)</f>
        <v>28832265.288108774</v>
      </c>
    </row>
    <row r="19" spans="2:22" x14ac:dyDescent="0.2">
      <c r="B19" s="264" t="s">
        <v>7</v>
      </c>
      <c r="C19" s="270">
        <f>Ing.!L194</f>
        <v>6460297.1555867195</v>
      </c>
      <c r="E19" s="269" t="str">
        <f>PyG!A47</f>
        <v>Externalizaciones</v>
      </c>
      <c r="F19" s="270">
        <f>SUM(PyG!C47:L47)</f>
        <v>144073.28547550319</v>
      </c>
      <c r="Q19" s="269" t="str">
        <f>PyG!A47</f>
        <v>Externalizaciones</v>
      </c>
      <c r="R19" s="270">
        <f>SUM(PyG!C47:L47)</f>
        <v>144073.28547550319</v>
      </c>
      <c r="V19" s="272"/>
    </row>
    <row r="20" spans="2:22" x14ac:dyDescent="0.2">
      <c r="B20" s="264" t="s">
        <v>8</v>
      </c>
      <c r="C20" s="270">
        <f>Ing.!M194</f>
        <v>7167835.6369949356</v>
      </c>
      <c r="E20" s="269" t="str">
        <f>PyG!A48</f>
        <v>Interés (Préstamos)</v>
      </c>
      <c r="F20" s="270">
        <f>SUM(PyG!C48:L48)</f>
        <v>710031.78052119585</v>
      </c>
      <c r="Q20" s="269" t="str">
        <f>PyG!A48</f>
        <v>Interés (Préstamos)</v>
      </c>
      <c r="R20" s="270">
        <f>SUM(PyG!C48:L48)</f>
        <v>710031.78052119585</v>
      </c>
    </row>
    <row r="21" spans="2:22" x14ac:dyDescent="0.2">
      <c r="B21" s="264" t="s">
        <v>9</v>
      </c>
      <c r="C21" s="270">
        <f>Ing.!N194</f>
        <v>7953676.2260155315</v>
      </c>
      <c r="E21" s="269" t="str">
        <f>PyG!A49</f>
        <v>Impuestos Varios</v>
      </c>
      <c r="F21" s="270">
        <f>SUM(PyG!C49:L49)</f>
        <v>107429.82454661692</v>
      </c>
      <c r="Q21" s="269" t="str">
        <f>PyG!A49</f>
        <v>Impuestos Varios</v>
      </c>
      <c r="R21" s="270">
        <f>SUM(PyG!C49:L49)</f>
        <v>107429.82454661692</v>
      </c>
      <c r="V21" s="276"/>
    </row>
    <row r="22" spans="2:22" x14ac:dyDescent="0.2">
      <c r="B22" s="269"/>
      <c r="C22" s="270"/>
      <c r="E22" s="269" t="str">
        <f>PyG!A50</f>
        <v>Utilidades a Trabajadores</v>
      </c>
      <c r="F22" s="270">
        <f>SUM(PyG!C50:L50)</f>
        <v>11532716.02657881</v>
      </c>
      <c r="Q22" s="269" t="str">
        <f>PyG!A50</f>
        <v>Utilidades a Trabajadores</v>
      </c>
      <c r="R22" s="270">
        <f>SUM(PyG!C50:L50)</f>
        <v>11532716.02657881</v>
      </c>
    </row>
    <row r="23" spans="2:22" x14ac:dyDescent="0.2">
      <c r="B23" s="284" t="s">
        <v>31</v>
      </c>
      <c r="C23" s="285">
        <f>SUM(C12:C21)</f>
        <v>52072685.688646846</v>
      </c>
      <c r="E23" s="269" t="str">
        <f>PyG!A51</f>
        <v>Impuesto a la renta</v>
      </c>
      <c r="F23" s="270">
        <f>SUM(PyG!C51:L51)</f>
        <v>16338014.370986648</v>
      </c>
      <c r="Q23" s="269" t="str">
        <f>PyG!A51</f>
        <v>Impuesto a la renta</v>
      </c>
      <c r="R23" s="270">
        <f>SUM(PyG!C51:L51)</f>
        <v>16338014.370986648</v>
      </c>
    </row>
    <row r="24" spans="2:22" x14ac:dyDescent="0.2">
      <c r="E24" s="264" t="s">
        <v>226</v>
      </c>
      <c r="F24" s="265">
        <f>SUM(F18:F23)</f>
        <v>57664530.576217547</v>
      </c>
      <c r="Q24" s="264" t="s">
        <v>226</v>
      </c>
      <c r="R24" s="265">
        <f>SUM(R18:R23)</f>
        <v>57664530.576217547</v>
      </c>
    </row>
    <row r="25" spans="2:22" x14ac:dyDescent="0.2">
      <c r="E25" s="269"/>
      <c r="F25" s="270"/>
      <c r="Q25" s="269"/>
      <c r="R25" s="270"/>
    </row>
    <row r="26" spans="2:22" x14ac:dyDescent="0.2">
      <c r="E26" s="266" t="s">
        <v>624</v>
      </c>
      <c r="F26" s="265">
        <f>+F14+F24</f>
        <v>99372857.684797168</v>
      </c>
      <c r="Q26" s="269" t="str">
        <f>PyG!A53</f>
        <v>Utilidad neta</v>
      </c>
      <c r="R26" s="270">
        <f>SUM(PyG!C53:L53)</f>
        <v>49014043.112959944</v>
      </c>
    </row>
    <row r="27" spans="2:22" x14ac:dyDescent="0.2">
      <c r="E27" s="273"/>
      <c r="F27" s="274"/>
      <c r="Q27" s="269"/>
      <c r="R27" s="270"/>
    </row>
    <row r="28" spans="2:22" x14ac:dyDescent="0.2">
      <c r="Q28" s="269" t="str">
        <f>PyG!A55</f>
        <v>(+) Valores efecto Contable</v>
      </c>
      <c r="R28" s="270"/>
    </row>
    <row r="29" spans="2:22" x14ac:dyDescent="0.2">
      <c r="Q29" s="269" t="str">
        <f>PyG!A56</f>
        <v>Depreciación</v>
      </c>
      <c r="R29" s="270">
        <f>SUM(PyG!C56:L56)</f>
        <v>9536027.448588036</v>
      </c>
    </row>
    <row r="30" spans="2:22" x14ac:dyDescent="0.2">
      <c r="Q30" s="269" t="str">
        <f>PyG!A57</f>
        <v>Amortización Gastos Pre-operativo</v>
      </c>
      <c r="R30" s="270">
        <f>SUM(PyG!C57:L57)</f>
        <v>1287500</v>
      </c>
    </row>
    <row r="31" spans="2:22" x14ac:dyDescent="0.2">
      <c r="Q31" s="269"/>
      <c r="R31" s="270">
        <f>SUM(PyG!C58:L58)</f>
        <v>10823527.448588034</v>
      </c>
    </row>
    <row r="32" spans="2:22" x14ac:dyDescent="0.2">
      <c r="Q32" s="269" t="str">
        <f>PyG!A59</f>
        <v>(-) Valores efecto Contable</v>
      </c>
      <c r="R32" s="270">
        <f>SUM(PyG!C59:L59)</f>
        <v>0</v>
      </c>
    </row>
    <row r="33" spans="17:18" x14ac:dyDescent="0.2">
      <c r="Q33" s="273"/>
      <c r="R33" s="274"/>
    </row>
  </sheetData>
  <mergeCells count="9">
    <mergeCell ref="B10:C10"/>
    <mergeCell ref="B2:C2"/>
    <mergeCell ref="H2:J2"/>
    <mergeCell ref="L2:O2"/>
    <mergeCell ref="T2:U2"/>
    <mergeCell ref="L4:M4"/>
    <mergeCell ref="N4:O4"/>
    <mergeCell ref="Q2:R2"/>
    <mergeCell ref="E2:F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255"/>
  <sheetViews>
    <sheetView workbookViewId="0">
      <selection activeCell="E9" sqref="E9"/>
    </sheetView>
  </sheetViews>
  <sheetFormatPr baseColWidth="10" defaultColWidth="11.42578125" defaultRowHeight="12.75" x14ac:dyDescent="0.2"/>
  <cols>
    <col min="1" max="1" width="26.5703125" style="24" customWidth="1"/>
    <col min="2" max="2" width="1.85546875" style="24" customWidth="1"/>
    <col min="3" max="3" width="5.28515625" style="24" bestFit="1" customWidth="1"/>
    <col min="4" max="12" width="9.7109375" style="24" customWidth="1"/>
    <col min="13" max="16384" width="11.42578125" style="24"/>
  </cols>
  <sheetData>
    <row r="2" spans="1:13" ht="15.75" x14ac:dyDescent="0.25">
      <c r="A2" s="147" t="s">
        <v>140</v>
      </c>
    </row>
    <row r="3" spans="1:13" ht="16.5" x14ac:dyDescent="0.3">
      <c r="A3" s="148" t="s">
        <v>139</v>
      </c>
    </row>
    <row r="5" spans="1:13" x14ac:dyDescent="0.2">
      <c r="C5" s="250">
        <v>2013</v>
      </c>
      <c r="D5" s="145">
        <v>2016</v>
      </c>
      <c r="E5" s="145">
        <f t="shared" ref="E5" si="0">+D5+1</f>
        <v>2017</v>
      </c>
      <c r="F5" s="145">
        <f t="shared" ref="F5" si="1">+E5+1</f>
        <v>2018</v>
      </c>
      <c r="G5" s="145">
        <f t="shared" ref="G5" si="2">+F5+1</f>
        <v>2019</v>
      </c>
      <c r="H5" s="145">
        <f t="shared" ref="H5" si="3">+G5+1</f>
        <v>2020</v>
      </c>
      <c r="I5" s="145">
        <f t="shared" ref="I5" si="4">+H5+1</f>
        <v>2021</v>
      </c>
      <c r="J5" s="145">
        <f t="shared" ref="J5" si="5">+I5+1</f>
        <v>2022</v>
      </c>
      <c r="K5" s="145">
        <f t="shared" ref="K5" si="6">+J5+1</f>
        <v>2023</v>
      </c>
      <c r="L5" s="145">
        <f t="shared" ref="L5" si="7">+K5+1</f>
        <v>2024</v>
      </c>
      <c r="M5" s="145">
        <f t="shared" ref="M5" si="8">+L5+1</f>
        <v>2025</v>
      </c>
    </row>
    <row r="6" spans="1:13" x14ac:dyDescent="0.2">
      <c r="C6" s="251" t="s">
        <v>0</v>
      </c>
      <c r="D6" s="28" t="s">
        <v>0</v>
      </c>
      <c r="E6" s="28" t="s">
        <v>1</v>
      </c>
      <c r="F6" s="28" t="s">
        <v>2</v>
      </c>
      <c r="G6" s="28" t="s">
        <v>3</v>
      </c>
      <c r="H6" s="28" t="s">
        <v>4</v>
      </c>
      <c r="I6" s="28" t="s">
        <v>5</v>
      </c>
      <c r="J6" s="28" t="s">
        <v>6</v>
      </c>
      <c r="K6" s="28" t="s">
        <v>7</v>
      </c>
      <c r="L6" s="28" t="s">
        <v>8</v>
      </c>
      <c r="M6" s="28" t="s">
        <v>9</v>
      </c>
    </row>
    <row r="7" spans="1:13" x14ac:dyDescent="0.2">
      <c r="C7" s="23"/>
    </row>
    <row r="8" spans="1:13" x14ac:dyDescent="0.2">
      <c r="A8" s="24" t="s">
        <v>206</v>
      </c>
      <c r="C8" s="252">
        <v>0.05</v>
      </c>
      <c r="D8" s="158">
        <v>0.04</v>
      </c>
      <c r="E8" s="158">
        <f>D8</f>
        <v>0.04</v>
      </c>
      <c r="F8" s="158">
        <f>E8</f>
        <v>0.04</v>
      </c>
      <c r="G8" s="158">
        <f t="shared" ref="G8:G9" si="9">F8</f>
        <v>0.04</v>
      </c>
      <c r="H8" s="158">
        <f t="shared" ref="H8:H9" si="10">G8</f>
        <v>0.04</v>
      </c>
      <c r="I8" s="158">
        <f t="shared" ref="I8:I9" si="11">H8</f>
        <v>0.04</v>
      </c>
      <c r="J8" s="158">
        <f t="shared" ref="J8:J9" si="12">I8</f>
        <v>0.04</v>
      </c>
      <c r="K8" s="158">
        <f t="shared" ref="K8:K9" si="13">J8</f>
        <v>0.04</v>
      </c>
      <c r="L8" s="158">
        <f t="shared" ref="L8:L9" si="14">K8</f>
        <v>0.04</v>
      </c>
      <c r="M8" s="158">
        <f t="shared" ref="M8:M9" si="15">L8</f>
        <v>0.04</v>
      </c>
    </row>
    <row r="9" spans="1:13" x14ac:dyDescent="0.2">
      <c r="A9" s="24" t="s">
        <v>207</v>
      </c>
      <c r="C9" s="252">
        <v>0.04</v>
      </c>
      <c r="D9" s="158">
        <v>4.2999999999999997E-2</v>
      </c>
      <c r="E9" s="158">
        <f>D9</f>
        <v>4.2999999999999997E-2</v>
      </c>
      <c r="F9" s="158">
        <f>E9</f>
        <v>4.2999999999999997E-2</v>
      </c>
      <c r="G9" s="158">
        <f t="shared" si="9"/>
        <v>4.2999999999999997E-2</v>
      </c>
      <c r="H9" s="158">
        <f t="shared" si="10"/>
        <v>4.2999999999999997E-2</v>
      </c>
      <c r="I9" s="158">
        <f t="shared" si="11"/>
        <v>4.2999999999999997E-2</v>
      </c>
      <c r="J9" s="158">
        <f t="shared" si="12"/>
        <v>4.2999999999999997E-2</v>
      </c>
      <c r="K9" s="158">
        <f t="shared" si="13"/>
        <v>4.2999999999999997E-2</v>
      </c>
      <c r="L9" s="158">
        <f t="shared" si="14"/>
        <v>4.2999999999999997E-2</v>
      </c>
      <c r="M9" s="158">
        <f t="shared" si="15"/>
        <v>4.2999999999999997E-2</v>
      </c>
    </row>
    <row r="10" spans="1:13" x14ac:dyDescent="0.2">
      <c r="C10" s="253"/>
      <c r="D10" s="156"/>
      <c r="E10" s="156"/>
      <c r="F10" s="156"/>
      <c r="G10" s="156"/>
      <c r="H10" s="156"/>
      <c r="I10" s="156"/>
      <c r="J10" s="156"/>
      <c r="K10" s="156"/>
      <c r="L10" s="156"/>
      <c r="M10" s="156"/>
    </row>
    <row r="11" spans="1:13" x14ac:dyDescent="0.2">
      <c r="A11" s="24" t="s">
        <v>628</v>
      </c>
      <c r="C11" s="252">
        <v>0.04</v>
      </c>
      <c r="D11" s="159">
        <v>0.04</v>
      </c>
      <c r="E11" s="146"/>
      <c r="F11" s="146"/>
      <c r="G11" s="146"/>
      <c r="H11" s="146"/>
      <c r="I11" s="146"/>
      <c r="J11" s="146"/>
      <c r="K11" s="146"/>
      <c r="L11" s="146"/>
      <c r="M11" s="146"/>
    </row>
    <row r="12" spans="1:13" x14ac:dyDescent="0.2">
      <c r="C12" s="146"/>
      <c r="D12" s="146"/>
      <c r="E12" s="146"/>
      <c r="F12" s="146"/>
      <c r="G12" s="146"/>
      <c r="H12" s="146"/>
      <c r="I12" s="146"/>
      <c r="J12" s="146"/>
      <c r="K12" s="146"/>
      <c r="L12" s="146"/>
    </row>
    <row r="13" spans="1:13" x14ac:dyDescent="0.2">
      <c r="C13" s="146"/>
      <c r="D13" s="146"/>
      <c r="E13" s="146"/>
      <c r="F13" s="146"/>
      <c r="G13" s="146"/>
      <c r="H13" s="146"/>
      <c r="I13" s="146"/>
      <c r="J13" s="146"/>
      <c r="K13" s="146"/>
      <c r="L13" s="146"/>
    </row>
    <row r="14" spans="1:13" x14ac:dyDescent="0.2">
      <c r="A14" s="24" t="s">
        <v>183</v>
      </c>
      <c r="C14" s="146"/>
      <c r="D14" s="146"/>
      <c r="E14" s="146"/>
      <c r="F14" s="146"/>
      <c r="G14" s="146"/>
      <c r="H14" s="146"/>
      <c r="I14" s="146"/>
      <c r="J14" s="146"/>
      <c r="K14" s="146"/>
      <c r="L14" s="146"/>
    </row>
    <row r="15" spans="1:13" x14ac:dyDescent="0.2">
      <c r="C15" s="146"/>
      <c r="D15" s="146"/>
      <c r="E15" s="146"/>
      <c r="F15" s="146"/>
      <c r="G15" s="146"/>
      <c r="H15" s="146"/>
      <c r="I15" s="146"/>
      <c r="J15" s="146"/>
      <c r="K15" s="146"/>
      <c r="L15" s="146"/>
    </row>
    <row r="16" spans="1:13" x14ac:dyDescent="0.2">
      <c r="C16" s="146"/>
      <c r="D16" s="146"/>
      <c r="E16" s="146"/>
      <c r="F16" s="146"/>
      <c r="G16" s="146"/>
      <c r="H16" s="146"/>
      <c r="I16" s="146"/>
      <c r="J16" s="146"/>
      <c r="K16" s="146"/>
      <c r="L16" s="146"/>
    </row>
    <row r="17" spans="3:12" x14ac:dyDescent="0.2">
      <c r="C17" s="146"/>
      <c r="D17" s="146"/>
      <c r="E17" s="146"/>
      <c r="F17" s="146"/>
      <c r="G17" s="146"/>
      <c r="H17" s="146"/>
      <c r="I17" s="146"/>
      <c r="J17" s="146"/>
      <c r="K17" s="146"/>
      <c r="L17" s="146"/>
    </row>
    <row r="18" spans="3:12" x14ac:dyDescent="0.2">
      <c r="C18" s="146"/>
      <c r="D18" s="146"/>
      <c r="E18" s="146"/>
      <c r="F18" s="146"/>
      <c r="G18" s="146"/>
      <c r="H18" s="146"/>
      <c r="I18" s="146"/>
      <c r="J18" s="146"/>
      <c r="K18" s="146"/>
      <c r="L18" s="146"/>
    </row>
    <row r="19" spans="3:12" x14ac:dyDescent="0.2">
      <c r="C19" s="146"/>
      <c r="D19" s="146"/>
      <c r="E19" s="146"/>
      <c r="F19" s="146"/>
      <c r="G19" s="146"/>
      <c r="H19" s="146"/>
      <c r="I19" s="146"/>
      <c r="J19" s="146"/>
      <c r="K19" s="146"/>
      <c r="L19" s="146"/>
    </row>
    <row r="20" spans="3:12" x14ac:dyDescent="0.2">
      <c r="C20" s="146"/>
      <c r="D20" s="146"/>
      <c r="E20" s="146"/>
      <c r="F20" s="146"/>
      <c r="G20" s="146"/>
      <c r="H20" s="146"/>
      <c r="I20" s="146"/>
      <c r="J20" s="146"/>
      <c r="K20" s="146"/>
      <c r="L20" s="146"/>
    </row>
    <row r="21" spans="3:12" x14ac:dyDescent="0.2">
      <c r="C21" s="146"/>
      <c r="D21" s="146"/>
      <c r="E21" s="146"/>
      <c r="F21" s="146"/>
      <c r="G21" s="146"/>
      <c r="H21" s="146"/>
      <c r="I21" s="146"/>
      <c r="J21" s="146"/>
      <c r="K21" s="146"/>
      <c r="L21" s="146"/>
    </row>
    <row r="22" spans="3:12" x14ac:dyDescent="0.2">
      <c r="C22" s="146"/>
      <c r="D22" s="146"/>
      <c r="E22" s="146"/>
      <c r="F22" s="146"/>
      <c r="G22" s="146"/>
      <c r="H22" s="146"/>
      <c r="I22" s="146"/>
      <c r="J22" s="146"/>
      <c r="K22" s="146"/>
      <c r="L22" s="146"/>
    </row>
    <row r="23" spans="3:12" x14ac:dyDescent="0.2">
      <c r="C23" s="146"/>
      <c r="D23" s="146"/>
      <c r="E23" s="146"/>
      <c r="F23" s="146"/>
      <c r="G23" s="146"/>
      <c r="H23" s="146"/>
      <c r="I23" s="146"/>
      <c r="J23" s="146"/>
      <c r="K23" s="146"/>
      <c r="L23" s="146"/>
    </row>
    <row r="24" spans="3:12" x14ac:dyDescent="0.2">
      <c r="C24" s="146"/>
      <c r="D24" s="146"/>
      <c r="E24" s="146"/>
      <c r="F24" s="146"/>
      <c r="G24" s="146"/>
      <c r="H24" s="146"/>
      <c r="I24" s="146"/>
      <c r="J24" s="146"/>
      <c r="K24" s="146"/>
      <c r="L24" s="146"/>
    </row>
    <row r="25" spans="3:12" x14ac:dyDescent="0.2">
      <c r="C25" s="146"/>
      <c r="D25" s="146"/>
      <c r="E25" s="146"/>
      <c r="F25" s="146"/>
      <c r="G25" s="146"/>
      <c r="H25" s="146"/>
      <c r="I25" s="146"/>
      <c r="J25" s="146"/>
      <c r="K25" s="146"/>
      <c r="L25" s="146"/>
    </row>
    <row r="26" spans="3:12" x14ac:dyDescent="0.2">
      <c r="C26" s="146"/>
      <c r="D26" s="146"/>
      <c r="E26" s="146"/>
      <c r="F26" s="146"/>
      <c r="G26" s="146"/>
      <c r="H26" s="146"/>
      <c r="I26" s="146"/>
      <c r="J26" s="146"/>
      <c r="K26" s="146"/>
      <c r="L26" s="146"/>
    </row>
    <row r="27" spans="3:12" x14ac:dyDescent="0.2">
      <c r="C27" s="146"/>
      <c r="D27" s="146"/>
      <c r="E27" s="146"/>
      <c r="F27" s="146"/>
      <c r="G27" s="146"/>
      <c r="H27" s="146"/>
      <c r="I27" s="146"/>
      <c r="J27" s="146"/>
      <c r="K27" s="146"/>
      <c r="L27" s="146"/>
    </row>
    <row r="28" spans="3:12" x14ac:dyDescent="0.2">
      <c r="C28" s="146"/>
      <c r="D28" s="146"/>
      <c r="E28" s="146"/>
      <c r="F28" s="146"/>
      <c r="G28" s="146"/>
      <c r="H28" s="146"/>
      <c r="I28" s="146"/>
      <c r="J28" s="146"/>
      <c r="K28" s="146"/>
      <c r="L28" s="146"/>
    </row>
    <row r="29" spans="3:12" x14ac:dyDescent="0.2">
      <c r="C29" s="146"/>
      <c r="D29" s="146"/>
      <c r="E29" s="146"/>
      <c r="F29" s="146"/>
      <c r="G29" s="146"/>
      <c r="H29" s="146"/>
      <c r="I29" s="146"/>
      <c r="J29" s="146"/>
      <c r="K29" s="146"/>
      <c r="L29" s="146"/>
    </row>
    <row r="30" spans="3:12" x14ac:dyDescent="0.2">
      <c r="C30" s="146"/>
      <c r="D30" s="146"/>
      <c r="E30" s="146"/>
      <c r="F30" s="146"/>
      <c r="G30" s="146"/>
      <c r="H30" s="146"/>
      <c r="I30" s="146"/>
      <c r="J30" s="146"/>
      <c r="K30" s="146"/>
      <c r="L30" s="146"/>
    </row>
    <row r="31" spans="3:12" x14ac:dyDescent="0.2">
      <c r="C31" s="146"/>
      <c r="D31" s="146"/>
      <c r="E31" s="146"/>
      <c r="F31" s="146"/>
      <c r="G31" s="146"/>
      <c r="H31" s="146"/>
      <c r="I31" s="146"/>
      <c r="J31" s="146"/>
      <c r="K31" s="146"/>
      <c r="L31" s="146"/>
    </row>
    <row r="32" spans="3:12" x14ac:dyDescent="0.2">
      <c r="C32" s="146"/>
      <c r="D32" s="146"/>
      <c r="E32" s="146"/>
      <c r="F32" s="146"/>
      <c r="G32" s="146"/>
      <c r="H32" s="146"/>
      <c r="I32" s="146"/>
      <c r="J32" s="146"/>
      <c r="K32" s="146"/>
      <c r="L32" s="146"/>
    </row>
    <row r="33" spans="3:12" x14ac:dyDescent="0.2">
      <c r="C33" s="146"/>
      <c r="D33" s="146"/>
      <c r="E33" s="146"/>
      <c r="F33" s="146"/>
      <c r="G33" s="146"/>
      <c r="H33" s="146"/>
      <c r="I33" s="146"/>
      <c r="J33" s="146"/>
      <c r="K33" s="146"/>
      <c r="L33" s="146"/>
    </row>
    <row r="34" spans="3:12" x14ac:dyDescent="0.2">
      <c r="C34" s="146"/>
      <c r="D34" s="146"/>
      <c r="E34" s="146"/>
      <c r="F34" s="146"/>
      <c r="G34" s="146"/>
      <c r="H34" s="146"/>
      <c r="I34" s="146"/>
      <c r="J34" s="146"/>
      <c r="K34" s="146"/>
      <c r="L34" s="146"/>
    </row>
    <row r="35" spans="3:12" x14ac:dyDescent="0.2">
      <c r="C35" s="146"/>
      <c r="D35" s="146"/>
      <c r="E35" s="146"/>
      <c r="F35" s="146"/>
      <c r="G35" s="146"/>
      <c r="H35" s="146"/>
      <c r="I35" s="146"/>
      <c r="J35" s="146"/>
      <c r="K35" s="146"/>
      <c r="L35" s="146"/>
    </row>
    <row r="36" spans="3:12" x14ac:dyDescent="0.2">
      <c r="C36" s="146"/>
      <c r="D36" s="146"/>
      <c r="E36" s="146"/>
      <c r="F36" s="146"/>
      <c r="G36" s="146"/>
      <c r="H36" s="146"/>
      <c r="I36" s="146"/>
      <c r="J36" s="146"/>
      <c r="K36" s="146"/>
      <c r="L36" s="146"/>
    </row>
    <row r="37" spans="3:12" x14ac:dyDescent="0.2">
      <c r="C37" s="146"/>
      <c r="D37" s="146"/>
      <c r="E37" s="146"/>
      <c r="F37" s="146"/>
      <c r="G37" s="146"/>
      <c r="H37" s="146"/>
      <c r="I37" s="146"/>
      <c r="J37" s="146"/>
      <c r="K37" s="146"/>
      <c r="L37" s="146"/>
    </row>
    <row r="38" spans="3:12" x14ac:dyDescent="0.2">
      <c r="C38" s="146"/>
      <c r="D38" s="146"/>
      <c r="E38" s="146"/>
      <c r="F38" s="146"/>
      <c r="G38" s="146"/>
      <c r="H38" s="146"/>
      <c r="I38" s="146"/>
      <c r="J38" s="146"/>
      <c r="K38" s="146"/>
      <c r="L38" s="146"/>
    </row>
    <row r="39" spans="3:12" x14ac:dyDescent="0.2">
      <c r="C39" s="146"/>
      <c r="D39" s="146"/>
      <c r="E39" s="146"/>
      <c r="F39" s="146"/>
      <c r="G39" s="146"/>
      <c r="H39" s="146"/>
      <c r="I39" s="146"/>
      <c r="J39" s="146"/>
      <c r="K39" s="146"/>
      <c r="L39" s="146"/>
    </row>
    <row r="40" spans="3:12" x14ac:dyDescent="0.2">
      <c r="C40" s="146"/>
      <c r="D40" s="146"/>
      <c r="E40" s="146"/>
      <c r="F40" s="146"/>
      <c r="G40" s="146"/>
      <c r="H40" s="146"/>
      <c r="I40" s="146"/>
      <c r="J40" s="146"/>
      <c r="K40" s="146"/>
      <c r="L40" s="146"/>
    </row>
    <row r="41" spans="3:12" x14ac:dyDescent="0.2">
      <c r="C41" s="146"/>
      <c r="D41" s="146"/>
      <c r="E41" s="146"/>
      <c r="F41" s="146"/>
      <c r="G41" s="146"/>
      <c r="H41" s="146"/>
      <c r="I41" s="146"/>
      <c r="J41" s="146"/>
      <c r="K41" s="146"/>
      <c r="L41" s="146"/>
    </row>
    <row r="42" spans="3:12" x14ac:dyDescent="0.2">
      <c r="C42" s="146"/>
      <c r="D42" s="146"/>
      <c r="E42" s="146"/>
      <c r="F42" s="146"/>
      <c r="G42" s="146"/>
      <c r="H42" s="146"/>
      <c r="I42" s="146"/>
      <c r="J42" s="146"/>
      <c r="K42" s="146"/>
      <c r="L42" s="146"/>
    </row>
    <row r="43" spans="3:12" x14ac:dyDescent="0.2">
      <c r="C43" s="146"/>
      <c r="D43" s="146"/>
      <c r="E43" s="146"/>
      <c r="F43" s="146"/>
      <c r="G43" s="146"/>
      <c r="H43" s="146"/>
      <c r="I43" s="146"/>
      <c r="J43" s="146"/>
      <c r="K43" s="146"/>
      <c r="L43" s="146"/>
    </row>
    <row r="44" spans="3:12" x14ac:dyDescent="0.2">
      <c r="C44" s="146"/>
      <c r="D44" s="146"/>
      <c r="E44" s="146"/>
      <c r="F44" s="146"/>
      <c r="G44" s="146"/>
      <c r="H44" s="146"/>
      <c r="I44" s="146"/>
      <c r="J44" s="146"/>
      <c r="K44" s="146"/>
      <c r="L44" s="146"/>
    </row>
    <row r="45" spans="3:12" x14ac:dyDescent="0.2">
      <c r="C45" s="146"/>
      <c r="D45" s="146"/>
      <c r="E45" s="146"/>
      <c r="F45" s="146"/>
      <c r="G45" s="146"/>
      <c r="H45" s="146"/>
      <c r="I45" s="146"/>
      <c r="J45" s="146"/>
      <c r="K45" s="146"/>
      <c r="L45" s="146"/>
    </row>
    <row r="46" spans="3:12" x14ac:dyDescent="0.2">
      <c r="C46" s="146"/>
      <c r="D46" s="146"/>
      <c r="E46" s="146"/>
      <c r="F46" s="146"/>
      <c r="G46" s="146"/>
      <c r="H46" s="146"/>
      <c r="I46" s="146"/>
      <c r="J46" s="146"/>
      <c r="K46" s="146"/>
      <c r="L46" s="146"/>
    </row>
    <row r="47" spans="3:12" x14ac:dyDescent="0.2">
      <c r="C47" s="146"/>
      <c r="D47" s="146"/>
      <c r="E47" s="146"/>
      <c r="F47" s="146"/>
      <c r="G47" s="146"/>
      <c r="H47" s="146"/>
      <c r="I47" s="146"/>
      <c r="J47" s="146"/>
      <c r="K47" s="146"/>
      <c r="L47" s="146"/>
    </row>
    <row r="48" spans="3:12" x14ac:dyDescent="0.2">
      <c r="C48" s="146"/>
      <c r="D48" s="146"/>
      <c r="E48" s="146"/>
      <c r="F48" s="146"/>
      <c r="G48" s="146"/>
      <c r="H48" s="146"/>
      <c r="I48" s="146"/>
      <c r="J48" s="146"/>
      <c r="K48" s="146"/>
      <c r="L48" s="146"/>
    </row>
    <row r="49" spans="3:12" x14ac:dyDescent="0.2">
      <c r="C49" s="146"/>
      <c r="D49" s="146"/>
      <c r="E49" s="146"/>
      <c r="F49" s="146"/>
      <c r="G49" s="146"/>
      <c r="H49" s="146"/>
      <c r="I49" s="146"/>
      <c r="J49" s="146"/>
      <c r="K49" s="146"/>
      <c r="L49" s="146"/>
    </row>
    <row r="50" spans="3:12" x14ac:dyDescent="0.2">
      <c r="C50" s="146"/>
      <c r="D50" s="146"/>
      <c r="E50" s="146"/>
      <c r="F50" s="146"/>
      <c r="G50" s="146"/>
      <c r="H50" s="146"/>
      <c r="I50" s="146"/>
      <c r="J50" s="146"/>
      <c r="K50" s="146"/>
      <c r="L50" s="146"/>
    </row>
    <row r="51" spans="3:12" x14ac:dyDescent="0.2">
      <c r="C51" s="146"/>
      <c r="D51" s="146"/>
      <c r="E51" s="146"/>
      <c r="F51" s="146"/>
      <c r="G51" s="146"/>
      <c r="H51" s="146"/>
      <c r="I51" s="146"/>
      <c r="J51" s="146"/>
      <c r="K51" s="146"/>
      <c r="L51" s="146"/>
    </row>
    <row r="52" spans="3:12" x14ac:dyDescent="0.2">
      <c r="C52" s="146"/>
      <c r="D52" s="146"/>
      <c r="E52" s="146"/>
      <c r="F52" s="146"/>
      <c r="G52" s="146"/>
      <c r="H52" s="146"/>
      <c r="I52" s="146"/>
      <c r="J52" s="146"/>
      <c r="K52" s="146"/>
      <c r="L52" s="146"/>
    </row>
    <row r="53" spans="3:12" x14ac:dyDescent="0.2">
      <c r="C53" s="146"/>
      <c r="D53" s="146"/>
      <c r="E53" s="146"/>
      <c r="F53" s="146"/>
      <c r="G53" s="146"/>
      <c r="H53" s="146"/>
      <c r="I53" s="146"/>
      <c r="J53" s="146"/>
      <c r="K53" s="146"/>
      <c r="L53" s="146"/>
    </row>
    <row r="54" spans="3:12" x14ac:dyDescent="0.2">
      <c r="C54" s="146"/>
      <c r="D54" s="146"/>
      <c r="E54" s="146"/>
      <c r="F54" s="146"/>
      <c r="G54" s="146"/>
      <c r="H54" s="146"/>
      <c r="I54" s="146"/>
      <c r="J54" s="146"/>
      <c r="K54" s="146"/>
      <c r="L54" s="146"/>
    </row>
    <row r="55" spans="3:12" x14ac:dyDescent="0.2">
      <c r="C55" s="146"/>
      <c r="D55" s="146"/>
      <c r="E55" s="146"/>
      <c r="F55" s="146"/>
      <c r="G55" s="146"/>
      <c r="H55" s="146"/>
      <c r="I55" s="146"/>
      <c r="J55" s="146"/>
      <c r="K55" s="146"/>
      <c r="L55" s="146"/>
    </row>
    <row r="56" spans="3:12" x14ac:dyDescent="0.2">
      <c r="C56" s="146"/>
      <c r="D56" s="146"/>
      <c r="E56" s="146"/>
      <c r="F56" s="146"/>
      <c r="G56" s="146"/>
      <c r="H56" s="146"/>
      <c r="I56" s="146"/>
      <c r="J56" s="146"/>
      <c r="K56" s="146"/>
      <c r="L56" s="146"/>
    </row>
    <row r="57" spans="3:12" x14ac:dyDescent="0.2">
      <c r="C57" s="146"/>
      <c r="D57" s="146"/>
      <c r="E57" s="146"/>
      <c r="F57" s="146"/>
      <c r="G57" s="146"/>
      <c r="H57" s="146"/>
      <c r="I57" s="146"/>
      <c r="J57" s="146"/>
      <c r="K57" s="146"/>
      <c r="L57" s="146"/>
    </row>
    <row r="58" spans="3:12" x14ac:dyDescent="0.2">
      <c r="C58" s="146"/>
      <c r="D58" s="146"/>
      <c r="E58" s="146"/>
      <c r="F58" s="146"/>
      <c r="G58" s="146"/>
      <c r="H58" s="146"/>
      <c r="I58" s="146"/>
      <c r="J58" s="146"/>
      <c r="K58" s="146"/>
      <c r="L58" s="146"/>
    </row>
    <row r="59" spans="3:12" x14ac:dyDescent="0.2">
      <c r="C59" s="146"/>
      <c r="D59" s="146"/>
      <c r="E59" s="146"/>
      <c r="F59" s="146"/>
      <c r="G59" s="146"/>
      <c r="H59" s="146"/>
      <c r="I59" s="146"/>
      <c r="J59" s="146"/>
      <c r="K59" s="146"/>
      <c r="L59" s="146"/>
    </row>
    <row r="60" spans="3:12" x14ac:dyDescent="0.2">
      <c r="C60" s="146"/>
      <c r="D60" s="146"/>
      <c r="E60" s="146"/>
      <c r="F60" s="146"/>
      <c r="G60" s="146"/>
      <c r="H60" s="146"/>
      <c r="I60" s="146"/>
      <c r="J60" s="146"/>
      <c r="K60" s="146"/>
      <c r="L60" s="146"/>
    </row>
    <row r="61" spans="3:12" x14ac:dyDescent="0.2">
      <c r="C61" s="146"/>
      <c r="D61" s="146"/>
      <c r="E61" s="146"/>
      <c r="F61" s="146"/>
      <c r="G61" s="146"/>
      <c r="H61" s="146"/>
      <c r="I61" s="146"/>
      <c r="J61" s="146"/>
      <c r="K61" s="146"/>
      <c r="L61" s="146"/>
    </row>
    <row r="62" spans="3:12" x14ac:dyDescent="0.2">
      <c r="C62" s="146"/>
      <c r="D62" s="146"/>
      <c r="E62" s="146"/>
      <c r="F62" s="146"/>
      <c r="G62" s="146"/>
      <c r="H62" s="146"/>
      <c r="I62" s="146"/>
      <c r="J62" s="146"/>
      <c r="K62" s="146"/>
      <c r="L62" s="146"/>
    </row>
    <row r="63" spans="3:12" x14ac:dyDescent="0.2">
      <c r="C63" s="146"/>
      <c r="D63" s="146"/>
      <c r="E63" s="146"/>
      <c r="F63" s="146"/>
      <c r="G63" s="146"/>
      <c r="H63" s="146"/>
      <c r="I63" s="146"/>
      <c r="J63" s="146"/>
      <c r="K63" s="146"/>
      <c r="L63" s="146"/>
    </row>
    <row r="64" spans="3:12" x14ac:dyDescent="0.2">
      <c r="C64" s="146"/>
      <c r="D64" s="146"/>
      <c r="E64" s="146"/>
      <c r="F64" s="146"/>
      <c r="G64" s="146"/>
      <c r="H64" s="146"/>
      <c r="I64" s="146"/>
      <c r="J64" s="146"/>
      <c r="K64" s="146"/>
      <c r="L64" s="146"/>
    </row>
    <row r="65" spans="3:12" x14ac:dyDescent="0.2">
      <c r="C65" s="146"/>
      <c r="D65" s="146"/>
      <c r="E65" s="146"/>
      <c r="F65" s="146"/>
      <c r="G65" s="146"/>
      <c r="H65" s="146"/>
      <c r="I65" s="146"/>
      <c r="J65" s="146"/>
      <c r="K65" s="146"/>
      <c r="L65" s="146"/>
    </row>
    <row r="66" spans="3:12" x14ac:dyDescent="0.2">
      <c r="C66" s="146"/>
      <c r="D66" s="146"/>
      <c r="E66" s="146"/>
      <c r="F66" s="146"/>
      <c r="G66" s="146"/>
      <c r="H66" s="146"/>
      <c r="I66" s="146"/>
      <c r="J66" s="146"/>
      <c r="K66" s="146"/>
      <c r="L66" s="146"/>
    </row>
    <row r="67" spans="3:12" x14ac:dyDescent="0.2">
      <c r="C67" s="146"/>
      <c r="D67" s="146"/>
      <c r="E67" s="146"/>
      <c r="F67" s="146"/>
      <c r="G67" s="146"/>
      <c r="H67" s="146"/>
      <c r="I67" s="146"/>
      <c r="J67" s="146"/>
      <c r="K67" s="146"/>
      <c r="L67" s="146"/>
    </row>
    <row r="68" spans="3:12" x14ac:dyDescent="0.2">
      <c r="C68" s="146"/>
      <c r="D68" s="146"/>
      <c r="E68" s="146"/>
      <c r="F68" s="146"/>
      <c r="G68" s="146"/>
      <c r="H68" s="146"/>
      <c r="I68" s="146"/>
      <c r="J68" s="146"/>
      <c r="K68" s="146"/>
      <c r="L68" s="146"/>
    </row>
    <row r="69" spans="3:12" x14ac:dyDescent="0.2">
      <c r="C69" s="146"/>
      <c r="D69" s="146"/>
      <c r="E69" s="146"/>
      <c r="F69" s="146"/>
      <c r="G69" s="146"/>
      <c r="H69" s="146"/>
      <c r="I69" s="146"/>
      <c r="J69" s="146"/>
      <c r="K69" s="146"/>
      <c r="L69" s="146"/>
    </row>
    <row r="70" spans="3:12" x14ac:dyDescent="0.2">
      <c r="C70" s="146"/>
      <c r="D70" s="146"/>
      <c r="E70" s="146"/>
      <c r="F70" s="146"/>
      <c r="G70" s="146"/>
      <c r="H70" s="146"/>
      <c r="I70" s="146"/>
      <c r="J70" s="146"/>
      <c r="K70" s="146"/>
      <c r="L70" s="146"/>
    </row>
    <row r="71" spans="3:12" x14ac:dyDescent="0.2">
      <c r="C71" s="146"/>
      <c r="D71" s="146"/>
      <c r="E71" s="146"/>
      <c r="F71" s="146"/>
      <c r="G71" s="146"/>
      <c r="H71" s="146"/>
      <c r="I71" s="146"/>
      <c r="J71" s="146"/>
      <c r="K71" s="146"/>
      <c r="L71" s="146"/>
    </row>
    <row r="72" spans="3:12" x14ac:dyDescent="0.2">
      <c r="C72" s="146"/>
      <c r="D72" s="146"/>
      <c r="E72" s="146"/>
      <c r="F72" s="146"/>
      <c r="G72" s="146"/>
      <c r="H72" s="146"/>
      <c r="I72" s="146"/>
      <c r="J72" s="146"/>
      <c r="K72" s="146"/>
      <c r="L72" s="146"/>
    </row>
    <row r="73" spans="3:12" x14ac:dyDescent="0.2">
      <c r="C73" s="146"/>
      <c r="D73" s="146"/>
      <c r="E73" s="146"/>
      <c r="F73" s="146"/>
      <c r="G73" s="146"/>
      <c r="H73" s="146"/>
      <c r="I73" s="146"/>
      <c r="J73" s="146"/>
      <c r="K73" s="146"/>
      <c r="L73" s="146"/>
    </row>
    <row r="74" spans="3:12" x14ac:dyDescent="0.2">
      <c r="C74" s="146"/>
      <c r="D74" s="146"/>
      <c r="E74" s="146"/>
      <c r="F74" s="146"/>
      <c r="G74" s="146"/>
      <c r="H74" s="146"/>
      <c r="I74" s="146"/>
      <c r="J74" s="146"/>
      <c r="K74" s="146"/>
      <c r="L74" s="146"/>
    </row>
    <row r="75" spans="3:12" x14ac:dyDescent="0.2">
      <c r="C75" s="146"/>
      <c r="D75" s="146"/>
      <c r="E75" s="146"/>
      <c r="F75" s="146"/>
      <c r="G75" s="146"/>
      <c r="H75" s="146"/>
      <c r="I75" s="146"/>
      <c r="J75" s="146"/>
      <c r="K75" s="146"/>
      <c r="L75" s="146"/>
    </row>
    <row r="76" spans="3:12" x14ac:dyDescent="0.2">
      <c r="C76" s="146"/>
      <c r="D76" s="146"/>
      <c r="E76" s="146"/>
      <c r="F76" s="146"/>
      <c r="G76" s="146"/>
      <c r="H76" s="146"/>
      <c r="I76" s="146"/>
      <c r="J76" s="146"/>
      <c r="K76" s="146"/>
      <c r="L76" s="146"/>
    </row>
    <row r="77" spans="3:12" x14ac:dyDescent="0.2">
      <c r="C77" s="146"/>
      <c r="D77" s="146"/>
      <c r="E77" s="146"/>
      <c r="F77" s="146"/>
      <c r="G77" s="146"/>
      <c r="H77" s="146"/>
      <c r="I77" s="146"/>
      <c r="J77" s="146"/>
      <c r="K77" s="146"/>
      <c r="L77" s="146"/>
    </row>
    <row r="78" spans="3:12" x14ac:dyDescent="0.2">
      <c r="C78" s="146"/>
      <c r="D78" s="146"/>
      <c r="E78" s="146"/>
      <c r="F78" s="146"/>
      <c r="G78" s="146"/>
      <c r="H78" s="146"/>
      <c r="I78" s="146"/>
      <c r="J78" s="146"/>
      <c r="K78" s="146"/>
      <c r="L78" s="146"/>
    </row>
    <row r="79" spans="3:12" x14ac:dyDescent="0.2">
      <c r="C79" s="146"/>
      <c r="D79" s="146"/>
      <c r="E79" s="146"/>
      <c r="F79" s="146"/>
      <c r="G79" s="146"/>
      <c r="H79" s="146"/>
      <c r="I79" s="146"/>
      <c r="J79" s="146"/>
      <c r="K79" s="146"/>
      <c r="L79" s="146"/>
    </row>
    <row r="80" spans="3:12" x14ac:dyDescent="0.2">
      <c r="C80" s="146"/>
      <c r="D80" s="146"/>
      <c r="E80" s="146"/>
      <c r="F80" s="146"/>
      <c r="G80" s="146"/>
      <c r="H80" s="146"/>
      <c r="I80" s="146"/>
      <c r="J80" s="146"/>
      <c r="K80" s="146"/>
      <c r="L80" s="146"/>
    </row>
    <row r="81" spans="3:12" x14ac:dyDescent="0.2">
      <c r="C81" s="146"/>
      <c r="D81" s="146"/>
      <c r="E81" s="146"/>
      <c r="F81" s="146"/>
      <c r="G81" s="146"/>
      <c r="H81" s="146"/>
      <c r="I81" s="146"/>
      <c r="J81" s="146"/>
      <c r="K81" s="146"/>
      <c r="L81" s="146"/>
    </row>
    <row r="82" spans="3:12" x14ac:dyDescent="0.2">
      <c r="C82" s="146"/>
      <c r="D82" s="146"/>
      <c r="E82" s="146"/>
      <c r="F82" s="146"/>
      <c r="G82" s="146"/>
      <c r="H82" s="146"/>
      <c r="I82" s="146"/>
      <c r="J82" s="146"/>
      <c r="K82" s="146"/>
      <c r="L82" s="146"/>
    </row>
    <row r="83" spans="3:12" x14ac:dyDescent="0.2">
      <c r="C83" s="146"/>
      <c r="D83" s="146"/>
      <c r="E83" s="146"/>
      <c r="F83" s="146"/>
      <c r="G83" s="146"/>
      <c r="H83" s="146"/>
      <c r="I83" s="146"/>
      <c r="J83" s="146"/>
      <c r="K83" s="146"/>
      <c r="L83" s="146"/>
    </row>
    <row r="84" spans="3:12" x14ac:dyDescent="0.2">
      <c r="C84" s="146"/>
      <c r="D84" s="146"/>
      <c r="E84" s="146"/>
      <c r="F84" s="146"/>
      <c r="G84" s="146"/>
      <c r="H84" s="146"/>
      <c r="I84" s="146"/>
      <c r="J84" s="146"/>
      <c r="K84" s="146"/>
      <c r="L84" s="146"/>
    </row>
    <row r="85" spans="3:12" x14ac:dyDescent="0.2">
      <c r="C85" s="146"/>
      <c r="D85" s="146"/>
      <c r="E85" s="146"/>
      <c r="F85" s="146"/>
      <c r="G85" s="146"/>
      <c r="H85" s="146"/>
      <c r="I85" s="146"/>
      <c r="J85" s="146"/>
      <c r="K85" s="146"/>
      <c r="L85" s="146"/>
    </row>
    <row r="86" spans="3:12" x14ac:dyDescent="0.2">
      <c r="C86" s="146"/>
      <c r="D86" s="146"/>
      <c r="E86" s="146"/>
      <c r="F86" s="146"/>
      <c r="G86" s="146"/>
      <c r="H86" s="146"/>
      <c r="I86" s="146"/>
      <c r="J86" s="146"/>
      <c r="K86" s="146"/>
      <c r="L86" s="146"/>
    </row>
    <row r="87" spans="3:12" x14ac:dyDescent="0.2">
      <c r="C87" s="146"/>
      <c r="D87" s="146"/>
      <c r="E87" s="146"/>
      <c r="F87" s="146"/>
      <c r="G87" s="146"/>
      <c r="H87" s="146"/>
      <c r="I87" s="146"/>
      <c r="J87" s="146"/>
      <c r="K87" s="146"/>
      <c r="L87" s="146"/>
    </row>
    <row r="88" spans="3:12" x14ac:dyDescent="0.2">
      <c r="C88" s="146"/>
      <c r="D88" s="146"/>
      <c r="E88" s="146"/>
      <c r="F88" s="146"/>
      <c r="G88" s="146"/>
      <c r="H88" s="146"/>
      <c r="I88" s="146"/>
      <c r="J88" s="146"/>
      <c r="K88" s="146"/>
      <c r="L88" s="146"/>
    </row>
    <row r="89" spans="3:12" x14ac:dyDescent="0.2">
      <c r="C89" s="146"/>
      <c r="D89" s="146"/>
      <c r="E89" s="146"/>
      <c r="F89" s="146"/>
      <c r="G89" s="146"/>
      <c r="H89" s="146"/>
      <c r="I89" s="146"/>
      <c r="J89" s="146"/>
      <c r="K89" s="146"/>
      <c r="L89" s="146"/>
    </row>
    <row r="90" spans="3:12" x14ac:dyDescent="0.2">
      <c r="C90" s="146"/>
      <c r="D90" s="146"/>
      <c r="E90" s="146"/>
      <c r="F90" s="146"/>
      <c r="G90" s="146"/>
      <c r="H90" s="146"/>
      <c r="I90" s="146"/>
      <c r="J90" s="146"/>
      <c r="K90" s="146"/>
      <c r="L90" s="146"/>
    </row>
    <row r="91" spans="3:12" x14ac:dyDescent="0.2">
      <c r="C91" s="146"/>
      <c r="D91" s="146"/>
      <c r="E91" s="146"/>
      <c r="F91" s="146"/>
      <c r="G91" s="146"/>
      <c r="H91" s="146"/>
      <c r="I91" s="146"/>
      <c r="J91" s="146"/>
      <c r="K91" s="146"/>
      <c r="L91" s="146"/>
    </row>
    <row r="92" spans="3:12" x14ac:dyDescent="0.2">
      <c r="C92" s="146"/>
      <c r="D92" s="146"/>
      <c r="E92" s="146"/>
      <c r="F92" s="146"/>
      <c r="G92" s="146"/>
      <c r="H92" s="146"/>
      <c r="I92" s="146"/>
      <c r="J92" s="146"/>
      <c r="K92" s="146"/>
      <c r="L92" s="146"/>
    </row>
    <row r="93" spans="3:12" x14ac:dyDescent="0.2">
      <c r="C93" s="146"/>
      <c r="D93" s="146"/>
      <c r="E93" s="146"/>
      <c r="F93" s="146"/>
      <c r="G93" s="146"/>
      <c r="H93" s="146"/>
      <c r="I93" s="146"/>
      <c r="J93" s="146"/>
      <c r="K93" s="146"/>
      <c r="L93" s="146"/>
    </row>
    <row r="94" spans="3:12" x14ac:dyDescent="0.2">
      <c r="C94" s="146"/>
      <c r="D94" s="146"/>
      <c r="E94" s="146"/>
      <c r="F94" s="146"/>
      <c r="G94" s="146"/>
      <c r="H94" s="146"/>
      <c r="I94" s="146"/>
      <c r="J94" s="146"/>
      <c r="K94" s="146"/>
      <c r="L94" s="146"/>
    </row>
    <row r="95" spans="3:12" x14ac:dyDescent="0.2">
      <c r="C95" s="146"/>
      <c r="D95" s="146"/>
      <c r="E95" s="146"/>
      <c r="F95" s="146"/>
      <c r="G95" s="146"/>
      <c r="H95" s="146"/>
      <c r="I95" s="146"/>
      <c r="J95" s="146"/>
      <c r="K95" s="146"/>
      <c r="L95" s="146"/>
    </row>
    <row r="96" spans="3:12" x14ac:dyDescent="0.2">
      <c r="C96" s="146"/>
      <c r="D96" s="146"/>
      <c r="E96" s="146"/>
      <c r="F96" s="146"/>
      <c r="G96" s="146"/>
      <c r="H96" s="146"/>
      <c r="I96" s="146"/>
      <c r="J96" s="146"/>
      <c r="K96" s="146"/>
      <c r="L96" s="146"/>
    </row>
    <row r="97" spans="3:12" x14ac:dyDescent="0.2">
      <c r="C97" s="146"/>
      <c r="D97" s="146"/>
      <c r="E97" s="146"/>
      <c r="F97" s="146"/>
      <c r="G97" s="146"/>
      <c r="H97" s="146"/>
      <c r="I97" s="146"/>
      <c r="J97" s="146"/>
      <c r="K97" s="146"/>
      <c r="L97" s="146"/>
    </row>
    <row r="98" spans="3:12" x14ac:dyDescent="0.2">
      <c r="C98" s="146"/>
      <c r="D98" s="146"/>
      <c r="E98" s="146"/>
      <c r="F98" s="146"/>
      <c r="G98" s="146"/>
      <c r="H98" s="146"/>
      <c r="I98" s="146"/>
      <c r="J98" s="146"/>
      <c r="K98" s="146"/>
      <c r="L98" s="146"/>
    </row>
    <row r="99" spans="3:12" x14ac:dyDescent="0.2">
      <c r="C99" s="146"/>
      <c r="D99" s="146"/>
      <c r="E99" s="146"/>
      <c r="F99" s="146"/>
      <c r="G99" s="146"/>
      <c r="H99" s="146"/>
      <c r="I99" s="146"/>
      <c r="J99" s="146"/>
      <c r="K99" s="146"/>
      <c r="L99" s="146"/>
    </row>
    <row r="100" spans="3:12" x14ac:dyDescent="0.2">
      <c r="C100" s="146"/>
      <c r="D100" s="146"/>
      <c r="E100" s="146"/>
      <c r="F100" s="146"/>
      <c r="G100" s="146"/>
      <c r="H100" s="146"/>
      <c r="I100" s="146"/>
      <c r="J100" s="146"/>
      <c r="K100" s="146"/>
      <c r="L100" s="146"/>
    </row>
    <row r="101" spans="3:12" x14ac:dyDescent="0.2">
      <c r="C101" s="146"/>
      <c r="D101" s="146"/>
      <c r="E101" s="146"/>
      <c r="F101" s="146"/>
      <c r="G101" s="146"/>
      <c r="H101" s="146"/>
      <c r="I101" s="146"/>
      <c r="J101" s="146"/>
      <c r="K101" s="146"/>
      <c r="L101" s="146"/>
    </row>
    <row r="102" spans="3:12" x14ac:dyDescent="0.2">
      <c r="C102" s="146"/>
      <c r="D102" s="146"/>
      <c r="E102" s="146"/>
      <c r="F102" s="146"/>
      <c r="G102" s="146"/>
      <c r="H102" s="146"/>
      <c r="I102" s="146"/>
      <c r="J102" s="146"/>
      <c r="K102" s="146"/>
      <c r="L102" s="146"/>
    </row>
    <row r="103" spans="3:12" x14ac:dyDescent="0.2">
      <c r="C103" s="146"/>
      <c r="D103" s="146"/>
      <c r="E103" s="146"/>
      <c r="F103" s="146"/>
      <c r="G103" s="146"/>
      <c r="H103" s="146"/>
      <c r="I103" s="146"/>
      <c r="J103" s="146"/>
      <c r="K103" s="146"/>
      <c r="L103" s="146"/>
    </row>
    <row r="104" spans="3:12" x14ac:dyDescent="0.2">
      <c r="C104" s="146"/>
      <c r="D104" s="146"/>
      <c r="E104" s="146"/>
      <c r="F104" s="146"/>
      <c r="G104" s="146"/>
      <c r="H104" s="146"/>
      <c r="I104" s="146"/>
      <c r="J104" s="146"/>
      <c r="K104" s="146"/>
      <c r="L104" s="146"/>
    </row>
    <row r="105" spans="3:12" x14ac:dyDescent="0.2">
      <c r="C105" s="146"/>
      <c r="D105" s="146"/>
      <c r="E105" s="146"/>
      <c r="F105" s="146"/>
      <c r="G105" s="146"/>
      <c r="H105" s="146"/>
      <c r="I105" s="146"/>
      <c r="J105" s="146"/>
      <c r="K105" s="146"/>
      <c r="L105" s="146"/>
    </row>
    <row r="106" spans="3:12" x14ac:dyDescent="0.2">
      <c r="C106" s="146"/>
      <c r="D106" s="146"/>
      <c r="E106" s="146"/>
      <c r="F106" s="146"/>
      <c r="G106" s="146"/>
      <c r="H106" s="146"/>
      <c r="I106" s="146"/>
      <c r="J106" s="146"/>
      <c r="K106" s="146"/>
      <c r="L106" s="146"/>
    </row>
    <row r="107" spans="3:12" x14ac:dyDescent="0.2">
      <c r="C107" s="146"/>
      <c r="D107" s="146"/>
      <c r="E107" s="146"/>
      <c r="F107" s="146"/>
      <c r="G107" s="146"/>
      <c r="H107" s="146"/>
      <c r="I107" s="146"/>
      <c r="J107" s="146"/>
      <c r="K107" s="146"/>
      <c r="L107" s="146"/>
    </row>
    <row r="108" spans="3:12" x14ac:dyDescent="0.2">
      <c r="C108" s="146"/>
      <c r="D108" s="146"/>
      <c r="E108" s="146"/>
      <c r="F108" s="146"/>
      <c r="G108" s="146"/>
      <c r="H108" s="146"/>
      <c r="I108" s="146"/>
      <c r="J108" s="146"/>
      <c r="K108" s="146"/>
      <c r="L108" s="146"/>
    </row>
    <row r="109" spans="3:12" x14ac:dyDescent="0.2">
      <c r="C109" s="146"/>
      <c r="D109" s="146"/>
      <c r="E109" s="146"/>
      <c r="F109" s="146"/>
      <c r="G109" s="146"/>
      <c r="H109" s="146"/>
      <c r="I109" s="146"/>
      <c r="J109" s="146"/>
      <c r="K109" s="146"/>
      <c r="L109" s="146"/>
    </row>
    <row r="110" spans="3:12" x14ac:dyDescent="0.2">
      <c r="C110" s="146"/>
      <c r="D110" s="146"/>
      <c r="E110" s="146"/>
      <c r="F110" s="146"/>
      <c r="G110" s="146"/>
      <c r="H110" s="146"/>
      <c r="I110" s="146"/>
      <c r="J110" s="146"/>
      <c r="K110" s="146"/>
      <c r="L110" s="146"/>
    </row>
    <row r="111" spans="3:12" x14ac:dyDescent="0.2">
      <c r="C111" s="146"/>
      <c r="D111" s="146"/>
      <c r="E111" s="146"/>
      <c r="F111" s="146"/>
      <c r="G111" s="146"/>
      <c r="H111" s="146"/>
      <c r="I111" s="146"/>
      <c r="J111" s="146"/>
      <c r="K111" s="146"/>
      <c r="L111" s="146"/>
    </row>
    <row r="112" spans="3:12" x14ac:dyDescent="0.2">
      <c r="C112" s="146"/>
      <c r="D112" s="146"/>
      <c r="E112" s="146"/>
      <c r="F112" s="146"/>
      <c r="G112" s="146"/>
      <c r="H112" s="146"/>
      <c r="I112" s="146"/>
      <c r="J112" s="146"/>
      <c r="K112" s="146"/>
      <c r="L112" s="146"/>
    </row>
    <row r="113" spans="3:12" x14ac:dyDescent="0.2">
      <c r="C113" s="146"/>
      <c r="D113" s="146"/>
      <c r="E113" s="146"/>
      <c r="F113" s="146"/>
      <c r="G113" s="146"/>
      <c r="H113" s="146"/>
      <c r="I113" s="146"/>
      <c r="J113" s="146"/>
      <c r="K113" s="146"/>
      <c r="L113" s="146"/>
    </row>
    <row r="114" spans="3:12" x14ac:dyDescent="0.2">
      <c r="C114" s="146"/>
      <c r="D114" s="146"/>
      <c r="E114" s="146"/>
      <c r="F114" s="146"/>
      <c r="G114" s="146"/>
      <c r="H114" s="146"/>
      <c r="I114" s="146"/>
      <c r="J114" s="146"/>
      <c r="K114" s="146"/>
      <c r="L114" s="146"/>
    </row>
    <row r="115" spans="3:12" x14ac:dyDescent="0.2">
      <c r="C115" s="146"/>
      <c r="D115" s="146"/>
      <c r="E115" s="146"/>
      <c r="F115" s="146"/>
      <c r="G115" s="146"/>
      <c r="H115" s="146"/>
      <c r="I115" s="146"/>
      <c r="J115" s="146"/>
      <c r="K115" s="146"/>
      <c r="L115" s="146"/>
    </row>
    <row r="116" spans="3:12" x14ac:dyDescent="0.2">
      <c r="C116" s="146"/>
      <c r="D116" s="146"/>
      <c r="E116" s="146"/>
      <c r="F116" s="146"/>
      <c r="G116" s="146"/>
      <c r="H116" s="146"/>
      <c r="I116" s="146"/>
      <c r="J116" s="146"/>
      <c r="K116" s="146"/>
      <c r="L116" s="146"/>
    </row>
    <row r="117" spans="3:12" x14ac:dyDescent="0.2">
      <c r="C117" s="146"/>
      <c r="D117" s="146"/>
      <c r="E117" s="146"/>
      <c r="F117" s="146"/>
      <c r="G117" s="146"/>
      <c r="H117" s="146"/>
      <c r="I117" s="146"/>
      <c r="J117" s="146"/>
      <c r="K117" s="146"/>
      <c r="L117" s="146"/>
    </row>
    <row r="118" spans="3:12" x14ac:dyDescent="0.2">
      <c r="C118" s="146"/>
      <c r="D118" s="146"/>
      <c r="E118" s="146"/>
      <c r="F118" s="146"/>
      <c r="G118" s="146"/>
      <c r="H118" s="146"/>
      <c r="I118" s="146"/>
      <c r="J118" s="146"/>
      <c r="K118" s="146"/>
      <c r="L118" s="146"/>
    </row>
    <row r="119" spans="3:12" x14ac:dyDescent="0.2">
      <c r="C119" s="146"/>
      <c r="D119" s="146"/>
      <c r="E119" s="146"/>
      <c r="F119" s="146"/>
      <c r="G119" s="146"/>
      <c r="H119" s="146"/>
      <c r="I119" s="146"/>
      <c r="J119" s="146"/>
      <c r="K119" s="146"/>
      <c r="L119" s="146"/>
    </row>
    <row r="120" spans="3:12" x14ac:dyDescent="0.2">
      <c r="C120" s="146"/>
      <c r="D120" s="146"/>
      <c r="E120" s="146"/>
      <c r="F120" s="146"/>
      <c r="G120" s="146"/>
      <c r="H120" s="146"/>
      <c r="I120" s="146"/>
      <c r="J120" s="146"/>
      <c r="K120" s="146"/>
      <c r="L120" s="146"/>
    </row>
    <row r="121" spans="3:12" x14ac:dyDescent="0.2">
      <c r="C121" s="146"/>
      <c r="D121" s="146"/>
      <c r="E121" s="146"/>
      <c r="F121" s="146"/>
      <c r="G121" s="146"/>
      <c r="H121" s="146"/>
      <c r="I121" s="146"/>
      <c r="J121" s="146"/>
      <c r="K121" s="146"/>
      <c r="L121" s="146"/>
    </row>
    <row r="122" spans="3:12" x14ac:dyDescent="0.2">
      <c r="C122" s="146"/>
      <c r="D122" s="146"/>
      <c r="E122" s="146"/>
      <c r="F122" s="146"/>
      <c r="G122" s="146"/>
      <c r="H122" s="146"/>
      <c r="I122" s="146"/>
      <c r="J122" s="146"/>
      <c r="K122" s="146"/>
      <c r="L122" s="146"/>
    </row>
    <row r="123" spans="3:12" x14ac:dyDescent="0.2">
      <c r="C123" s="146"/>
      <c r="D123" s="146"/>
      <c r="E123" s="146"/>
      <c r="F123" s="146"/>
      <c r="G123" s="146"/>
      <c r="H123" s="146"/>
      <c r="I123" s="146"/>
      <c r="J123" s="146"/>
      <c r="K123" s="146"/>
      <c r="L123" s="146"/>
    </row>
    <row r="124" spans="3:12" x14ac:dyDescent="0.2">
      <c r="C124" s="146"/>
      <c r="D124" s="146"/>
      <c r="E124" s="146"/>
      <c r="F124" s="146"/>
      <c r="G124" s="146"/>
      <c r="H124" s="146"/>
      <c r="I124" s="146"/>
      <c r="J124" s="146"/>
      <c r="K124" s="146"/>
      <c r="L124" s="146"/>
    </row>
    <row r="125" spans="3:12" x14ac:dyDescent="0.2">
      <c r="C125" s="146"/>
      <c r="D125" s="146"/>
      <c r="E125" s="146"/>
      <c r="F125" s="146"/>
      <c r="G125" s="146"/>
      <c r="H125" s="146"/>
      <c r="I125" s="146"/>
      <c r="J125" s="146"/>
      <c r="K125" s="146"/>
      <c r="L125" s="146"/>
    </row>
    <row r="126" spans="3:12" x14ac:dyDescent="0.2">
      <c r="C126" s="146"/>
      <c r="D126" s="146"/>
      <c r="E126" s="146"/>
      <c r="F126" s="146"/>
      <c r="G126" s="146"/>
      <c r="H126" s="146"/>
      <c r="I126" s="146"/>
      <c r="J126" s="146"/>
      <c r="K126" s="146"/>
      <c r="L126" s="146"/>
    </row>
    <row r="127" spans="3:12" x14ac:dyDescent="0.2">
      <c r="C127" s="146"/>
      <c r="D127" s="146"/>
      <c r="E127" s="146"/>
      <c r="F127" s="146"/>
      <c r="G127" s="146"/>
      <c r="H127" s="146"/>
      <c r="I127" s="146"/>
      <c r="J127" s="146"/>
      <c r="K127" s="146"/>
      <c r="L127" s="146"/>
    </row>
    <row r="128" spans="3:12" x14ac:dyDescent="0.2">
      <c r="C128" s="146"/>
      <c r="D128" s="146"/>
      <c r="E128" s="146"/>
      <c r="F128" s="146"/>
      <c r="G128" s="146"/>
      <c r="H128" s="146"/>
      <c r="I128" s="146"/>
      <c r="J128" s="146"/>
      <c r="K128" s="146"/>
      <c r="L128" s="146"/>
    </row>
    <row r="129" spans="3:12" x14ac:dyDescent="0.2">
      <c r="C129" s="146"/>
      <c r="D129" s="146"/>
      <c r="E129" s="146"/>
      <c r="F129" s="146"/>
      <c r="G129" s="146"/>
      <c r="H129" s="146"/>
      <c r="I129" s="146"/>
      <c r="J129" s="146"/>
      <c r="K129" s="146"/>
      <c r="L129" s="146"/>
    </row>
    <row r="130" spans="3:12" x14ac:dyDescent="0.2">
      <c r="C130" s="146"/>
      <c r="D130" s="146"/>
      <c r="E130" s="146"/>
      <c r="F130" s="146"/>
      <c r="G130" s="146"/>
      <c r="H130" s="146"/>
      <c r="I130" s="146"/>
      <c r="J130" s="146"/>
      <c r="K130" s="146"/>
      <c r="L130" s="146"/>
    </row>
    <row r="131" spans="3:12" x14ac:dyDescent="0.2">
      <c r="C131" s="146"/>
      <c r="D131" s="146"/>
      <c r="E131" s="146"/>
      <c r="F131" s="146"/>
      <c r="G131" s="146"/>
      <c r="H131" s="146"/>
      <c r="I131" s="146"/>
      <c r="J131" s="146"/>
      <c r="K131" s="146"/>
      <c r="L131" s="146"/>
    </row>
    <row r="132" spans="3:12" x14ac:dyDescent="0.2">
      <c r="C132" s="146"/>
      <c r="D132" s="146"/>
      <c r="E132" s="146"/>
      <c r="F132" s="146"/>
      <c r="G132" s="146"/>
      <c r="H132" s="146"/>
      <c r="I132" s="146"/>
      <c r="J132" s="146"/>
      <c r="K132" s="146"/>
      <c r="L132" s="146"/>
    </row>
    <row r="133" spans="3:12" x14ac:dyDescent="0.2">
      <c r="C133" s="146"/>
      <c r="D133" s="146"/>
      <c r="E133" s="146"/>
      <c r="F133" s="146"/>
      <c r="G133" s="146"/>
      <c r="H133" s="146"/>
      <c r="I133" s="146"/>
      <c r="J133" s="146"/>
      <c r="K133" s="146"/>
      <c r="L133" s="146"/>
    </row>
    <row r="134" spans="3:12" x14ac:dyDescent="0.2">
      <c r="C134" s="146"/>
      <c r="D134" s="146"/>
      <c r="E134" s="146"/>
      <c r="F134" s="146"/>
      <c r="G134" s="146"/>
      <c r="H134" s="146"/>
      <c r="I134" s="146"/>
      <c r="J134" s="146"/>
      <c r="K134" s="146"/>
      <c r="L134" s="146"/>
    </row>
    <row r="135" spans="3:12" x14ac:dyDescent="0.2">
      <c r="C135" s="146"/>
      <c r="D135" s="146"/>
      <c r="E135" s="146"/>
      <c r="F135" s="146"/>
      <c r="G135" s="146"/>
      <c r="H135" s="146"/>
      <c r="I135" s="146"/>
      <c r="J135" s="146"/>
      <c r="K135" s="146"/>
      <c r="L135" s="146"/>
    </row>
    <row r="136" spans="3:12" x14ac:dyDescent="0.2">
      <c r="C136" s="146"/>
      <c r="D136" s="146"/>
      <c r="E136" s="146"/>
      <c r="F136" s="146"/>
      <c r="G136" s="146"/>
      <c r="H136" s="146"/>
      <c r="I136" s="146"/>
      <c r="J136" s="146"/>
      <c r="K136" s="146"/>
      <c r="L136" s="146"/>
    </row>
    <row r="137" spans="3:12" x14ac:dyDescent="0.2">
      <c r="C137" s="146"/>
      <c r="D137" s="146"/>
      <c r="E137" s="146"/>
      <c r="F137" s="146"/>
      <c r="G137" s="146"/>
      <c r="H137" s="146"/>
      <c r="I137" s="146"/>
      <c r="J137" s="146"/>
      <c r="K137" s="146"/>
      <c r="L137" s="146"/>
    </row>
    <row r="138" spans="3:12" x14ac:dyDescent="0.2">
      <c r="C138" s="146"/>
      <c r="D138" s="146"/>
      <c r="E138" s="146"/>
      <c r="F138" s="146"/>
      <c r="G138" s="146"/>
      <c r="H138" s="146"/>
      <c r="I138" s="146"/>
      <c r="J138" s="146"/>
      <c r="K138" s="146"/>
      <c r="L138" s="146"/>
    </row>
    <row r="139" spans="3:12" x14ac:dyDescent="0.2">
      <c r="C139" s="146"/>
      <c r="D139" s="146"/>
      <c r="E139" s="146"/>
      <c r="F139" s="146"/>
      <c r="G139" s="146"/>
      <c r="H139" s="146"/>
      <c r="I139" s="146"/>
      <c r="J139" s="146"/>
      <c r="K139" s="146"/>
      <c r="L139" s="146"/>
    </row>
    <row r="140" spans="3:12" x14ac:dyDescent="0.2">
      <c r="C140" s="146"/>
      <c r="D140" s="146"/>
      <c r="E140" s="146"/>
      <c r="F140" s="146"/>
      <c r="G140" s="146"/>
      <c r="H140" s="146"/>
      <c r="I140" s="146"/>
      <c r="J140" s="146"/>
      <c r="K140" s="146"/>
      <c r="L140" s="146"/>
    </row>
    <row r="141" spans="3:12" x14ac:dyDescent="0.2">
      <c r="C141" s="146"/>
      <c r="D141" s="146"/>
      <c r="E141" s="146"/>
      <c r="F141" s="146"/>
      <c r="G141" s="146"/>
      <c r="H141" s="146"/>
      <c r="I141" s="146"/>
      <c r="J141" s="146"/>
      <c r="K141" s="146"/>
      <c r="L141" s="146"/>
    </row>
    <row r="142" spans="3:12" x14ac:dyDescent="0.2">
      <c r="C142" s="146"/>
      <c r="D142" s="146"/>
      <c r="E142" s="146"/>
      <c r="F142" s="146"/>
      <c r="G142" s="146"/>
      <c r="H142" s="146"/>
      <c r="I142" s="146"/>
      <c r="J142" s="146"/>
      <c r="K142" s="146"/>
      <c r="L142" s="146"/>
    </row>
    <row r="143" spans="3:12" x14ac:dyDescent="0.2">
      <c r="C143" s="146"/>
      <c r="D143" s="146"/>
      <c r="E143" s="146"/>
      <c r="F143" s="146"/>
      <c r="G143" s="146"/>
      <c r="H143" s="146"/>
      <c r="I143" s="146"/>
      <c r="J143" s="146"/>
      <c r="K143" s="146"/>
      <c r="L143" s="146"/>
    </row>
    <row r="144" spans="3:12" x14ac:dyDescent="0.2">
      <c r="C144" s="146"/>
      <c r="D144" s="146"/>
      <c r="E144" s="146"/>
      <c r="F144" s="146"/>
      <c r="G144" s="146"/>
      <c r="H144" s="146"/>
      <c r="I144" s="146"/>
      <c r="J144" s="146"/>
      <c r="K144" s="146"/>
      <c r="L144" s="146"/>
    </row>
    <row r="145" spans="3:12" x14ac:dyDescent="0.2">
      <c r="C145" s="146"/>
      <c r="D145" s="146"/>
      <c r="E145" s="146"/>
      <c r="F145" s="146"/>
      <c r="G145" s="146"/>
      <c r="H145" s="146"/>
      <c r="I145" s="146"/>
      <c r="J145" s="146"/>
      <c r="K145" s="146"/>
      <c r="L145" s="146"/>
    </row>
    <row r="146" spans="3:12" x14ac:dyDescent="0.2">
      <c r="C146" s="146"/>
      <c r="D146" s="146"/>
      <c r="E146" s="146"/>
      <c r="F146" s="146"/>
      <c r="G146" s="146"/>
      <c r="H146" s="146"/>
      <c r="I146" s="146"/>
      <c r="J146" s="146"/>
      <c r="K146" s="146"/>
      <c r="L146" s="146"/>
    </row>
    <row r="147" spans="3:12" x14ac:dyDescent="0.2">
      <c r="C147" s="146"/>
      <c r="D147" s="146"/>
      <c r="E147" s="146"/>
      <c r="F147" s="146"/>
      <c r="G147" s="146"/>
      <c r="H147" s="146"/>
      <c r="I147" s="146"/>
      <c r="J147" s="146"/>
      <c r="K147" s="146"/>
      <c r="L147" s="146"/>
    </row>
    <row r="148" spans="3:12" x14ac:dyDescent="0.2">
      <c r="C148" s="146"/>
      <c r="D148" s="146"/>
      <c r="E148" s="146"/>
      <c r="F148" s="146"/>
      <c r="G148" s="146"/>
      <c r="H148" s="146"/>
      <c r="I148" s="146"/>
      <c r="J148" s="146"/>
      <c r="K148" s="146"/>
      <c r="L148" s="146"/>
    </row>
    <row r="149" spans="3:12" x14ac:dyDescent="0.2">
      <c r="C149" s="146"/>
      <c r="D149" s="146"/>
      <c r="E149" s="146"/>
      <c r="F149" s="146"/>
      <c r="G149" s="146"/>
      <c r="H149" s="146"/>
      <c r="I149" s="146"/>
      <c r="J149" s="146"/>
      <c r="K149" s="146"/>
      <c r="L149" s="146"/>
    </row>
    <row r="150" spans="3:12" x14ac:dyDescent="0.2">
      <c r="C150" s="146"/>
      <c r="D150" s="146"/>
      <c r="E150" s="146"/>
      <c r="F150" s="146"/>
      <c r="G150" s="146"/>
      <c r="H150" s="146"/>
      <c r="I150" s="146"/>
      <c r="J150" s="146"/>
      <c r="K150" s="146"/>
      <c r="L150" s="146"/>
    </row>
    <row r="151" spans="3:12" x14ac:dyDescent="0.2">
      <c r="C151" s="146"/>
      <c r="D151" s="146"/>
      <c r="E151" s="146"/>
      <c r="F151" s="146"/>
      <c r="G151" s="146"/>
      <c r="H151" s="146"/>
      <c r="I151" s="146"/>
      <c r="J151" s="146"/>
      <c r="K151" s="146"/>
      <c r="L151" s="146"/>
    </row>
    <row r="152" spans="3:12" x14ac:dyDescent="0.2">
      <c r="C152" s="146"/>
      <c r="D152" s="146"/>
      <c r="E152" s="146"/>
      <c r="F152" s="146"/>
      <c r="G152" s="146"/>
      <c r="H152" s="146"/>
      <c r="I152" s="146"/>
      <c r="J152" s="146"/>
      <c r="K152" s="146"/>
      <c r="L152" s="146"/>
    </row>
    <row r="153" spans="3:12" x14ac:dyDescent="0.2">
      <c r="C153" s="146"/>
      <c r="D153" s="146"/>
      <c r="E153" s="146"/>
      <c r="F153" s="146"/>
      <c r="G153" s="146"/>
      <c r="H153" s="146"/>
      <c r="I153" s="146"/>
      <c r="J153" s="146"/>
      <c r="K153" s="146"/>
      <c r="L153" s="146"/>
    </row>
    <row r="154" spans="3:12" x14ac:dyDescent="0.2">
      <c r="C154" s="146"/>
      <c r="D154" s="146"/>
      <c r="E154" s="146"/>
      <c r="F154" s="146"/>
      <c r="G154" s="146"/>
      <c r="H154" s="146"/>
      <c r="I154" s="146"/>
      <c r="J154" s="146"/>
      <c r="K154" s="146"/>
      <c r="L154" s="146"/>
    </row>
    <row r="155" spans="3:12" x14ac:dyDescent="0.2">
      <c r="C155" s="146"/>
      <c r="D155" s="146"/>
      <c r="E155" s="146"/>
      <c r="F155" s="146"/>
      <c r="G155" s="146"/>
      <c r="H155" s="146"/>
      <c r="I155" s="146"/>
      <c r="J155" s="146"/>
      <c r="K155" s="146"/>
      <c r="L155" s="146"/>
    </row>
    <row r="156" spans="3:12" x14ac:dyDescent="0.2">
      <c r="C156" s="146"/>
      <c r="D156" s="146"/>
      <c r="E156" s="146"/>
      <c r="F156" s="146"/>
      <c r="G156" s="146"/>
      <c r="H156" s="146"/>
      <c r="I156" s="146"/>
      <c r="J156" s="146"/>
      <c r="K156" s="146"/>
      <c r="L156" s="146"/>
    </row>
    <row r="157" spans="3:12" x14ac:dyDescent="0.2">
      <c r="C157" s="146"/>
      <c r="D157" s="146"/>
      <c r="E157" s="146"/>
      <c r="F157" s="146"/>
      <c r="G157" s="146"/>
      <c r="H157" s="146"/>
      <c r="I157" s="146"/>
      <c r="J157" s="146"/>
      <c r="K157" s="146"/>
      <c r="L157" s="146"/>
    </row>
    <row r="158" spans="3:12" x14ac:dyDescent="0.2">
      <c r="C158" s="146"/>
      <c r="D158" s="146"/>
      <c r="E158" s="146"/>
      <c r="F158" s="146"/>
      <c r="G158" s="146"/>
      <c r="H158" s="146"/>
      <c r="I158" s="146"/>
      <c r="J158" s="146"/>
      <c r="K158" s="146"/>
      <c r="L158" s="146"/>
    </row>
    <row r="159" spans="3:12" x14ac:dyDescent="0.2">
      <c r="C159" s="146"/>
      <c r="D159" s="146"/>
      <c r="E159" s="146"/>
      <c r="F159" s="146"/>
      <c r="G159" s="146"/>
      <c r="H159" s="146"/>
      <c r="I159" s="146"/>
      <c r="J159" s="146"/>
      <c r="K159" s="146"/>
      <c r="L159" s="146"/>
    </row>
    <row r="160" spans="3:12" x14ac:dyDescent="0.2">
      <c r="C160" s="146"/>
      <c r="D160" s="146"/>
      <c r="E160" s="146"/>
      <c r="F160" s="146"/>
      <c r="G160" s="146"/>
      <c r="H160" s="146"/>
      <c r="I160" s="146"/>
      <c r="J160" s="146"/>
      <c r="K160" s="146"/>
      <c r="L160" s="146"/>
    </row>
    <row r="161" spans="3:12" x14ac:dyDescent="0.2">
      <c r="C161" s="146"/>
      <c r="D161" s="146"/>
      <c r="E161" s="146"/>
      <c r="F161" s="146"/>
      <c r="G161" s="146"/>
      <c r="H161" s="146"/>
      <c r="I161" s="146"/>
      <c r="J161" s="146"/>
      <c r="K161" s="146"/>
      <c r="L161" s="146"/>
    </row>
    <row r="162" spans="3:12" x14ac:dyDescent="0.2">
      <c r="C162" s="146"/>
      <c r="D162" s="146"/>
      <c r="E162" s="146"/>
      <c r="F162" s="146"/>
      <c r="G162" s="146"/>
      <c r="H162" s="146"/>
      <c r="I162" s="146"/>
      <c r="J162" s="146"/>
      <c r="K162" s="146"/>
      <c r="L162" s="146"/>
    </row>
    <row r="163" spans="3:12" x14ac:dyDescent="0.2">
      <c r="C163" s="146"/>
      <c r="D163" s="146"/>
      <c r="E163" s="146"/>
      <c r="F163" s="146"/>
      <c r="G163" s="146"/>
      <c r="H163" s="146"/>
      <c r="I163" s="146"/>
      <c r="J163" s="146"/>
      <c r="K163" s="146"/>
      <c r="L163" s="146"/>
    </row>
    <row r="164" spans="3:12" x14ac:dyDescent="0.2">
      <c r="C164" s="146"/>
      <c r="D164" s="146"/>
      <c r="E164" s="146"/>
      <c r="F164" s="146"/>
      <c r="G164" s="146"/>
      <c r="H164" s="146"/>
      <c r="I164" s="146"/>
      <c r="J164" s="146"/>
      <c r="K164" s="146"/>
      <c r="L164" s="146"/>
    </row>
    <row r="165" spans="3:12" x14ac:dyDescent="0.2">
      <c r="C165" s="146"/>
      <c r="D165" s="146"/>
      <c r="E165" s="146"/>
      <c r="F165" s="146"/>
      <c r="G165" s="146"/>
      <c r="H165" s="146"/>
      <c r="I165" s="146"/>
      <c r="J165" s="146"/>
      <c r="K165" s="146"/>
      <c r="L165" s="146"/>
    </row>
    <row r="166" spans="3:12" x14ac:dyDescent="0.2">
      <c r="C166" s="146"/>
      <c r="D166" s="146"/>
      <c r="E166" s="146"/>
      <c r="F166" s="146"/>
      <c r="G166" s="146"/>
      <c r="H166" s="146"/>
      <c r="I166" s="146"/>
      <c r="J166" s="146"/>
      <c r="K166" s="146"/>
      <c r="L166" s="146"/>
    </row>
    <row r="167" spans="3:12" x14ac:dyDescent="0.2">
      <c r="C167" s="146"/>
      <c r="D167" s="146"/>
      <c r="E167" s="146"/>
      <c r="F167" s="146"/>
      <c r="G167" s="146"/>
      <c r="H167" s="146"/>
      <c r="I167" s="146"/>
      <c r="J167" s="146"/>
      <c r="K167" s="146"/>
      <c r="L167" s="146"/>
    </row>
    <row r="168" spans="3:12" x14ac:dyDescent="0.2">
      <c r="C168" s="146"/>
      <c r="D168" s="146"/>
      <c r="E168" s="146"/>
      <c r="F168" s="146"/>
      <c r="G168" s="146"/>
      <c r="H168" s="146"/>
      <c r="I168" s="146"/>
      <c r="J168" s="146"/>
      <c r="K168" s="146"/>
      <c r="L168" s="146"/>
    </row>
    <row r="169" spans="3:12" x14ac:dyDescent="0.2">
      <c r="C169" s="146"/>
      <c r="D169" s="146"/>
      <c r="E169" s="146"/>
      <c r="F169" s="146"/>
      <c r="G169" s="146"/>
      <c r="H169" s="146"/>
      <c r="I169" s="146"/>
      <c r="J169" s="146"/>
      <c r="K169" s="146"/>
      <c r="L169" s="146"/>
    </row>
    <row r="170" spans="3:12" x14ac:dyDescent="0.2">
      <c r="C170" s="146"/>
      <c r="D170" s="146"/>
      <c r="E170" s="146"/>
      <c r="F170" s="146"/>
      <c r="G170" s="146"/>
      <c r="H170" s="146"/>
      <c r="I170" s="146"/>
      <c r="J170" s="146"/>
      <c r="K170" s="146"/>
      <c r="L170" s="146"/>
    </row>
    <row r="171" spans="3:12" x14ac:dyDescent="0.2">
      <c r="C171" s="146"/>
      <c r="D171" s="146"/>
      <c r="E171" s="146"/>
      <c r="F171" s="146"/>
      <c r="G171" s="146"/>
      <c r="H171" s="146"/>
      <c r="I171" s="146"/>
      <c r="J171" s="146"/>
      <c r="K171" s="146"/>
      <c r="L171" s="146"/>
    </row>
    <row r="172" spans="3:12" x14ac:dyDescent="0.2">
      <c r="C172" s="146"/>
      <c r="D172" s="146"/>
      <c r="E172" s="146"/>
      <c r="F172" s="146"/>
      <c r="G172" s="146"/>
      <c r="H172" s="146"/>
      <c r="I172" s="146"/>
      <c r="J172" s="146"/>
      <c r="K172" s="146"/>
      <c r="L172" s="146"/>
    </row>
    <row r="173" spans="3:12" x14ac:dyDescent="0.2">
      <c r="C173" s="146"/>
      <c r="D173" s="146"/>
      <c r="E173" s="146"/>
      <c r="F173" s="146"/>
      <c r="G173" s="146"/>
      <c r="H173" s="146"/>
      <c r="I173" s="146"/>
      <c r="J173" s="146"/>
      <c r="K173" s="146"/>
      <c r="L173" s="146"/>
    </row>
    <row r="174" spans="3:12" x14ac:dyDescent="0.2">
      <c r="C174" s="146"/>
      <c r="D174" s="146"/>
      <c r="E174" s="146"/>
      <c r="F174" s="146"/>
      <c r="G174" s="146"/>
      <c r="H174" s="146"/>
      <c r="I174" s="146"/>
      <c r="J174" s="146"/>
      <c r="K174" s="146"/>
      <c r="L174" s="146"/>
    </row>
    <row r="175" spans="3:12" x14ac:dyDescent="0.2">
      <c r="C175" s="146"/>
      <c r="D175" s="146"/>
      <c r="E175" s="146"/>
      <c r="F175" s="146"/>
      <c r="G175" s="146"/>
      <c r="H175" s="146"/>
      <c r="I175" s="146"/>
      <c r="J175" s="146"/>
      <c r="K175" s="146"/>
      <c r="L175" s="146"/>
    </row>
    <row r="176" spans="3:12" x14ac:dyDescent="0.2">
      <c r="C176" s="146"/>
      <c r="D176" s="146"/>
      <c r="E176" s="146"/>
      <c r="F176" s="146"/>
      <c r="G176" s="146"/>
      <c r="H176" s="146"/>
      <c r="I176" s="146"/>
      <c r="J176" s="146"/>
      <c r="K176" s="146"/>
      <c r="L176" s="146"/>
    </row>
    <row r="177" spans="3:12" x14ac:dyDescent="0.2">
      <c r="C177" s="146"/>
      <c r="D177" s="146"/>
      <c r="E177" s="146"/>
      <c r="F177" s="146"/>
      <c r="G177" s="146"/>
      <c r="H177" s="146"/>
      <c r="I177" s="146"/>
      <c r="J177" s="146"/>
      <c r="K177" s="146"/>
      <c r="L177" s="146"/>
    </row>
    <row r="178" spans="3:12" x14ac:dyDescent="0.2">
      <c r="C178" s="146"/>
      <c r="D178" s="146"/>
      <c r="E178" s="146"/>
      <c r="F178" s="146"/>
      <c r="G178" s="146"/>
      <c r="H178" s="146"/>
      <c r="I178" s="146"/>
      <c r="J178" s="146"/>
      <c r="K178" s="146"/>
      <c r="L178" s="146"/>
    </row>
    <row r="179" spans="3:12" x14ac:dyDescent="0.2">
      <c r="C179" s="146"/>
      <c r="D179" s="146"/>
      <c r="E179" s="146"/>
      <c r="F179" s="146"/>
      <c r="G179" s="146"/>
      <c r="H179" s="146"/>
      <c r="I179" s="146"/>
      <c r="J179" s="146"/>
      <c r="K179" s="146"/>
      <c r="L179" s="146"/>
    </row>
    <row r="180" spans="3:12" x14ac:dyDescent="0.2">
      <c r="C180" s="146"/>
      <c r="D180" s="146"/>
      <c r="E180" s="146"/>
      <c r="F180" s="146"/>
      <c r="G180" s="146"/>
      <c r="H180" s="146"/>
      <c r="I180" s="146"/>
      <c r="J180" s="146"/>
      <c r="K180" s="146"/>
      <c r="L180" s="146"/>
    </row>
    <row r="181" spans="3:12" x14ac:dyDescent="0.2">
      <c r="C181" s="146"/>
      <c r="D181" s="146"/>
      <c r="E181" s="146"/>
      <c r="F181" s="146"/>
      <c r="G181" s="146"/>
      <c r="H181" s="146"/>
      <c r="I181" s="146"/>
      <c r="J181" s="146"/>
      <c r="K181" s="146"/>
      <c r="L181" s="146"/>
    </row>
    <row r="182" spans="3:12" x14ac:dyDescent="0.2">
      <c r="C182" s="146"/>
      <c r="D182" s="146"/>
      <c r="E182" s="146"/>
      <c r="F182" s="146"/>
      <c r="G182" s="146"/>
      <c r="H182" s="146"/>
      <c r="I182" s="146"/>
      <c r="J182" s="146"/>
      <c r="K182" s="146"/>
      <c r="L182" s="146"/>
    </row>
    <row r="183" spans="3:12" x14ac:dyDescent="0.2">
      <c r="C183" s="146"/>
      <c r="D183" s="146"/>
      <c r="E183" s="146"/>
      <c r="F183" s="146"/>
      <c r="G183" s="146"/>
      <c r="H183" s="146"/>
      <c r="I183" s="146"/>
      <c r="J183" s="146"/>
      <c r="K183" s="146"/>
      <c r="L183" s="146"/>
    </row>
    <row r="184" spans="3:12" x14ac:dyDescent="0.2">
      <c r="C184" s="146"/>
      <c r="D184" s="146"/>
      <c r="E184" s="146"/>
      <c r="F184" s="146"/>
      <c r="G184" s="146"/>
      <c r="H184" s="146"/>
      <c r="I184" s="146"/>
      <c r="J184" s="146"/>
      <c r="K184" s="146"/>
      <c r="L184" s="146"/>
    </row>
    <row r="185" spans="3:12" x14ac:dyDescent="0.2">
      <c r="C185" s="146"/>
      <c r="D185" s="146"/>
      <c r="E185" s="146"/>
      <c r="F185" s="146"/>
      <c r="G185" s="146"/>
      <c r="H185" s="146"/>
      <c r="I185" s="146"/>
      <c r="J185" s="146"/>
      <c r="K185" s="146"/>
      <c r="L185" s="146"/>
    </row>
    <row r="186" spans="3:12" x14ac:dyDescent="0.2">
      <c r="C186" s="146"/>
      <c r="D186" s="146"/>
      <c r="E186" s="146"/>
      <c r="F186" s="146"/>
      <c r="G186" s="146"/>
      <c r="H186" s="146"/>
      <c r="I186" s="146"/>
      <c r="J186" s="146"/>
      <c r="K186" s="146"/>
      <c r="L186" s="146"/>
    </row>
    <row r="187" spans="3:12" x14ac:dyDescent="0.2">
      <c r="C187" s="146"/>
      <c r="D187" s="146"/>
      <c r="E187" s="146"/>
      <c r="F187" s="146"/>
      <c r="G187" s="146"/>
      <c r="H187" s="146"/>
      <c r="I187" s="146"/>
      <c r="J187" s="146"/>
      <c r="K187" s="146"/>
      <c r="L187" s="146"/>
    </row>
    <row r="188" spans="3:12" x14ac:dyDescent="0.2">
      <c r="C188" s="146"/>
      <c r="D188" s="146"/>
      <c r="E188" s="146"/>
      <c r="F188" s="146"/>
      <c r="G188" s="146"/>
      <c r="H188" s="146"/>
      <c r="I188" s="146"/>
      <c r="J188" s="146"/>
      <c r="K188" s="146"/>
      <c r="L188" s="146"/>
    </row>
    <row r="189" spans="3:12" x14ac:dyDescent="0.2">
      <c r="C189" s="146"/>
      <c r="D189" s="146"/>
      <c r="E189" s="146"/>
      <c r="F189" s="146"/>
      <c r="G189" s="146"/>
      <c r="H189" s="146"/>
      <c r="I189" s="146"/>
      <c r="J189" s="146"/>
      <c r="K189" s="146"/>
      <c r="L189" s="146"/>
    </row>
    <row r="190" spans="3:12" x14ac:dyDescent="0.2">
      <c r="C190" s="146"/>
      <c r="D190" s="146"/>
      <c r="E190" s="146"/>
      <c r="F190" s="146"/>
      <c r="G190" s="146"/>
      <c r="H190" s="146"/>
      <c r="I190" s="146"/>
      <c r="J190" s="146"/>
      <c r="K190" s="146"/>
      <c r="L190" s="146"/>
    </row>
    <row r="191" spans="3:12" x14ac:dyDescent="0.2">
      <c r="C191" s="146"/>
      <c r="D191" s="146"/>
      <c r="E191" s="146"/>
      <c r="F191" s="146"/>
      <c r="G191" s="146"/>
      <c r="H191" s="146"/>
      <c r="I191" s="146"/>
      <c r="J191" s="146"/>
      <c r="K191" s="146"/>
      <c r="L191" s="146"/>
    </row>
    <row r="192" spans="3:12" x14ac:dyDescent="0.2">
      <c r="C192" s="146"/>
      <c r="D192" s="146"/>
      <c r="E192" s="146"/>
      <c r="F192" s="146"/>
      <c r="G192" s="146"/>
      <c r="H192" s="146"/>
      <c r="I192" s="146"/>
      <c r="J192" s="146"/>
      <c r="K192" s="146"/>
      <c r="L192" s="146"/>
    </row>
    <row r="193" spans="3:12" x14ac:dyDescent="0.2">
      <c r="C193" s="146"/>
      <c r="D193" s="146"/>
      <c r="E193" s="146"/>
      <c r="F193" s="146"/>
      <c r="G193" s="146"/>
      <c r="H193" s="146"/>
      <c r="I193" s="146"/>
      <c r="J193" s="146"/>
      <c r="K193" s="146"/>
      <c r="L193" s="146"/>
    </row>
    <row r="194" spans="3:12" x14ac:dyDescent="0.2">
      <c r="C194" s="146"/>
      <c r="D194" s="146"/>
      <c r="E194" s="146"/>
      <c r="F194" s="146"/>
      <c r="G194" s="146"/>
      <c r="H194" s="146"/>
      <c r="I194" s="146"/>
      <c r="J194" s="146"/>
      <c r="K194" s="146"/>
      <c r="L194" s="146"/>
    </row>
    <row r="195" spans="3:12" x14ac:dyDescent="0.2">
      <c r="C195" s="146"/>
      <c r="D195" s="146"/>
      <c r="E195" s="146"/>
      <c r="F195" s="146"/>
      <c r="G195" s="146"/>
      <c r="H195" s="146"/>
      <c r="I195" s="146"/>
      <c r="J195" s="146"/>
      <c r="K195" s="146"/>
      <c r="L195" s="146"/>
    </row>
    <row r="196" spans="3:12" x14ac:dyDescent="0.2">
      <c r="C196" s="146"/>
      <c r="D196" s="146"/>
      <c r="E196" s="146"/>
      <c r="F196" s="146"/>
      <c r="G196" s="146"/>
      <c r="H196" s="146"/>
      <c r="I196" s="146"/>
      <c r="J196" s="146"/>
      <c r="K196" s="146"/>
      <c r="L196" s="146"/>
    </row>
    <row r="197" spans="3:12" x14ac:dyDescent="0.2">
      <c r="C197" s="146"/>
      <c r="D197" s="146"/>
      <c r="E197" s="146"/>
      <c r="F197" s="146"/>
      <c r="G197" s="146"/>
      <c r="H197" s="146"/>
      <c r="I197" s="146"/>
      <c r="J197" s="146"/>
      <c r="K197" s="146"/>
      <c r="L197" s="146"/>
    </row>
    <row r="198" spans="3:12" x14ac:dyDescent="0.2">
      <c r="C198" s="146"/>
      <c r="D198" s="146"/>
      <c r="E198" s="146"/>
      <c r="F198" s="146"/>
      <c r="G198" s="146"/>
      <c r="H198" s="146"/>
      <c r="I198" s="146"/>
      <c r="J198" s="146"/>
      <c r="K198" s="146"/>
      <c r="L198" s="146"/>
    </row>
    <row r="199" spans="3:12" x14ac:dyDescent="0.2">
      <c r="C199" s="146"/>
      <c r="D199" s="146"/>
      <c r="E199" s="146"/>
      <c r="F199" s="146"/>
      <c r="G199" s="146"/>
      <c r="H199" s="146"/>
      <c r="I199" s="146"/>
      <c r="J199" s="146"/>
      <c r="K199" s="146"/>
      <c r="L199" s="146"/>
    </row>
    <row r="200" spans="3:12" x14ac:dyDescent="0.2">
      <c r="C200" s="146"/>
      <c r="D200" s="146"/>
      <c r="E200" s="146"/>
      <c r="F200" s="146"/>
      <c r="G200" s="146"/>
      <c r="H200" s="146"/>
      <c r="I200" s="146"/>
      <c r="J200" s="146"/>
      <c r="K200" s="146"/>
      <c r="L200" s="146"/>
    </row>
    <row r="201" spans="3:12" x14ac:dyDescent="0.2">
      <c r="C201" s="146"/>
      <c r="D201" s="146"/>
      <c r="E201" s="146"/>
      <c r="F201" s="146"/>
      <c r="G201" s="146"/>
      <c r="H201" s="146"/>
      <c r="I201" s="146"/>
      <c r="J201" s="146"/>
      <c r="K201" s="146"/>
      <c r="L201" s="146"/>
    </row>
    <row r="202" spans="3:12" x14ac:dyDescent="0.2">
      <c r="C202" s="146"/>
      <c r="D202" s="146"/>
      <c r="E202" s="146"/>
      <c r="F202" s="146"/>
      <c r="G202" s="146"/>
      <c r="H202" s="146"/>
      <c r="I202" s="146"/>
      <c r="J202" s="146"/>
      <c r="K202" s="146"/>
      <c r="L202" s="146"/>
    </row>
    <row r="203" spans="3:12" x14ac:dyDescent="0.2">
      <c r="C203" s="146"/>
      <c r="D203" s="146"/>
      <c r="E203" s="146"/>
      <c r="F203" s="146"/>
      <c r="G203" s="146"/>
      <c r="H203" s="146"/>
      <c r="I203" s="146"/>
      <c r="J203" s="146"/>
      <c r="K203" s="146"/>
      <c r="L203" s="146"/>
    </row>
    <row r="204" spans="3:12" x14ac:dyDescent="0.2">
      <c r="C204" s="146"/>
      <c r="D204" s="146"/>
      <c r="E204" s="146"/>
      <c r="F204" s="146"/>
      <c r="G204" s="146"/>
      <c r="H204" s="146"/>
      <c r="I204" s="146"/>
      <c r="J204" s="146"/>
      <c r="K204" s="146"/>
      <c r="L204" s="146"/>
    </row>
    <row r="205" spans="3:12" x14ac:dyDescent="0.2">
      <c r="C205" s="146"/>
      <c r="D205" s="146"/>
      <c r="E205" s="146"/>
      <c r="F205" s="146"/>
      <c r="G205" s="146"/>
      <c r="H205" s="146"/>
      <c r="I205" s="146"/>
      <c r="J205" s="146"/>
      <c r="K205" s="146"/>
      <c r="L205" s="146"/>
    </row>
    <row r="206" spans="3:12" x14ac:dyDescent="0.2">
      <c r="C206" s="146"/>
      <c r="D206" s="146"/>
      <c r="E206" s="146"/>
      <c r="F206" s="146"/>
      <c r="G206" s="146"/>
      <c r="H206" s="146"/>
      <c r="I206" s="146"/>
      <c r="J206" s="146"/>
      <c r="K206" s="146"/>
      <c r="L206" s="146"/>
    </row>
    <row r="207" spans="3:12" x14ac:dyDescent="0.2">
      <c r="C207" s="146"/>
      <c r="D207" s="146"/>
      <c r="E207" s="146"/>
      <c r="F207" s="146"/>
      <c r="G207" s="146"/>
      <c r="H207" s="146"/>
      <c r="I207" s="146"/>
      <c r="J207" s="146"/>
      <c r="K207" s="146"/>
      <c r="L207" s="146"/>
    </row>
    <row r="208" spans="3:12" x14ac:dyDescent="0.2">
      <c r="C208" s="146"/>
      <c r="D208" s="146"/>
      <c r="E208" s="146"/>
      <c r="F208" s="146"/>
      <c r="G208" s="146"/>
      <c r="H208" s="146"/>
      <c r="I208" s="146"/>
      <c r="J208" s="146"/>
      <c r="K208" s="146"/>
      <c r="L208" s="146"/>
    </row>
    <row r="209" spans="3:12" x14ac:dyDescent="0.2">
      <c r="C209" s="146"/>
      <c r="D209" s="146"/>
      <c r="E209" s="146"/>
      <c r="F209" s="146"/>
      <c r="G209" s="146"/>
      <c r="H209" s="146"/>
      <c r="I209" s="146"/>
      <c r="J209" s="146"/>
      <c r="K209" s="146"/>
      <c r="L209" s="146"/>
    </row>
    <row r="210" spans="3:12" x14ac:dyDescent="0.2">
      <c r="C210" s="146"/>
      <c r="D210" s="146"/>
      <c r="E210" s="146"/>
      <c r="F210" s="146"/>
      <c r="G210" s="146"/>
      <c r="H210" s="146"/>
      <c r="I210" s="146"/>
      <c r="J210" s="146"/>
      <c r="K210" s="146"/>
      <c r="L210" s="146"/>
    </row>
    <row r="211" spans="3:12" x14ac:dyDescent="0.2">
      <c r="C211" s="146"/>
      <c r="D211" s="146"/>
      <c r="E211" s="146"/>
      <c r="F211" s="146"/>
      <c r="G211" s="146"/>
      <c r="H211" s="146"/>
      <c r="I211" s="146"/>
      <c r="J211" s="146"/>
      <c r="K211" s="146"/>
      <c r="L211" s="146"/>
    </row>
    <row r="212" spans="3:12" x14ac:dyDescent="0.2">
      <c r="C212" s="146"/>
      <c r="D212" s="146"/>
      <c r="E212" s="146"/>
      <c r="F212" s="146"/>
      <c r="G212" s="146"/>
      <c r="H212" s="146"/>
      <c r="I212" s="146"/>
      <c r="J212" s="146"/>
      <c r="K212" s="146"/>
      <c r="L212" s="146"/>
    </row>
    <row r="213" spans="3:12" x14ac:dyDescent="0.2">
      <c r="C213" s="146"/>
      <c r="D213" s="146"/>
      <c r="E213" s="146"/>
      <c r="F213" s="146"/>
      <c r="G213" s="146"/>
      <c r="H213" s="146"/>
      <c r="I213" s="146"/>
      <c r="J213" s="146"/>
      <c r="K213" s="146"/>
      <c r="L213" s="146"/>
    </row>
    <row r="214" spans="3:12" x14ac:dyDescent="0.2">
      <c r="C214" s="146"/>
      <c r="D214" s="146"/>
      <c r="E214" s="146"/>
      <c r="F214" s="146"/>
      <c r="G214" s="146"/>
      <c r="H214" s="146"/>
      <c r="I214" s="146"/>
      <c r="J214" s="146"/>
      <c r="K214" s="146"/>
      <c r="L214" s="146"/>
    </row>
    <row r="215" spans="3:12" x14ac:dyDescent="0.2">
      <c r="C215" s="146"/>
      <c r="D215" s="146"/>
      <c r="E215" s="146"/>
      <c r="F215" s="146"/>
      <c r="G215" s="146"/>
      <c r="H215" s="146"/>
      <c r="I215" s="146"/>
      <c r="J215" s="146"/>
      <c r="K215" s="146"/>
      <c r="L215" s="146"/>
    </row>
    <row r="216" spans="3:12" x14ac:dyDescent="0.2">
      <c r="C216" s="146"/>
      <c r="D216" s="146"/>
      <c r="E216" s="146"/>
      <c r="F216" s="146"/>
      <c r="G216" s="146"/>
      <c r="H216" s="146"/>
      <c r="I216" s="146"/>
      <c r="J216" s="146"/>
      <c r="K216" s="146"/>
      <c r="L216" s="146"/>
    </row>
    <row r="217" spans="3:12" x14ac:dyDescent="0.2">
      <c r="C217" s="146"/>
      <c r="D217" s="146"/>
      <c r="E217" s="146"/>
      <c r="F217" s="146"/>
      <c r="G217" s="146"/>
      <c r="H217" s="146"/>
      <c r="I217" s="146"/>
      <c r="J217" s="146"/>
      <c r="K217" s="146"/>
      <c r="L217" s="146"/>
    </row>
    <row r="218" spans="3:12" x14ac:dyDescent="0.2">
      <c r="C218" s="146"/>
      <c r="D218" s="146"/>
      <c r="E218" s="146"/>
      <c r="F218" s="146"/>
      <c r="G218" s="146"/>
      <c r="H218" s="146"/>
      <c r="I218" s="146"/>
      <c r="J218" s="146"/>
      <c r="K218" s="146"/>
      <c r="L218" s="146"/>
    </row>
    <row r="219" spans="3:12" x14ac:dyDescent="0.2">
      <c r="C219" s="146"/>
      <c r="D219" s="146"/>
      <c r="E219" s="146"/>
      <c r="F219" s="146"/>
      <c r="G219" s="146"/>
      <c r="H219" s="146"/>
      <c r="I219" s="146"/>
      <c r="J219" s="146"/>
      <c r="K219" s="146"/>
      <c r="L219" s="146"/>
    </row>
    <row r="220" spans="3:12" x14ac:dyDescent="0.2">
      <c r="C220" s="146"/>
      <c r="D220" s="146"/>
      <c r="E220" s="146"/>
      <c r="F220" s="146"/>
      <c r="G220" s="146"/>
      <c r="H220" s="146"/>
      <c r="I220" s="146"/>
      <c r="J220" s="146"/>
      <c r="K220" s="146"/>
      <c r="L220" s="146"/>
    </row>
    <row r="221" spans="3:12" x14ac:dyDescent="0.2">
      <c r="C221" s="146"/>
      <c r="D221" s="146"/>
      <c r="E221" s="146"/>
      <c r="F221" s="146"/>
      <c r="G221" s="146"/>
      <c r="H221" s="146"/>
      <c r="I221" s="146"/>
      <c r="J221" s="146"/>
      <c r="K221" s="146"/>
      <c r="L221" s="146"/>
    </row>
    <row r="222" spans="3:12" x14ac:dyDescent="0.2">
      <c r="C222" s="146"/>
      <c r="D222" s="146"/>
      <c r="E222" s="146"/>
      <c r="F222" s="146"/>
      <c r="G222" s="146"/>
      <c r="H222" s="146"/>
      <c r="I222" s="146"/>
      <c r="J222" s="146"/>
      <c r="K222" s="146"/>
      <c r="L222" s="146"/>
    </row>
    <row r="223" spans="3:12" x14ac:dyDescent="0.2">
      <c r="C223" s="146"/>
      <c r="D223" s="146"/>
      <c r="E223" s="146"/>
      <c r="F223" s="146"/>
      <c r="G223" s="146"/>
      <c r="H223" s="146"/>
      <c r="I223" s="146"/>
      <c r="J223" s="146"/>
      <c r="K223" s="146"/>
      <c r="L223" s="146"/>
    </row>
    <row r="224" spans="3:12" x14ac:dyDescent="0.2">
      <c r="C224" s="146"/>
      <c r="D224" s="146"/>
      <c r="E224" s="146"/>
      <c r="F224" s="146"/>
      <c r="G224" s="146"/>
      <c r="H224" s="146"/>
      <c r="I224" s="146"/>
      <c r="J224" s="146"/>
      <c r="K224" s="146"/>
      <c r="L224" s="146"/>
    </row>
    <row r="225" spans="3:12" x14ac:dyDescent="0.2">
      <c r="C225" s="146"/>
      <c r="D225" s="146"/>
      <c r="E225" s="146"/>
      <c r="F225" s="146"/>
      <c r="G225" s="146"/>
      <c r="H225" s="146"/>
      <c r="I225" s="146"/>
      <c r="J225" s="146"/>
      <c r="K225" s="146"/>
      <c r="L225" s="146"/>
    </row>
    <row r="226" spans="3:12" x14ac:dyDescent="0.2">
      <c r="C226" s="146"/>
      <c r="D226" s="146"/>
      <c r="E226" s="146"/>
      <c r="F226" s="146"/>
      <c r="G226" s="146"/>
      <c r="H226" s="146"/>
      <c r="I226" s="146"/>
      <c r="J226" s="146"/>
      <c r="K226" s="146"/>
      <c r="L226" s="146"/>
    </row>
    <row r="227" spans="3:12" x14ac:dyDescent="0.2">
      <c r="C227" s="146"/>
      <c r="D227" s="146"/>
      <c r="E227" s="146"/>
      <c r="F227" s="146"/>
      <c r="G227" s="146"/>
      <c r="H227" s="146"/>
      <c r="I227" s="146"/>
      <c r="J227" s="146"/>
      <c r="K227" s="146"/>
      <c r="L227" s="146"/>
    </row>
    <row r="228" spans="3:12" x14ac:dyDescent="0.2">
      <c r="C228" s="146"/>
      <c r="D228" s="146"/>
      <c r="E228" s="146"/>
      <c r="F228" s="146"/>
      <c r="G228" s="146"/>
      <c r="H228" s="146"/>
      <c r="I228" s="146"/>
      <c r="J228" s="146"/>
      <c r="K228" s="146"/>
      <c r="L228" s="146"/>
    </row>
    <row r="229" spans="3:12" x14ac:dyDescent="0.2">
      <c r="C229" s="146"/>
      <c r="D229" s="146"/>
      <c r="E229" s="146"/>
      <c r="F229" s="146"/>
      <c r="G229" s="146"/>
      <c r="H229" s="146"/>
      <c r="I229" s="146"/>
      <c r="J229" s="146"/>
      <c r="K229" s="146"/>
      <c r="L229" s="146"/>
    </row>
    <row r="230" spans="3:12" x14ac:dyDescent="0.2">
      <c r="C230" s="146"/>
      <c r="D230" s="146"/>
      <c r="E230" s="146"/>
      <c r="F230" s="146"/>
      <c r="G230" s="146"/>
      <c r="H230" s="146"/>
      <c r="I230" s="146"/>
      <c r="J230" s="146"/>
      <c r="K230" s="146"/>
      <c r="L230" s="146"/>
    </row>
    <row r="231" spans="3:12" x14ac:dyDescent="0.2">
      <c r="C231" s="146"/>
      <c r="D231" s="146"/>
      <c r="E231" s="146"/>
      <c r="F231" s="146"/>
      <c r="G231" s="146"/>
      <c r="H231" s="146"/>
      <c r="I231" s="146"/>
      <c r="J231" s="146"/>
      <c r="K231" s="146"/>
      <c r="L231" s="146"/>
    </row>
    <row r="232" spans="3:12" x14ac:dyDescent="0.2">
      <c r="C232" s="146"/>
      <c r="D232" s="146"/>
      <c r="E232" s="146"/>
      <c r="F232" s="146"/>
      <c r="G232" s="146"/>
      <c r="H232" s="146"/>
      <c r="I232" s="146"/>
      <c r="J232" s="146"/>
      <c r="K232" s="146"/>
      <c r="L232" s="146"/>
    </row>
    <row r="233" spans="3:12" x14ac:dyDescent="0.2">
      <c r="C233" s="146"/>
      <c r="D233" s="146"/>
      <c r="E233" s="146"/>
      <c r="F233" s="146"/>
      <c r="G233" s="146"/>
      <c r="H233" s="146"/>
      <c r="I233" s="146"/>
      <c r="J233" s="146"/>
      <c r="K233" s="146"/>
      <c r="L233" s="146"/>
    </row>
    <row r="234" spans="3:12" x14ac:dyDescent="0.2">
      <c r="C234" s="146"/>
      <c r="D234" s="146"/>
      <c r="E234" s="146"/>
      <c r="F234" s="146"/>
      <c r="G234" s="146"/>
      <c r="H234" s="146"/>
      <c r="I234" s="146"/>
      <c r="J234" s="146"/>
      <c r="K234" s="146"/>
      <c r="L234" s="146"/>
    </row>
    <row r="235" spans="3:12" x14ac:dyDescent="0.2">
      <c r="C235" s="146"/>
      <c r="D235" s="146"/>
      <c r="E235" s="146"/>
      <c r="F235" s="146"/>
      <c r="G235" s="146"/>
      <c r="H235" s="146"/>
      <c r="I235" s="146"/>
      <c r="J235" s="146"/>
      <c r="K235" s="146"/>
      <c r="L235" s="146"/>
    </row>
    <row r="236" spans="3:12" x14ac:dyDescent="0.2">
      <c r="C236" s="146"/>
      <c r="D236" s="146"/>
      <c r="E236" s="146"/>
      <c r="F236" s="146"/>
      <c r="G236" s="146"/>
      <c r="H236" s="146"/>
      <c r="I236" s="146"/>
      <c r="J236" s="146"/>
      <c r="K236" s="146"/>
      <c r="L236" s="146"/>
    </row>
    <row r="237" spans="3:12" x14ac:dyDescent="0.2">
      <c r="C237" s="146"/>
      <c r="D237" s="146"/>
      <c r="E237" s="146"/>
      <c r="F237" s="146"/>
      <c r="G237" s="146"/>
      <c r="H237" s="146"/>
      <c r="I237" s="146"/>
      <c r="J237" s="146"/>
      <c r="K237" s="146"/>
      <c r="L237" s="146"/>
    </row>
    <row r="238" spans="3:12" x14ac:dyDescent="0.2">
      <c r="C238" s="146"/>
      <c r="D238" s="146"/>
      <c r="E238" s="146"/>
      <c r="F238" s="146"/>
      <c r="G238" s="146"/>
      <c r="H238" s="146"/>
      <c r="I238" s="146"/>
      <c r="J238" s="146"/>
      <c r="K238" s="146"/>
      <c r="L238" s="146"/>
    </row>
    <row r="239" spans="3:12" x14ac:dyDescent="0.2">
      <c r="C239" s="146"/>
      <c r="D239" s="146"/>
      <c r="E239" s="146"/>
      <c r="F239" s="146"/>
      <c r="G239" s="146"/>
      <c r="H239" s="146"/>
      <c r="I239" s="146"/>
      <c r="J239" s="146"/>
      <c r="K239" s="146"/>
      <c r="L239" s="146"/>
    </row>
    <row r="240" spans="3:12" x14ac:dyDescent="0.2">
      <c r="C240" s="146"/>
      <c r="D240" s="146"/>
      <c r="E240" s="146"/>
      <c r="F240" s="146"/>
      <c r="G240" s="146"/>
      <c r="H240" s="146"/>
      <c r="I240" s="146"/>
      <c r="J240" s="146"/>
      <c r="K240" s="146"/>
      <c r="L240" s="146"/>
    </row>
    <row r="241" spans="3:12" x14ac:dyDescent="0.2">
      <c r="C241" s="146"/>
      <c r="D241" s="146"/>
      <c r="E241" s="146"/>
      <c r="F241" s="146"/>
      <c r="G241" s="146"/>
      <c r="H241" s="146"/>
      <c r="I241" s="146"/>
      <c r="J241" s="146"/>
      <c r="K241" s="146"/>
      <c r="L241" s="146"/>
    </row>
    <row r="242" spans="3:12" x14ac:dyDescent="0.2">
      <c r="C242" s="146"/>
      <c r="D242" s="146"/>
      <c r="E242" s="146"/>
      <c r="F242" s="146"/>
      <c r="G242" s="146"/>
      <c r="H242" s="146"/>
      <c r="I242" s="146"/>
      <c r="J242" s="146"/>
      <c r="K242" s="146"/>
      <c r="L242" s="146"/>
    </row>
    <row r="243" spans="3:12" x14ac:dyDescent="0.2">
      <c r="C243" s="146"/>
      <c r="D243" s="146"/>
      <c r="E243" s="146"/>
      <c r="F243" s="146"/>
      <c r="G243" s="146"/>
      <c r="H243" s="146"/>
      <c r="I243" s="146"/>
      <c r="J243" s="146"/>
      <c r="K243" s="146"/>
      <c r="L243" s="146"/>
    </row>
    <row r="244" spans="3:12" x14ac:dyDescent="0.2">
      <c r="C244" s="146"/>
      <c r="D244" s="146"/>
      <c r="E244" s="146"/>
      <c r="F244" s="146"/>
      <c r="G244" s="146"/>
      <c r="H244" s="146"/>
      <c r="I244" s="146"/>
      <c r="J244" s="146"/>
      <c r="K244" s="146"/>
      <c r="L244" s="146"/>
    </row>
    <row r="245" spans="3:12" x14ac:dyDescent="0.2">
      <c r="C245" s="146"/>
      <c r="D245" s="146"/>
      <c r="E245" s="146"/>
      <c r="F245" s="146"/>
      <c r="G245" s="146"/>
      <c r="H245" s="146"/>
      <c r="I245" s="146"/>
      <c r="J245" s="146"/>
      <c r="K245" s="146"/>
      <c r="L245" s="146"/>
    </row>
    <row r="246" spans="3:12" x14ac:dyDescent="0.2">
      <c r="C246" s="146"/>
      <c r="D246" s="146"/>
      <c r="E246" s="146"/>
      <c r="F246" s="146"/>
      <c r="G246" s="146"/>
      <c r="H246" s="146"/>
      <c r="I246" s="146"/>
      <c r="J246" s="146"/>
      <c r="K246" s="146"/>
      <c r="L246" s="146"/>
    </row>
    <row r="247" spans="3:12" x14ac:dyDescent="0.2">
      <c r="C247" s="146"/>
      <c r="D247" s="146"/>
      <c r="E247" s="146"/>
      <c r="F247" s="146"/>
      <c r="G247" s="146"/>
      <c r="H247" s="146"/>
      <c r="I247" s="146"/>
      <c r="J247" s="146"/>
      <c r="K247" s="146"/>
      <c r="L247" s="146"/>
    </row>
    <row r="248" spans="3:12" x14ac:dyDescent="0.2">
      <c r="C248" s="146"/>
      <c r="D248" s="146"/>
      <c r="E248" s="146"/>
      <c r="F248" s="146"/>
      <c r="G248" s="146"/>
      <c r="H248" s="146"/>
      <c r="I248" s="146"/>
      <c r="J248" s="146"/>
      <c r="K248" s="146"/>
      <c r="L248" s="146"/>
    </row>
    <row r="249" spans="3:12" x14ac:dyDescent="0.2">
      <c r="C249" s="146"/>
      <c r="D249" s="146"/>
      <c r="E249" s="146"/>
      <c r="F249" s="146"/>
      <c r="G249" s="146"/>
      <c r="H249" s="146"/>
      <c r="I249" s="146"/>
      <c r="J249" s="146"/>
      <c r="K249" s="146"/>
      <c r="L249" s="146"/>
    </row>
    <row r="250" spans="3:12" x14ac:dyDescent="0.2">
      <c r="C250" s="146"/>
      <c r="D250" s="146"/>
      <c r="E250" s="146"/>
      <c r="F250" s="146"/>
      <c r="G250" s="146"/>
      <c r="H250" s="146"/>
      <c r="I250" s="146"/>
      <c r="J250" s="146"/>
      <c r="K250" s="146"/>
      <c r="L250" s="146"/>
    </row>
    <row r="251" spans="3:12" x14ac:dyDescent="0.2">
      <c r="C251" s="146"/>
      <c r="D251" s="146"/>
      <c r="E251" s="146"/>
      <c r="F251" s="146"/>
      <c r="G251" s="146"/>
      <c r="H251" s="146"/>
      <c r="I251" s="146"/>
      <c r="J251" s="146"/>
      <c r="K251" s="146"/>
      <c r="L251" s="146"/>
    </row>
    <row r="252" spans="3:12" x14ac:dyDescent="0.2">
      <c r="C252" s="146"/>
      <c r="D252" s="146"/>
      <c r="E252" s="146"/>
      <c r="F252" s="146"/>
      <c r="G252" s="146"/>
      <c r="H252" s="146"/>
      <c r="I252" s="146"/>
      <c r="J252" s="146"/>
      <c r="K252" s="146"/>
      <c r="L252" s="146"/>
    </row>
    <row r="253" spans="3:12" x14ac:dyDescent="0.2">
      <c r="C253" s="146"/>
      <c r="D253" s="146"/>
      <c r="E253" s="146"/>
      <c r="F253" s="146"/>
      <c r="G253" s="146"/>
      <c r="H253" s="146"/>
      <c r="I253" s="146"/>
      <c r="J253" s="146"/>
      <c r="K253" s="146"/>
      <c r="L253" s="146"/>
    </row>
    <row r="254" spans="3:12" x14ac:dyDescent="0.2">
      <c r="C254" s="146"/>
      <c r="D254" s="146"/>
      <c r="E254" s="146"/>
      <c r="F254" s="146"/>
      <c r="G254" s="146"/>
      <c r="H254" s="146"/>
      <c r="I254" s="146"/>
      <c r="J254" s="146"/>
      <c r="K254" s="146"/>
      <c r="L254" s="146"/>
    </row>
    <row r="255" spans="3:12" x14ac:dyDescent="0.2">
      <c r="C255" s="146"/>
      <c r="D255" s="146"/>
      <c r="E255" s="146"/>
      <c r="F255" s="146"/>
      <c r="G255" s="146"/>
      <c r="H255" s="146"/>
      <c r="I255" s="146"/>
      <c r="J255" s="146"/>
      <c r="K255" s="146"/>
      <c r="L255" s="146"/>
    </row>
  </sheetData>
  <phoneticPr fontId="3" type="noConversion"/>
  <printOptions horizontalCentered="1" verticalCentered="1"/>
  <pageMargins left="0.55118110236220474" right="0" top="0" bottom="0" header="0" footer="0"/>
  <pageSetup paperSize="9" scale="80" orientation="landscape" horizontalDpi="355" verticalDpi="464" r:id="rId1"/>
  <headerFooter alignWithMargins="0"/>
  <colBreaks count="1" manualBreakCount="1">
    <brk id="9" min="1" max="6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49"/>
  <sheetViews>
    <sheetView topLeftCell="B1" zoomScale="80" zoomScaleNormal="80" workbookViewId="0">
      <pane xSplit="1" ySplit="4" topLeftCell="C5" activePane="bottomRight" state="frozen"/>
      <selection activeCell="B1" sqref="B1"/>
      <selection pane="topRight" activeCell="C1" sqref="C1"/>
      <selection pane="bottomLeft" activeCell="B5" sqref="B5"/>
      <selection pane="bottomRight" activeCell="I47" sqref="I47"/>
    </sheetView>
  </sheetViews>
  <sheetFormatPr baseColWidth="10" defaultColWidth="11.42578125" defaultRowHeight="12.75" x14ac:dyDescent="0.2"/>
  <cols>
    <col min="1" max="1" width="11.42578125" style="221"/>
    <col min="2" max="2" width="36.42578125" style="221" bestFit="1" customWidth="1"/>
    <col min="3" max="5" width="11.42578125" style="221"/>
    <col min="6" max="6" width="10.42578125" style="221" customWidth="1"/>
    <col min="7" max="16384" width="11.42578125" style="221"/>
  </cols>
  <sheetData>
    <row r="2" spans="1:20" s="218" customFormat="1" x14ac:dyDescent="0.2">
      <c r="E2" s="218" t="s">
        <v>529</v>
      </c>
      <c r="F2" s="218">
        <v>2010</v>
      </c>
      <c r="G2" s="218">
        <v>2011</v>
      </c>
      <c r="H2" s="218">
        <v>2012</v>
      </c>
      <c r="I2" s="218">
        <v>2013</v>
      </c>
      <c r="J2" s="218">
        <v>2014</v>
      </c>
      <c r="K2" s="218">
        <v>2015</v>
      </c>
      <c r="L2" s="218">
        <v>2016</v>
      </c>
      <c r="M2" s="218">
        <v>2017</v>
      </c>
      <c r="N2" s="218">
        <v>2018</v>
      </c>
      <c r="O2" s="218">
        <v>2019</v>
      </c>
    </row>
    <row r="3" spans="1:20" s="219" customFormat="1" ht="25.5" x14ac:dyDescent="0.2">
      <c r="A3" s="219" t="s">
        <v>508</v>
      </c>
      <c r="B3" s="220" t="s">
        <v>509</v>
      </c>
      <c r="C3" s="30" t="s">
        <v>681</v>
      </c>
      <c r="D3" s="30" t="s">
        <v>194</v>
      </c>
      <c r="E3" s="30" t="s">
        <v>583</v>
      </c>
      <c r="F3" s="30" t="s">
        <v>584</v>
      </c>
      <c r="G3" s="30" t="s">
        <v>585</v>
      </c>
      <c r="H3" s="30" t="s">
        <v>586</v>
      </c>
      <c r="I3" s="30" t="s">
        <v>587</v>
      </c>
      <c r="J3" s="30" t="s">
        <v>588</v>
      </c>
      <c r="K3" s="30" t="s">
        <v>589</v>
      </c>
      <c r="L3" s="30" t="s">
        <v>626</v>
      </c>
      <c r="M3" s="30" t="s">
        <v>627</v>
      </c>
      <c r="N3" s="30" t="s">
        <v>650</v>
      </c>
      <c r="O3" s="30" t="s">
        <v>680</v>
      </c>
      <c r="P3" s="29"/>
    </row>
    <row r="4" spans="1:20" x14ac:dyDescent="0.2">
      <c r="B4" s="222"/>
      <c r="C4" s="223"/>
      <c r="D4" s="224">
        <v>0.9</v>
      </c>
      <c r="E4" s="224">
        <f>+Condiciones!B11</f>
        <v>7.0000000000000007E-2</v>
      </c>
      <c r="F4" s="224">
        <f>+E4</f>
        <v>7.0000000000000007E-2</v>
      </c>
      <c r="G4" s="224">
        <f t="shared" ref="G4:O4" si="0">+F4</f>
        <v>7.0000000000000007E-2</v>
      </c>
      <c r="H4" s="224">
        <f t="shared" si="0"/>
        <v>7.0000000000000007E-2</v>
      </c>
      <c r="I4" s="224">
        <f t="shared" si="0"/>
        <v>7.0000000000000007E-2</v>
      </c>
      <c r="J4" s="224">
        <f t="shared" si="0"/>
        <v>7.0000000000000007E-2</v>
      </c>
      <c r="K4" s="224">
        <f t="shared" si="0"/>
        <v>7.0000000000000007E-2</v>
      </c>
      <c r="L4" s="224">
        <f t="shared" si="0"/>
        <v>7.0000000000000007E-2</v>
      </c>
      <c r="M4" s="224">
        <f t="shared" si="0"/>
        <v>7.0000000000000007E-2</v>
      </c>
      <c r="N4" s="224">
        <f t="shared" si="0"/>
        <v>7.0000000000000007E-2</v>
      </c>
      <c r="O4" s="224">
        <f t="shared" si="0"/>
        <v>7.0000000000000007E-2</v>
      </c>
    </row>
    <row r="5" spans="1:20" x14ac:dyDescent="0.2">
      <c r="B5" s="225" t="s">
        <v>662</v>
      </c>
      <c r="C5" s="226">
        <v>356156</v>
      </c>
      <c r="D5" s="227">
        <f>+C5*$D$4</f>
        <v>320540.40000000002</v>
      </c>
      <c r="E5" s="227">
        <f t="shared" ref="E5" si="1">+D5+(D5*$E$4)</f>
        <v>342978.228</v>
      </c>
      <c r="F5" s="227">
        <f t="shared" ref="F5" si="2">+E5+E5*$F$4</f>
        <v>366986.70396000001</v>
      </c>
      <c r="G5" s="227">
        <f t="shared" ref="G5:O5" si="3">+F5+(F5*G$4)</f>
        <v>392675.77323719999</v>
      </c>
      <c r="H5" s="227">
        <f t="shared" si="3"/>
        <v>420163.07736380398</v>
      </c>
      <c r="I5" s="227">
        <f t="shared" si="3"/>
        <v>449574.49277927028</v>
      </c>
      <c r="J5" s="227">
        <f t="shared" si="3"/>
        <v>481044.70727381919</v>
      </c>
      <c r="K5" s="227">
        <f t="shared" si="3"/>
        <v>514717.83678298653</v>
      </c>
      <c r="L5" s="227">
        <f t="shared" si="3"/>
        <v>550748.08535779559</v>
      </c>
      <c r="M5" s="227">
        <f t="shared" si="3"/>
        <v>589300.4513328413</v>
      </c>
      <c r="N5" s="227">
        <f t="shared" si="3"/>
        <v>630551.48292614019</v>
      </c>
      <c r="O5" s="227">
        <f t="shared" si="3"/>
        <v>674690.08673096995</v>
      </c>
    </row>
    <row r="6" spans="1:20" x14ac:dyDescent="0.2">
      <c r="B6" s="228" t="s">
        <v>226</v>
      </c>
      <c r="C6" s="229">
        <f t="shared" ref="C6:O6" si="4">SUM(C5:C5)</f>
        <v>356156</v>
      </c>
      <c r="D6" s="230">
        <f t="shared" si="4"/>
        <v>320540.40000000002</v>
      </c>
      <c r="E6" s="230">
        <f t="shared" si="4"/>
        <v>342978.228</v>
      </c>
      <c r="F6" s="230">
        <f t="shared" si="4"/>
        <v>366986.70396000001</v>
      </c>
      <c r="G6" s="230">
        <f t="shared" si="4"/>
        <v>392675.77323719999</v>
      </c>
      <c r="H6" s="230">
        <f t="shared" si="4"/>
        <v>420163.07736380398</v>
      </c>
      <c r="I6" s="230">
        <f t="shared" si="4"/>
        <v>449574.49277927028</v>
      </c>
      <c r="J6" s="230">
        <f t="shared" si="4"/>
        <v>481044.70727381919</v>
      </c>
      <c r="K6" s="230">
        <f t="shared" si="4"/>
        <v>514717.83678298653</v>
      </c>
      <c r="L6" s="230">
        <f t="shared" si="4"/>
        <v>550748.08535779559</v>
      </c>
      <c r="M6" s="230">
        <f t="shared" si="4"/>
        <v>589300.4513328413</v>
      </c>
      <c r="N6" s="231">
        <f t="shared" si="4"/>
        <v>630551.48292614019</v>
      </c>
      <c r="O6" s="230">
        <f t="shared" si="4"/>
        <v>674690.08673096995</v>
      </c>
    </row>
    <row r="7" spans="1:20" x14ac:dyDescent="0.2">
      <c r="G7" s="221" t="s">
        <v>183</v>
      </c>
    </row>
    <row r="8" spans="1:20" x14ac:dyDescent="0.2">
      <c r="I8" s="221" t="s">
        <v>183</v>
      </c>
      <c r="R8" s="221">
        <v>332856</v>
      </c>
      <c r="S8" s="221">
        <f>R8*1.07</f>
        <v>356155.92000000004</v>
      </c>
    </row>
    <row r="9" spans="1:20" ht="16.5" x14ac:dyDescent="0.2">
      <c r="B9" s="228"/>
      <c r="C9" s="304" t="s">
        <v>591</v>
      </c>
      <c r="D9" s="305"/>
      <c r="E9" s="305"/>
      <c r="F9" s="305"/>
      <c r="G9" s="305"/>
      <c r="H9" s="305"/>
      <c r="I9" s="305"/>
      <c r="J9" s="305"/>
      <c r="K9" s="305"/>
      <c r="L9" s="305"/>
      <c r="M9" s="305"/>
      <c r="N9" s="305"/>
      <c r="O9" s="306"/>
      <c r="R9" s="221">
        <v>21059</v>
      </c>
      <c r="S9" s="221">
        <f>R9*1.07</f>
        <v>22533.13</v>
      </c>
    </row>
    <row r="10" spans="1:20" s="219" customFormat="1" ht="25.5" x14ac:dyDescent="0.2">
      <c r="A10" s="219" t="s">
        <v>508</v>
      </c>
      <c r="B10" s="220" t="s">
        <v>509</v>
      </c>
      <c r="C10" s="30" t="s">
        <v>681</v>
      </c>
      <c r="D10" s="30" t="s">
        <v>194</v>
      </c>
      <c r="E10" s="30" t="s">
        <v>583</v>
      </c>
      <c r="F10" s="30" t="s">
        <v>584</v>
      </c>
      <c r="G10" s="30" t="s">
        <v>585</v>
      </c>
      <c r="H10" s="30" t="s">
        <v>586</v>
      </c>
      <c r="I10" s="30" t="s">
        <v>587</v>
      </c>
      <c r="J10" s="30" t="s">
        <v>588</v>
      </c>
      <c r="K10" s="30" t="s">
        <v>589</v>
      </c>
      <c r="L10" s="30" t="s">
        <v>626</v>
      </c>
      <c r="M10" s="30" t="s">
        <v>627</v>
      </c>
      <c r="N10" s="30" t="s">
        <v>650</v>
      </c>
      <c r="O10" s="30" t="s">
        <v>680</v>
      </c>
      <c r="P10" s="29"/>
      <c r="R10" s="219">
        <v>24904</v>
      </c>
      <c r="S10" s="219">
        <f>R10*1.01</f>
        <v>25153.040000000001</v>
      </c>
    </row>
    <row r="11" spans="1:20" x14ac:dyDescent="0.2">
      <c r="B11" s="232" t="s">
        <v>590</v>
      </c>
      <c r="C11" s="223"/>
      <c r="D11" s="224">
        <v>0.9</v>
      </c>
      <c r="E11" s="224">
        <v>7.0000000000000007E-2</v>
      </c>
      <c r="F11" s="224">
        <f>+E11</f>
        <v>7.0000000000000007E-2</v>
      </c>
      <c r="G11" s="224">
        <f t="shared" ref="G11:O11" si="5">+F11</f>
        <v>7.0000000000000007E-2</v>
      </c>
      <c r="H11" s="224">
        <f t="shared" si="5"/>
        <v>7.0000000000000007E-2</v>
      </c>
      <c r="I11" s="224">
        <f t="shared" si="5"/>
        <v>7.0000000000000007E-2</v>
      </c>
      <c r="J11" s="224">
        <f t="shared" si="5"/>
        <v>7.0000000000000007E-2</v>
      </c>
      <c r="K11" s="224">
        <f t="shared" si="5"/>
        <v>7.0000000000000007E-2</v>
      </c>
      <c r="L11" s="224">
        <f t="shared" si="5"/>
        <v>7.0000000000000007E-2</v>
      </c>
      <c r="M11" s="224">
        <f t="shared" si="5"/>
        <v>7.0000000000000007E-2</v>
      </c>
      <c r="N11" s="224">
        <f t="shared" si="5"/>
        <v>7.0000000000000007E-2</v>
      </c>
      <c r="O11" s="224">
        <f t="shared" si="5"/>
        <v>7.0000000000000007E-2</v>
      </c>
    </row>
    <row r="12" spans="1:20" x14ac:dyDescent="0.2">
      <c r="A12" s="221" t="s">
        <v>183</v>
      </c>
      <c r="B12" s="225" t="s">
        <v>662</v>
      </c>
      <c r="C12" s="226">
        <v>22533</v>
      </c>
      <c r="D12" s="227">
        <f t="shared" ref="D12" si="6">+C12*$D$11</f>
        <v>20279.7</v>
      </c>
      <c r="E12" s="227">
        <f t="shared" ref="E12" si="7">+D12+(D12*$E$11)</f>
        <v>21699.279000000002</v>
      </c>
      <c r="F12" s="227">
        <f t="shared" ref="F12" si="8">+E12+E12*$F$11</f>
        <v>23218.228530000004</v>
      </c>
      <c r="G12" s="227">
        <f t="shared" ref="G12" si="9">+F12+(F12*$G$11)</f>
        <v>24843.504527100005</v>
      </c>
      <c r="H12" s="227">
        <f t="shared" ref="H12" si="10">+G12+(G12*$H$11)</f>
        <v>26582.549843997007</v>
      </c>
      <c r="I12" s="227">
        <f t="shared" ref="I12" si="11">+H12+(H12*$I$11)</f>
        <v>28443.328333076799</v>
      </c>
      <c r="J12" s="227">
        <f t="shared" ref="J12" si="12">+I12+(I12*$J$11)</f>
        <v>30434.361316392176</v>
      </c>
      <c r="K12" s="227">
        <f t="shared" ref="K12" si="13">+J12+(J12*$K$11)</f>
        <v>32564.76660853963</v>
      </c>
      <c r="L12" s="227">
        <f t="shared" ref="L12" si="14">+K12+(K12*$L$11)</f>
        <v>34844.300271137407</v>
      </c>
      <c r="M12" s="233">
        <f t="shared" ref="M12" si="15">+L12+(L12*$M$11)</f>
        <v>37283.401290117028</v>
      </c>
      <c r="N12" s="227">
        <f t="shared" ref="N12" si="16">+M12+(M12*$N$11)</f>
        <v>39893.239380425221</v>
      </c>
      <c r="O12" s="227">
        <f t="shared" ref="O12" si="17">+N12+(N12*$O$11)</f>
        <v>42685.766137054983</v>
      </c>
    </row>
    <row r="13" spans="1:20" x14ac:dyDescent="0.2">
      <c r="B13" s="228" t="s">
        <v>226</v>
      </c>
      <c r="C13" s="229">
        <f t="shared" ref="C13:O13" si="18">SUM(C12:C12)</f>
        <v>22533</v>
      </c>
      <c r="D13" s="230">
        <f t="shared" si="18"/>
        <v>20279.7</v>
      </c>
      <c r="E13" s="230">
        <f t="shared" si="18"/>
        <v>21699.279000000002</v>
      </c>
      <c r="F13" s="230">
        <f t="shared" si="18"/>
        <v>23218.228530000004</v>
      </c>
      <c r="G13" s="230">
        <f t="shared" si="18"/>
        <v>24843.504527100005</v>
      </c>
      <c r="H13" s="230">
        <f t="shared" si="18"/>
        <v>26582.549843997007</v>
      </c>
      <c r="I13" s="230">
        <f t="shared" si="18"/>
        <v>28443.328333076799</v>
      </c>
      <c r="J13" s="230">
        <f t="shared" si="18"/>
        <v>30434.361316392176</v>
      </c>
      <c r="K13" s="230">
        <f t="shared" si="18"/>
        <v>32564.76660853963</v>
      </c>
      <c r="L13" s="230">
        <f t="shared" si="18"/>
        <v>34844.300271137407</v>
      </c>
      <c r="M13" s="230">
        <f t="shared" si="18"/>
        <v>37283.401290117028</v>
      </c>
      <c r="N13" s="231">
        <f t="shared" si="18"/>
        <v>39893.239380425221</v>
      </c>
      <c r="O13" s="230">
        <f t="shared" si="18"/>
        <v>42685.766137054983</v>
      </c>
    </row>
    <row r="14" spans="1:20" s="219" customFormat="1" x14ac:dyDescent="0.2">
      <c r="B14" s="221"/>
      <c r="C14" s="221"/>
      <c r="D14" s="221"/>
      <c r="E14" s="221"/>
      <c r="F14" s="221"/>
      <c r="G14" s="221" t="s">
        <v>183</v>
      </c>
      <c r="H14" s="221"/>
      <c r="I14" s="221"/>
      <c r="J14" s="221"/>
      <c r="K14" s="221"/>
      <c r="L14" s="221"/>
      <c r="M14" s="221"/>
      <c r="N14" s="221"/>
      <c r="O14" s="221"/>
    </row>
    <row r="15" spans="1:20" s="218" customFormat="1" ht="16.5" x14ac:dyDescent="0.2">
      <c r="C15" s="304" t="s">
        <v>592</v>
      </c>
      <c r="D15" s="305"/>
      <c r="E15" s="305"/>
      <c r="F15" s="305"/>
      <c r="G15" s="305"/>
      <c r="H15" s="305"/>
      <c r="I15" s="305"/>
      <c r="J15" s="305"/>
      <c r="K15" s="305"/>
      <c r="L15" s="305"/>
      <c r="M15" s="305"/>
      <c r="N15" s="305"/>
      <c r="O15" s="306"/>
      <c r="R15" s="219"/>
      <c r="S15" s="219"/>
      <c r="T15" s="219"/>
    </row>
    <row r="16" spans="1:20" s="219" customFormat="1" ht="25.5" x14ac:dyDescent="0.2">
      <c r="A16" s="219" t="s">
        <v>508</v>
      </c>
      <c r="B16" s="220" t="s">
        <v>509</v>
      </c>
      <c r="C16" s="30" t="s">
        <v>681</v>
      </c>
      <c r="D16" s="30" t="s">
        <v>194</v>
      </c>
      <c r="E16" s="30" t="s">
        <v>583</v>
      </c>
      <c r="F16" s="30" t="s">
        <v>584</v>
      </c>
      <c r="G16" s="30" t="s">
        <v>585</v>
      </c>
      <c r="H16" s="30" t="s">
        <v>586</v>
      </c>
      <c r="I16" s="30" t="s">
        <v>587</v>
      </c>
      <c r="J16" s="30" t="s">
        <v>588</v>
      </c>
      <c r="K16" s="30" t="s">
        <v>589</v>
      </c>
      <c r="L16" s="30" t="s">
        <v>626</v>
      </c>
      <c r="M16" s="30" t="s">
        <v>627</v>
      </c>
      <c r="N16" s="30" t="s">
        <v>650</v>
      </c>
      <c r="O16" s="30" t="s">
        <v>680</v>
      </c>
      <c r="P16" s="29"/>
    </row>
    <row r="17" spans="2:20" x14ac:dyDescent="0.2">
      <c r="B17" s="232" t="s">
        <v>590</v>
      </c>
      <c r="C17" s="223"/>
      <c r="D17" s="224">
        <v>1</v>
      </c>
      <c r="E17" s="224">
        <v>0.03</v>
      </c>
      <c r="F17" s="224">
        <f>+E17</f>
        <v>0.03</v>
      </c>
      <c r="G17" s="224">
        <f t="shared" ref="G17:O17" si="19">+F17</f>
        <v>0.03</v>
      </c>
      <c r="H17" s="224">
        <f t="shared" si="19"/>
        <v>0.03</v>
      </c>
      <c r="I17" s="224">
        <f t="shared" si="19"/>
        <v>0.03</v>
      </c>
      <c r="J17" s="224">
        <f t="shared" si="19"/>
        <v>0.03</v>
      </c>
      <c r="K17" s="224">
        <f t="shared" si="19"/>
        <v>0.03</v>
      </c>
      <c r="L17" s="224">
        <f t="shared" si="19"/>
        <v>0.03</v>
      </c>
      <c r="M17" s="224">
        <f t="shared" si="19"/>
        <v>0.03</v>
      </c>
      <c r="N17" s="224">
        <f t="shared" si="19"/>
        <v>0.03</v>
      </c>
      <c r="O17" s="224">
        <f t="shared" si="19"/>
        <v>0.03</v>
      </c>
    </row>
    <row r="18" spans="2:20" x14ac:dyDescent="0.2">
      <c r="B18" s="225" t="s">
        <v>662</v>
      </c>
      <c r="C18" s="226">
        <v>24904</v>
      </c>
      <c r="D18" s="227">
        <f t="shared" ref="D18" si="20">+C18*$D$17</f>
        <v>24904</v>
      </c>
      <c r="E18" s="227">
        <f t="shared" ref="E18" si="21">+D18+(D18*$E$17)</f>
        <v>25651.119999999999</v>
      </c>
      <c r="F18" s="227">
        <f t="shared" ref="F18" si="22">+E18+E18*$F$17</f>
        <v>26420.653599999998</v>
      </c>
      <c r="G18" s="227">
        <f t="shared" ref="G18" si="23">+F18+(F18*$G$17)</f>
        <v>27213.273207999999</v>
      </c>
      <c r="H18" s="227">
        <f t="shared" ref="H18" si="24">+G18+(G18*$H$17)</f>
        <v>28029.671404239998</v>
      </c>
      <c r="I18" s="227">
        <f t="shared" ref="I18" si="25">+H18+(H18*$I$17)</f>
        <v>28870.561546367197</v>
      </c>
      <c r="J18" s="227">
        <f t="shared" ref="J18" si="26">+I18+(I18*$J$17)</f>
        <v>29736.678392758211</v>
      </c>
      <c r="K18" s="227">
        <f t="shared" ref="K18" si="27">+J18+(J18*$K$17)</f>
        <v>30628.778744540956</v>
      </c>
      <c r="L18" s="227">
        <f t="shared" ref="L18" si="28">+K18+(K18*$L$17)</f>
        <v>31547.642106877185</v>
      </c>
      <c r="M18" s="233">
        <f t="shared" ref="M18" si="29">+L18+(L18*$M$17)</f>
        <v>32494.0713700835</v>
      </c>
      <c r="N18" s="227">
        <f t="shared" ref="N18" si="30">+M18+(M18*$N$17)</f>
        <v>33468.893511186005</v>
      </c>
      <c r="O18" s="227">
        <f t="shared" ref="O18" si="31">+N18+(N18*$O$17)</f>
        <v>34472.960316521581</v>
      </c>
    </row>
    <row r="19" spans="2:20" x14ac:dyDescent="0.2">
      <c r="B19" s="228" t="s">
        <v>226</v>
      </c>
      <c r="C19" s="229">
        <f t="shared" ref="C19:O19" si="32">SUM(C18:C18)</f>
        <v>24904</v>
      </c>
      <c r="D19" s="230">
        <f t="shared" si="32"/>
        <v>24904</v>
      </c>
      <c r="E19" s="230">
        <f t="shared" si="32"/>
        <v>25651.119999999999</v>
      </c>
      <c r="F19" s="230">
        <f t="shared" si="32"/>
        <v>26420.653599999998</v>
      </c>
      <c r="G19" s="230">
        <f t="shared" si="32"/>
        <v>27213.273207999999</v>
      </c>
      <c r="H19" s="230">
        <f t="shared" si="32"/>
        <v>28029.671404239998</v>
      </c>
      <c r="I19" s="230">
        <f t="shared" si="32"/>
        <v>28870.561546367197</v>
      </c>
      <c r="J19" s="230">
        <f t="shared" si="32"/>
        <v>29736.678392758211</v>
      </c>
      <c r="K19" s="230">
        <f t="shared" si="32"/>
        <v>30628.778744540956</v>
      </c>
      <c r="L19" s="230">
        <f t="shared" si="32"/>
        <v>31547.642106877185</v>
      </c>
      <c r="M19" s="230">
        <f t="shared" si="32"/>
        <v>32494.0713700835</v>
      </c>
      <c r="N19" s="231">
        <f t="shared" si="32"/>
        <v>33468.893511186005</v>
      </c>
      <c r="O19" s="230">
        <f t="shared" si="32"/>
        <v>34472.960316521581</v>
      </c>
    </row>
    <row r="21" spans="2:20" s="219" customFormat="1" x14ac:dyDescent="0.2">
      <c r="B21" s="221"/>
      <c r="C21" s="221"/>
      <c r="D21" s="221"/>
      <c r="E21" s="221"/>
      <c r="F21" s="221"/>
      <c r="G21" s="221" t="s">
        <v>183</v>
      </c>
      <c r="H21" s="221"/>
      <c r="I21" s="221"/>
      <c r="J21" s="221"/>
      <c r="K21" s="221"/>
      <c r="L21" s="221"/>
      <c r="M21" s="221"/>
      <c r="N21" s="221"/>
      <c r="O21" s="221"/>
    </row>
    <row r="22" spans="2:20" x14ac:dyDescent="0.2">
      <c r="G22" s="307" t="s">
        <v>551</v>
      </c>
      <c r="H22" s="307"/>
      <c r="I22" s="307"/>
      <c r="J22" s="307"/>
      <c r="K22" s="307"/>
      <c r="L22" s="307"/>
      <c r="M22" s="307"/>
      <c r="N22" s="307"/>
      <c r="O22" s="307"/>
      <c r="P22" s="307"/>
      <c r="Q22" s="307"/>
    </row>
    <row r="23" spans="2:20" s="219" customFormat="1" ht="25.5" customHeight="1" x14ac:dyDescent="0.2">
      <c r="B23" s="234" t="s">
        <v>545</v>
      </c>
      <c r="C23" s="194" t="s">
        <v>202</v>
      </c>
      <c r="D23" s="194" t="s">
        <v>593</v>
      </c>
      <c r="E23" s="194" t="s">
        <v>546</v>
      </c>
      <c r="F23" s="196" t="s">
        <v>203</v>
      </c>
      <c r="G23" s="194" t="s">
        <v>583</v>
      </c>
      <c r="H23" s="30" t="s">
        <v>584</v>
      </c>
      <c r="I23" s="30" t="s">
        <v>585</v>
      </c>
      <c r="J23" s="30" t="s">
        <v>586</v>
      </c>
      <c r="K23" s="30" t="s">
        <v>587</v>
      </c>
      <c r="L23" s="30" t="s">
        <v>588</v>
      </c>
      <c r="M23" s="30" t="s">
        <v>589</v>
      </c>
      <c r="N23" s="30" t="s">
        <v>626</v>
      </c>
      <c r="O23" s="30" t="s">
        <v>627</v>
      </c>
      <c r="P23" s="30" t="s">
        <v>650</v>
      </c>
      <c r="Q23" s="30" t="s">
        <v>680</v>
      </c>
    </row>
    <row r="24" spans="2:20" x14ac:dyDescent="0.2">
      <c r="B24" s="225" t="s">
        <v>662</v>
      </c>
      <c r="C24" s="289">
        <v>18</v>
      </c>
      <c r="D24" s="289">
        <v>0</v>
      </c>
      <c r="E24" s="289">
        <v>6</v>
      </c>
      <c r="F24" s="289">
        <v>0</v>
      </c>
      <c r="G24" s="290">
        <f>($C$27*$C$24+$D$24*$D$27+$E$24*$E$27+$F$24*$F$27)-(E6+E13+E19)</f>
        <v>386539.37300000002</v>
      </c>
      <c r="H24" s="290">
        <f t="shared" ref="H24:K24" si="33">($C$27*$C$24+$D$24*$D$27+$E$24*$E$27+$F$24*$F$27)-(F6+F13+F19)</f>
        <v>360242.41390999994</v>
      </c>
      <c r="I24" s="290">
        <f t="shared" si="33"/>
        <v>332135.4490277</v>
      </c>
      <c r="J24" s="290">
        <f t="shared" si="33"/>
        <v>302092.70138795901</v>
      </c>
      <c r="K24" s="290">
        <f t="shared" si="33"/>
        <v>269979.61734128575</v>
      </c>
      <c r="L24" s="290">
        <f t="shared" ref="L24" si="34">($C$27*$C$24+$D$24*$D$27+$E$24*$E$27+$F$24*$F$27)-(J6+J13+J19)</f>
        <v>235652.25301703042</v>
      </c>
      <c r="M24" s="290">
        <f t="shared" ref="M24" si="35">($C$27*$C$24+$D$24*$D$27+$E$24*$E$27+$F$24*$F$27)-(K6+K13+K19)</f>
        <v>198956.61786393286</v>
      </c>
      <c r="N24" s="290">
        <f t="shared" ref="N24" si="36">($C$27*$C$24+$D$24*$D$27+$E$24*$E$27+$F$24*$F$27)-(L6+L13+L19)</f>
        <v>159727.97226418986</v>
      </c>
      <c r="O24" s="290">
        <f t="shared" ref="O24" si="37">($C$27*$C$24+$D$24*$D$27+$E$24*$E$27+$F$24*$F$27)-(M6+M13+M19)</f>
        <v>117790.07600695814</v>
      </c>
      <c r="P24" s="290">
        <f t="shared" ref="P24" si="38">($C$27*$C$24+$D$24*$D$27+$E$24*$E$27+$F$24*$F$27)-(N6+N13+N19)</f>
        <v>72954.384182248614</v>
      </c>
      <c r="Q24" s="290">
        <f t="shared" ref="Q24" si="39">($C$27*$C$24+$D$24*$D$27+$E$24*$E$27+$F$24*$F$27)-(O6+O13+O19)</f>
        <v>25019.18681545346</v>
      </c>
      <c r="R24" s="291"/>
    </row>
    <row r="27" spans="2:20" s="219" customFormat="1" x14ac:dyDescent="0.2">
      <c r="B27" s="234" t="s">
        <v>570</v>
      </c>
      <c r="C27" s="230">
        <v>37896</v>
      </c>
      <c r="D27" s="230">
        <v>47370</v>
      </c>
      <c r="E27" s="230">
        <v>15790</v>
      </c>
      <c r="F27" s="230">
        <v>21053.333333333332</v>
      </c>
      <c r="G27" s="221"/>
      <c r="H27" s="221"/>
      <c r="I27" s="221"/>
      <c r="J27" s="221"/>
      <c r="K27" s="221"/>
      <c r="L27" s="221"/>
      <c r="M27" s="221"/>
      <c r="N27" s="221"/>
      <c r="O27" s="221"/>
      <c r="P27" s="221"/>
      <c r="Q27" s="221"/>
      <c r="R27" s="221"/>
      <c r="T27" s="221"/>
    </row>
    <row r="28" spans="2:20" x14ac:dyDescent="0.2">
      <c r="B28" s="235"/>
      <c r="C28" s="235"/>
      <c r="D28" s="235"/>
      <c r="E28" s="235"/>
      <c r="F28" s="235"/>
      <c r="S28" s="236"/>
      <c r="T28" s="219"/>
    </row>
    <row r="31" spans="2:20" x14ac:dyDescent="0.2">
      <c r="B31" s="221" t="s">
        <v>557</v>
      </c>
    </row>
    <row r="32" spans="2:20" x14ac:dyDescent="0.2">
      <c r="B32" s="237" t="s">
        <v>571</v>
      </c>
    </row>
    <row r="33" spans="2:9" x14ac:dyDescent="0.2">
      <c r="B33" s="221" t="s">
        <v>558</v>
      </c>
      <c r="C33" s="207" t="s">
        <v>560</v>
      </c>
    </row>
    <row r="34" spans="2:9" x14ac:dyDescent="0.2">
      <c r="B34" s="221" t="s">
        <v>561</v>
      </c>
      <c r="C34" s="207" t="s">
        <v>562</v>
      </c>
      <c r="D34" s="207">
        <f>18-8</f>
        <v>10</v>
      </c>
    </row>
    <row r="35" spans="2:9" x14ac:dyDescent="0.2">
      <c r="B35" s="221" t="s">
        <v>559</v>
      </c>
      <c r="C35" s="207">
        <v>51</v>
      </c>
      <c r="D35" s="207">
        <f>14-8</f>
        <v>6</v>
      </c>
    </row>
    <row r="36" spans="2:9" x14ac:dyDescent="0.2">
      <c r="B36" s="221" t="s">
        <v>572</v>
      </c>
      <c r="C36" s="207">
        <v>10</v>
      </c>
    </row>
    <row r="37" spans="2:9" x14ac:dyDescent="0.2">
      <c r="B37" s="221" t="s">
        <v>563</v>
      </c>
      <c r="C37" s="207">
        <v>3</v>
      </c>
    </row>
    <row r="38" spans="2:9" x14ac:dyDescent="0.2">
      <c r="B38" s="221" t="s">
        <v>594</v>
      </c>
      <c r="C38" s="207">
        <v>4</v>
      </c>
    </row>
    <row r="39" spans="2:9" x14ac:dyDescent="0.2">
      <c r="B39" s="221" t="s">
        <v>566</v>
      </c>
      <c r="C39" s="207">
        <v>5</v>
      </c>
    </row>
    <row r="40" spans="2:9" x14ac:dyDescent="0.2">
      <c r="B40" s="221" t="s">
        <v>567</v>
      </c>
      <c r="C40" s="207">
        <v>8</v>
      </c>
    </row>
    <row r="41" spans="2:9" x14ac:dyDescent="0.2">
      <c r="B41" s="221" t="s">
        <v>568</v>
      </c>
      <c r="C41" s="207">
        <v>6</v>
      </c>
    </row>
    <row r="43" spans="2:9" x14ac:dyDescent="0.2">
      <c r="B43" s="238" t="s">
        <v>595</v>
      </c>
      <c r="C43" s="239">
        <f>((((C35-C36/5)*(D34*5+D35*2))+(12*2*5))/(C38)*60)</f>
        <v>47370</v>
      </c>
    </row>
    <row r="44" spans="2:9" x14ac:dyDescent="0.2">
      <c r="B44" s="238" t="s">
        <v>564</v>
      </c>
      <c r="C44" s="239">
        <f>((((C35-C36/5)*(D34*5+D35*2))+(12*2*5))/(C39)*60)</f>
        <v>37896</v>
      </c>
      <c r="F44" s="221">
        <f>C44*3</f>
        <v>113688</v>
      </c>
      <c r="G44" s="221">
        <f>F44/48</f>
        <v>2368.5</v>
      </c>
      <c r="H44" s="221">
        <f>G44/6</f>
        <v>394.75</v>
      </c>
      <c r="I44" s="221">
        <f>H44/10</f>
        <v>39.475000000000001</v>
      </c>
    </row>
    <row r="45" spans="2:9" x14ac:dyDescent="0.2">
      <c r="B45" s="238" t="s">
        <v>565</v>
      </c>
      <c r="C45" s="239">
        <f>C44*C39/C40</f>
        <v>23685</v>
      </c>
      <c r="F45" s="221">
        <f>C45*2</f>
        <v>47370</v>
      </c>
      <c r="G45" s="221">
        <f>F45/48</f>
        <v>986.875</v>
      </c>
      <c r="H45" s="221">
        <f>G45/6</f>
        <v>164.47916666666666</v>
      </c>
      <c r="I45" s="221">
        <f>H45/10</f>
        <v>16.447916666666664</v>
      </c>
    </row>
    <row r="46" spans="2:9" x14ac:dyDescent="0.2">
      <c r="B46" s="238" t="s">
        <v>569</v>
      </c>
      <c r="C46" s="239">
        <f>C45*C40/C41</f>
        <v>31580</v>
      </c>
    </row>
    <row r="48" spans="2:9" x14ac:dyDescent="0.2">
      <c r="B48" s="221" t="s">
        <v>573</v>
      </c>
    </row>
    <row r="49" spans="2:2" x14ac:dyDescent="0.2">
      <c r="B49" s="221" t="s">
        <v>574</v>
      </c>
    </row>
  </sheetData>
  <mergeCells count="3">
    <mergeCell ref="C9:O9"/>
    <mergeCell ref="C15:O15"/>
    <mergeCell ref="G22:Q22"/>
  </mergeCells>
  <conditionalFormatting sqref="P13:P14 P19 P21 F5:R5 F12:P12 F18:P18 R22:R24">
    <cfRule type="cellIs" dxfId="17" priority="20" stopIfTrue="1" operator="greaterThan">
      <formula>15000</formula>
    </cfRule>
  </conditionalFormatting>
  <conditionalFormatting sqref="G18:P18">
    <cfRule type="cellIs" dxfId="16" priority="5" stopIfTrue="1" operator="lessThan">
      <formula>0</formula>
    </cfRule>
  </conditionalFormatting>
  <conditionalFormatting sqref="E5">
    <cfRule type="cellIs" dxfId="15" priority="1" stopIfTrue="1" operator="greaterThan">
      <formula>15000</formula>
    </cfRule>
  </conditionalFormatting>
  <pageMargins left="0.17" right="0.17" top="0.44" bottom="0.48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9"/>
  <sheetViews>
    <sheetView topLeftCell="B1" workbookViewId="0">
      <pane xSplit="1" ySplit="4" topLeftCell="C28" activePane="bottomRight" state="frozen"/>
      <selection activeCell="B1" sqref="B1"/>
      <selection pane="topRight" activeCell="C1" sqref="C1"/>
      <selection pane="bottomLeft" activeCell="B5" sqref="B5"/>
      <selection pane="bottomRight" activeCell="F40" sqref="F40"/>
    </sheetView>
  </sheetViews>
  <sheetFormatPr baseColWidth="10" defaultColWidth="11.42578125" defaultRowHeight="12.75" x14ac:dyDescent="0.2"/>
  <cols>
    <col min="1" max="1" width="8.85546875" style="32" customWidth="1"/>
    <col min="2" max="2" width="19" style="32" customWidth="1"/>
    <col min="3" max="6" width="11.42578125" style="32"/>
    <col min="7" max="7" width="9" style="32" customWidth="1"/>
    <col min="8" max="8" width="9.140625" style="32" customWidth="1"/>
    <col min="9" max="9" width="8.85546875" style="32" customWidth="1"/>
    <col min="10" max="16384" width="11.42578125" style="32"/>
  </cols>
  <sheetData>
    <row r="2" spans="1:18" s="49" customFormat="1" x14ac:dyDescent="0.2">
      <c r="A2" s="52"/>
      <c r="B2" s="52"/>
      <c r="C2" s="52"/>
      <c r="F2" s="49" t="s">
        <v>529</v>
      </c>
      <c r="J2" s="49">
        <v>2011</v>
      </c>
      <c r="K2" s="49">
        <v>2012</v>
      </c>
      <c r="L2" s="49">
        <v>2013</v>
      </c>
      <c r="M2" s="49">
        <v>2014</v>
      </c>
      <c r="N2" s="49">
        <v>2015</v>
      </c>
      <c r="O2" s="49">
        <v>2016</v>
      </c>
      <c r="P2" s="49">
        <v>2017</v>
      </c>
      <c r="Q2" s="49">
        <v>2018</v>
      </c>
      <c r="R2" s="49">
        <v>2019</v>
      </c>
    </row>
    <row r="3" spans="1:18" ht="28.5" customHeight="1" x14ac:dyDescent="0.2">
      <c r="A3" s="38" t="s">
        <v>508</v>
      </c>
      <c r="B3" s="38" t="s">
        <v>509</v>
      </c>
      <c r="C3" s="53" t="s">
        <v>526</v>
      </c>
      <c r="D3" s="38" t="s">
        <v>194</v>
      </c>
      <c r="E3" s="53" t="s">
        <v>527</v>
      </c>
      <c r="F3" s="54" t="s">
        <v>528</v>
      </c>
      <c r="G3" s="308" t="s">
        <v>541</v>
      </c>
      <c r="H3" s="308"/>
      <c r="I3" s="54"/>
      <c r="J3" s="54" t="str">
        <f>+$F$2&amp;J2</f>
        <v>Revisiones    2011</v>
      </c>
      <c r="K3" s="54" t="str">
        <f t="shared" ref="K3:R3" si="0">+$F$2&amp;K2</f>
        <v>Revisiones    2012</v>
      </c>
      <c r="L3" s="54" t="str">
        <f t="shared" si="0"/>
        <v>Revisiones    2013</v>
      </c>
      <c r="M3" s="54" t="str">
        <f t="shared" si="0"/>
        <v>Revisiones    2014</v>
      </c>
      <c r="N3" s="54" t="str">
        <f t="shared" si="0"/>
        <v>Revisiones    2015</v>
      </c>
      <c r="O3" s="54" t="str">
        <f t="shared" si="0"/>
        <v>Revisiones    2016</v>
      </c>
      <c r="P3" s="54" t="str">
        <f t="shared" si="0"/>
        <v>Revisiones    2017</v>
      </c>
      <c r="Q3" s="54" t="str">
        <f t="shared" si="0"/>
        <v>Revisiones    2018</v>
      </c>
      <c r="R3" s="54" t="str">
        <f t="shared" si="0"/>
        <v>Revisiones    2019</v>
      </c>
    </row>
    <row r="4" spans="1:18" x14ac:dyDescent="0.2">
      <c r="A4" s="38"/>
      <c r="B4" s="38"/>
      <c r="C4" s="53"/>
      <c r="D4" s="55">
        <v>1.3</v>
      </c>
      <c r="E4" s="56">
        <f>9.5%*65%</f>
        <v>6.1750000000000006E-2</v>
      </c>
      <c r="F4" s="56">
        <f>9.5%*65%</f>
        <v>6.1750000000000006E-2</v>
      </c>
      <c r="G4" s="56" t="s">
        <v>542</v>
      </c>
      <c r="H4" s="56" t="s">
        <v>10</v>
      </c>
      <c r="I4" s="56"/>
      <c r="J4" s="57">
        <f>+F4</f>
        <v>6.1750000000000006E-2</v>
      </c>
      <c r="K4" s="57">
        <f t="shared" ref="K4:R4" si="1">+J4</f>
        <v>6.1750000000000006E-2</v>
      </c>
      <c r="L4" s="57">
        <f t="shared" si="1"/>
        <v>6.1750000000000006E-2</v>
      </c>
      <c r="M4" s="57">
        <f t="shared" si="1"/>
        <v>6.1750000000000006E-2</v>
      </c>
      <c r="N4" s="57">
        <f t="shared" si="1"/>
        <v>6.1750000000000006E-2</v>
      </c>
      <c r="O4" s="57">
        <f t="shared" si="1"/>
        <v>6.1750000000000006E-2</v>
      </c>
      <c r="P4" s="57">
        <f t="shared" si="1"/>
        <v>6.1750000000000006E-2</v>
      </c>
      <c r="Q4" s="57">
        <f t="shared" si="1"/>
        <v>6.1750000000000006E-2</v>
      </c>
      <c r="R4" s="57">
        <f t="shared" si="1"/>
        <v>6.1750000000000006E-2</v>
      </c>
    </row>
    <row r="5" spans="1:18" x14ac:dyDescent="0.2">
      <c r="B5" s="32" t="s">
        <v>510</v>
      </c>
      <c r="C5" s="58">
        <v>19063</v>
      </c>
      <c r="D5" s="58">
        <f t="shared" ref="D5:D20" si="2">+C5*$D$4</f>
        <v>24781.9</v>
      </c>
      <c r="E5" s="58">
        <f>+D5+(D5*$E$4)</f>
        <v>26312.182325000002</v>
      </c>
      <c r="F5" s="58">
        <f>+E5+E5*$F$4</f>
        <v>27936.959583568751</v>
      </c>
      <c r="G5" s="58"/>
      <c r="H5" s="58"/>
      <c r="I5" s="58"/>
      <c r="J5" s="58">
        <f>+F5+(F5*J4)</f>
        <v>29662.06683785412</v>
      </c>
      <c r="K5" s="58">
        <f t="shared" ref="K5:R5" si="3">+J5+(J5*K4)</f>
        <v>31493.699465091613</v>
      </c>
      <c r="L5" s="58">
        <f t="shared" si="3"/>
        <v>33438.435407061021</v>
      </c>
      <c r="M5" s="58">
        <f t="shared" si="3"/>
        <v>35503.258793447036</v>
      </c>
      <c r="N5" s="58">
        <f t="shared" si="3"/>
        <v>37695.585023942389</v>
      </c>
      <c r="O5" s="58">
        <f t="shared" si="3"/>
        <v>40023.287399170833</v>
      </c>
      <c r="P5" s="58">
        <f t="shared" si="3"/>
        <v>42494.725396069633</v>
      </c>
      <c r="Q5" s="58">
        <f t="shared" si="3"/>
        <v>45118.774689276936</v>
      </c>
      <c r="R5" s="58">
        <f t="shared" si="3"/>
        <v>47904.859026339785</v>
      </c>
    </row>
    <row r="6" spans="1:18" x14ac:dyDescent="0.2">
      <c r="B6" s="32" t="s">
        <v>511</v>
      </c>
      <c r="C6" s="58">
        <v>20170</v>
      </c>
      <c r="D6" s="58">
        <f t="shared" si="2"/>
        <v>26221</v>
      </c>
      <c r="E6" s="58">
        <f t="shared" ref="E6:E20" si="4">+D6+(D6*$E$4)</f>
        <v>27840.14675</v>
      </c>
      <c r="F6" s="58">
        <f t="shared" ref="F6:F20" si="5">+E6+E6*$F$4</f>
        <v>29559.275811812498</v>
      </c>
      <c r="G6" s="58"/>
      <c r="H6" s="58"/>
      <c r="I6" s="58"/>
      <c r="J6" s="58">
        <f>+F6+(F6*J4)</f>
        <v>31384.561093191922</v>
      </c>
      <c r="K6" s="58">
        <f t="shared" ref="K6:R6" si="6">+J6+(J6*K4)</f>
        <v>33322.557740696524</v>
      </c>
      <c r="L6" s="58">
        <f t="shared" si="6"/>
        <v>35380.225681184536</v>
      </c>
      <c r="M6" s="58">
        <f t="shared" si="6"/>
        <v>37564.954616997682</v>
      </c>
      <c r="N6" s="58">
        <f t="shared" si="6"/>
        <v>39884.590564597289</v>
      </c>
      <c r="O6" s="58">
        <f t="shared" si="6"/>
        <v>42347.464031961172</v>
      </c>
      <c r="P6" s="58">
        <f t="shared" si="6"/>
        <v>44962.419935934777</v>
      </c>
      <c r="Q6" s="58">
        <f t="shared" si="6"/>
        <v>47738.849366978749</v>
      </c>
      <c r="R6" s="58">
        <f t="shared" si="6"/>
        <v>50686.723315389689</v>
      </c>
    </row>
    <row r="7" spans="1:18" x14ac:dyDescent="0.2">
      <c r="B7" s="32" t="s">
        <v>512</v>
      </c>
      <c r="C7" s="58">
        <v>18466</v>
      </c>
      <c r="D7" s="58">
        <f t="shared" si="2"/>
        <v>24005.8</v>
      </c>
      <c r="E7" s="58">
        <f t="shared" si="4"/>
        <v>25488.158149999999</v>
      </c>
      <c r="F7" s="58">
        <f t="shared" si="5"/>
        <v>27062.051915762499</v>
      </c>
      <c r="G7" s="58"/>
      <c r="H7" s="58"/>
      <c r="I7" s="58"/>
      <c r="J7" s="58">
        <f>+F7+(F7*J4)</f>
        <v>28733.133621560832</v>
      </c>
      <c r="K7" s="58">
        <f t="shared" ref="K7:R7" si="7">+J7+(J7*K4)</f>
        <v>30507.404622692215</v>
      </c>
      <c r="L7" s="58">
        <f t="shared" si="7"/>
        <v>32391.23685814346</v>
      </c>
      <c r="M7" s="58">
        <f t="shared" si="7"/>
        <v>34391.395734133817</v>
      </c>
      <c r="N7" s="58">
        <f t="shared" si="7"/>
        <v>36515.064420716582</v>
      </c>
      <c r="O7" s="58">
        <f t="shared" si="7"/>
        <v>38769.869648695829</v>
      </c>
      <c r="P7" s="58">
        <f t="shared" si="7"/>
        <v>41163.909099502795</v>
      </c>
      <c r="Q7" s="58">
        <f t="shared" si="7"/>
        <v>43705.780486397096</v>
      </c>
      <c r="R7" s="58">
        <f t="shared" si="7"/>
        <v>46404.612431432121</v>
      </c>
    </row>
    <row r="8" spans="1:18" x14ac:dyDescent="0.2">
      <c r="A8" s="32" t="s">
        <v>183</v>
      </c>
      <c r="B8" s="32" t="s">
        <v>513</v>
      </c>
      <c r="C8" s="58">
        <v>16000</v>
      </c>
      <c r="D8" s="58">
        <f t="shared" si="2"/>
        <v>20800</v>
      </c>
      <c r="E8" s="58">
        <f t="shared" si="4"/>
        <v>22084.400000000001</v>
      </c>
      <c r="F8" s="58">
        <f t="shared" si="5"/>
        <v>23448.111700000001</v>
      </c>
      <c r="G8" s="58"/>
      <c r="H8" s="58"/>
      <c r="I8" s="58"/>
      <c r="J8" s="58">
        <f>+F8+(F8*J4)</f>
        <v>24896.032597475001</v>
      </c>
      <c r="K8" s="58">
        <f t="shared" ref="K8:R8" si="8">+J8+(J8*K4)</f>
        <v>26433.362610369084</v>
      </c>
      <c r="L8" s="58">
        <f t="shared" si="8"/>
        <v>28065.622751559375</v>
      </c>
      <c r="M8" s="58">
        <f t="shared" si="8"/>
        <v>29798.674956468167</v>
      </c>
      <c r="N8" s="58">
        <f t="shared" si="8"/>
        <v>31638.743135030076</v>
      </c>
      <c r="O8" s="58">
        <f t="shared" si="8"/>
        <v>33592.43552361818</v>
      </c>
      <c r="P8" s="58">
        <f t="shared" si="8"/>
        <v>35666.768417201602</v>
      </c>
      <c r="Q8" s="58">
        <f t="shared" si="8"/>
        <v>37869.191366963802</v>
      </c>
      <c r="R8" s="58">
        <f t="shared" si="8"/>
        <v>40207.613933873814</v>
      </c>
    </row>
    <row r="9" spans="1:18" x14ac:dyDescent="0.2">
      <c r="B9" s="32" t="s">
        <v>514</v>
      </c>
      <c r="C9" s="58">
        <v>16197</v>
      </c>
      <c r="D9" s="58">
        <f t="shared" si="2"/>
        <v>21056.100000000002</v>
      </c>
      <c r="E9" s="58">
        <f t="shared" si="4"/>
        <v>22356.314175000003</v>
      </c>
      <c r="F9" s="58">
        <f t="shared" si="5"/>
        <v>23736.816575306253</v>
      </c>
      <c r="G9" s="58"/>
      <c r="H9" s="58"/>
      <c r="I9" s="58"/>
      <c r="J9" s="58">
        <f>+F9+(F9*J4)</f>
        <v>25202.564998831414</v>
      </c>
      <c r="K9" s="58">
        <f t="shared" ref="K9:R9" si="9">+J9+(J9*K4)</f>
        <v>26758.823387509256</v>
      </c>
      <c r="L9" s="58">
        <f t="shared" si="9"/>
        <v>28411.180731687953</v>
      </c>
      <c r="M9" s="58">
        <f t="shared" si="9"/>
        <v>30165.571141869685</v>
      </c>
      <c r="N9" s="58">
        <f t="shared" si="9"/>
        <v>32028.295159880137</v>
      </c>
      <c r="O9" s="58">
        <f t="shared" si="9"/>
        <v>34006.042386002737</v>
      </c>
      <c r="P9" s="58">
        <f t="shared" si="9"/>
        <v>36105.915503338409</v>
      </c>
      <c r="Q9" s="58">
        <f t="shared" si="9"/>
        <v>38335.455785669554</v>
      </c>
      <c r="R9" s="58">
        <f t="shared" si="9"/>
        <v>40702.670180434652</v>
      </c>
    </row>
    <row r="10" spans="1:18" x14ac:dyDescent="0.2">
      <c r="B10" s="32" t="s">
        <v>515</v>
      </c>
      <c r="C10" s="58">
        <v>23960</v>
      </c>
      <c r="D10" s="58">
        <f t="shared" si="2"/>
        <v>31148</v>
      </c>
      <c r="E10" s="58">
        <f t="shared" si="4"/>
        <v>33071.389000000003</v>
      </c>
      <c r="F10" s="58">
        <f t="shared" si="5"/>
        <v>35113.547270750001</v>
      </c>
      <c r="G10" s="58"/>
      <c r="H10" s="58"/>
      <c r="I10" s="58"/>
      <c r="J10" s="58">
        <f>+F10+(F10*J4)</f>
        <v>37281.808814718817</v>
      </c>
      <c r="K10" s="58">
        <f t="shared" ref="K10:R10" si="10">+J10+(J10*K4)</f>
        <v>39583.960509027704</v>
      </c>
      <c r="L10" s="58">
        <f t="shared" si="10"/>
        <v>42028.270070460167</v>
      </c>
      <c r="M10" s="58">
        <f t="shared" si="10"/>
        <v>44623.515747311081</v>
      </c>
      <c r="N10" s="58">
        <f t="shared" si="10"/>
        <v>47379.017844707538</v>
      </c>
      <c r="O10" s="58">
        <f t="shared" si="10"/>
        <v>50304.67219661823</v>
      </c>
      <c r="P10" s="58">
        <f t="shared" si="10"/>
        <v>53410.985704759405</v>
      </c>
      <c r="Q10" s="58">
        <f t="shared" si="10"/>
        <v>56709.1140720283</v>
      </c>
      <c r="R10" s="58">
        <f t="shared" si="10"/>
        <v>60210.901865976048</v>
      </c>
    </row>
    <row r="11" spans="1:18" x14ac:dyDescent="0.2">
      <c r="B11" s="32" t="s">
        <v>524</v>
      </c>
      <c r="C11" s="58">
        <v>8000</v>
      </c>
      <c r="D11" s="58">
        <f t="shared" si="2"/>
        <v>10400</v>
      </c>
      <c r="E11" s="58">
        <f>+D11+(D11*$E$4)</f>
        <v>11042.2</v>
      </c>
      <c r="F11" s="58">
        <f>+E11+E11*$F$4</f>
        <v>11724.055850000001</v>
      </c>
      <c r="G11" s="58"/>
      <c r="H11" s="58"/>
      <c r="I11" s="58"/>
      <c r="J11" s="58">
        <f>+F11+(F11*J4)</f>
        <v>12448.016298737501</v>
      </c>
      <c r="K11" s="58">
        <f t="shared" ref="K11:R11" si="11">+J11+(J11*K4)</f>
        <v>13216.681305184542</v>
      </c>
      <c r="L11" s="58">
        <f t="shared" si="11"/>
        <v>14032.811375779687</v>
      </c>
      <c r="M11" s="58">
        <f t="shared" si="11"/>
        <v>14899.337478234083</v>
      </c>
      <c r="N11" s="58">
        <f t="shared" si="11"/>
        <v>15819.371567515038</v>
      </c>
      <c r="O11" s="58">
        <f t="shared" si="11"/>
        <v>16796.21776180909</v>
      </c>
      <c r="P11" s="58">
        <f t="shared" si="11"/>
        <v>17833.384208600801</v>
      </c>
      <c r="Q11" s="58">
        <f t="shared" si="11"/>
        <v>18934.595683481901</v>
      </c>
      <c r="R11" s="58">
        <f t="shared" si="11"/>
        <v>20103.806966936907</v>
      </c>
    </row>
    <row r="12" spans="1:18" x14ac:dyDescent="0.2">
      <c r="B12" s="32" t="s">
        <v>516</v>
      </c>
      <c r="C12" s="58">
        <v>2975</v>
      </c>
      <c r="D12" s="58">
        <f t="shared" si="2"/>
        <v>3867.5</v>
      </c>
      <c r="E12" s="58">
        <f t="shared" si="4"/>
        <v>4106.3181249999998</v>
      </c>
      <c r="F12" s="58">
        <f t="shared" si="5"/>
        <v>4359.8832692187498</v>
      </c>
      <c r="G12" s="58"/>
      <c r="H12" s="58"/>
      <c r="I12" s="58"/>
      <c r="J12" s="58">
        <f>+F12+(F12*J4)</f>
        <v>4629.1060610930072</v>
      </c>
      <c r="K12" s="58">
        <f t="shared" ref="K12:R12" si="12">+J12+(J12*K4)</f>
        <v>4914.9533603655</v>
      </c>
      <c r="L12" s="58">
        <f t="shared" si="12"/>
        <v>5218.4517303680695</v>
      </c>
      <c r="M12" s="58">
        <f t="shared" si="12"/>
        <v>5540.6911247182979</v>
      </c>
      <c r="N12" s="58">
        <f t="shared" si="12"/>
        <v>5882.8288016696533</v>
      </c>
      <c r="O12" s="58">
        <f t="shared" si="12"/>
        <v>6246.0934801727544</v>
      </c>
      <c r="P12" s="58">
        <f t="shared" si="12"/>
        <v>6631.7897525734224</v>
      </c>
      <c r="Q12" s="58">
        <f t="shared" si="12"/>
        <v>7041.302769794831</v>
      </c>
      <c r="R12" s="58">
        <f t="shared" si="12"/>
        <v>7476.1032158296621</v>
      </c>
    </row>
    <row r="13" spans="1:18" x14ac:dyDescent="0.2">
      <c r="B13" s="32" t="s">
        <v>517</v>
      </c>
      <c r="C13" s="58">
        <v>4703</v>
      </c>
      <c r="D13" s="58">
        <f t="shared" si="2"/>
        <v>6113.9000000000005</v>
      </c>
      <c r="E13" s="58">
        <f t="shared" si="4"/>
        <v>6491.4333250000009</v>
      </c>
      <c r="F13" s="58">
        <f t="shared" si="5"/>
        <v>6892.2793328187508</v>
      </c>
      <c r="G13" s="58"/>
      <c r="H13" s="58"/>
      <c r="I13" s="58"/>
      <c r="J13" s="58">
        <f>+F13+(F13*J4)</f>
        <v>7317.8775816203088</v>
      </c>
      <c r="K13" s="58">
        <f t="shared" ref="K13:R13" si="13">+J13+(J13*K4)</f>
        <v>7769.7565222853627</v>
      </c>
      <c r="L13" s="58">
        <f t="shared" si="13"/>
        <v>8249.5389875364835</v>
      </c>
      <c r="M13" s="58">
        <f t="shared" si="13"/>
        <v>8758.9480200168618</v>
      </c>
      <c r="N13" s="58">
        <f t="shared" si="13"/>
        <v>9299.8130602529036</v>
      </c>
      <c r="O13" s="58">
        <f t="shared" si="13"/>
        <v>9874.0765167235204</v>
      </c>
      <c r="P13" s="58">
        <f t="shared" si="13"/>
        <v>10483.800741631198</v>
      </c>
      <c r="Q13" s="58">
        <f t="shared" si="13"/>
        <v>11131.175437426924</v>
      </c>
      <c r="R13" s="58">
        <f t="shared" si="13"/>
        <v>11818.525520688037</v>
      </c>
    </row>
    <row r="14" spans="1:18" x14ac:dyDescent="0.2">
      <c r="B14" s="32" t="s">
        <v>518</v>
      </c>
      <c r="C14" s="58">
        <v>763</v>
      </c>
      <c r="D14" s="58">
        <f t="shared" si="2"/>
        <v>991.9</v>
      </c>
      <c r="E14" s="58">
        <f t="shared" si="4"/>
        <v>1053.149825</v>
      </c>
      <c r="F14" s="58">
        <f t="shared" si="5"/>
        <v>1118.1818266937501</v>
      </c>
      <c r="G14" s="58"/>
      <c r="H14" s="58"/>
      <c r="I14" s="58"/>
      <c r="J14" s="58">
        <f>+F14+(F14*J4)</f>
        <v>1187.2295544920892</v>
      </c>
      <c r="K14" s="58">
        <f t="shared" ref="K14:R14" si="14">+J14+(J14*K4)</f>
        <v>1260.5409794819757</v>
      </c>
      <c r="L14" s="58">
        <f t="shared" si="14"/>
        <v>1338.3793849649876</v>
      </c>
      <c r="M14" s="58">
        <f t="shared" si="14"/>
        <v>1421.0243119865756</v>
      </c>
      <c r="N14" s="58">
        <f t="shared" si="14"/>
        <v>1508.7725632517468</v>
      </c>
      <c r="O14" s="58">
        <f t="shared" si="14"/>
        <v>1601.9392690325421</v>
      </c>
      <c r="P14" s="58">
        <f t="shared" si="14"/>
        <v>1700.8590188953017</v>
      </c>
      <c r="Q14" s="58">
        <f t="shared" si="14"/>
        <v>1805.8870633120866</v>
      </c>
      <c r="R14" s="58">
        <f t="shared" si="14"/>
        <v>1917.4005894716081</v>
      </c>
    </row>
    <row r="15" spans="1:18" x14ac:dyDescent="0.2">
      <c r="B15" s="32" t="s">
        <v>519</v>
      </c>
      <c r="C15" s="58">
        <v>1657</v>
      </c>
      <c r="D15" s="58">
        <f t="shared" si="2"/>
        <v>2154.1</v>
      </c>
      <c r="E15" s="58">
        <f t="shared" si="4"/>
        <v>2287.115675</v>
      </c>
      <c r="F15" s="58">
        <f t="shared" si="5"/>
        <v>2428.34506793125</v>
      </c>
      <c r="G15" s="58"/>
      <c r="H15" s="58"/>
      <c r="I15" s="58"/>
      <c r="J15" s="58">
        <f>+F15+(F15*J4)</f>
        <v>2578.2953758760045</v>
      </c>
      <c r="K15" s="58">
        <f t="shared" ref="K15:R15" si="15">+J15+(J15*K4)</f>
        <v>2737.5051153363479</v>
      </c>
      <c r="L15" s="58">
        <f t="shared" si="15"/>
        <v>2906.5460562083672</v>
      </c>
      <c r="M15" s="58">
        <f t="shared" si="15"/>
        <v>3086.0252751792341</v>
      </c>
      <c r="N15" s="58">
        <f t="shared" si="15"/>
        <v>3276.587335921552</v>
      </c>
      <c r="O15" s="58">
        <f t="shared" si="15"/>
        <v>3478.916603914708</v>
      </c>
      <c r="P15" s="58">
        <f t="shared" si="15"/>
        <v>3693.7397042064413</v>
      </c>
      <c r="Q15" s="58">
        <f t="shared" si="15"/>
        <v>3921.8281309411891</v>
      </c>
      <c r="R15" s="58">
        <f t="shared" si="15"/>
        <v>4164.0010180268073</v>
      </c>
    </row>
    <row r="16" spans="1:18" x14ac:dyDescent="0.2">
      <c r="B16" s="32" t="s">
        <v>525</v>
      </c>
      <c r="C16" s="58">
        <v>5069</v>
      </c>
      <c r="D16" s="58">
        <f t="shared" si="2"/>
        <v>6589.7</v>
      </c>
      <c r="E16" s="58">
        <f t="shared" si="4"/>
        <v>6996.6139750000002</v>
      </c>
      <c r="F16" s="58">
        <f t="shared" si="5"/>
        <v>7428.6548879562506</v>
      </c>
      <c r="G16" s="58"/>
      <c r="H16" s="58"/>
      <c r="I16" s="58"/>
      <c r="J16" s="58">
        <f>+F16+(F16*J4)</f>
        <v>7887.374327287549</v>
      </c>
      <c r="K16" s="58">
        <f t="shared" ref="K16:R16" si="16">+J16+(J16*K4)</f>
        <v>8374.4196919975548</v>
      </c>
      <c r="L16" s="58">
        <f t="shared" si="16"/>
        <v>8891.5401079784042</v>
      </c>
      <c r="M16" s="58">
        <f t="shared" si="16"/>
        <v>9440.5927096460709</v>
      </c>
      <c r="N16" s="58">
        <f t="shared" si="16"/>
        <v>10023.549309466716</v>
      </c>
      <c r="O16" s="58">
        <f t="shared" si="16"/>
        <v>10642.503479326286</v>
      </c>
      <c r="P16" s="58">
        <f t="shared" si="16"/>
        <v>11299.678069174684</v>
      </c>
      <c r="Q16" s="58">
        <f t="shared" si="16"/>
        <v>11997.433189946221</v>
      </c>
      <c r="R16" s="58">
        <f t="shared" si="16"/>
        <v>12738.274689425401</v>
      </c>
    </row>
    <row r="17" spans="2:18" x14ac:dyDescent="0.2">
      <c r="B17" s="32" t="s">
        <v>520</v>
      </c>
      <c r="C17" s="58">
        <v>4022</v>
      </c>
      <c r="D17" s="58">
        <f t="shared" si="2"/>
        <v>5228.6000000000004</v>
      </c>
      <c r="E17" s="58">
        <f t="shared" si="4"/>
        <v>5551.46605</v>
      </c>
      <c r="F17" s="58">
        <f t="shared" si="5"/>
        <v>5894.2690785875002</v>
      </c>
      <c r="G17" s="58"/>
      <c r="H17" s="58"/>
      <c r="I17" s="58"/>
      <c r="J17" s="58">
        <f>+F17+(F17*J4)</f>
        <v>6258.2401941902781</v>
      </c>
      <c r="K17" s="58">
        <f t="shared" ref="K17:R17" si="17">+J17+(J17*K4)</f>
        <v>6644.6865261815274</v>
      </c>
      <c r="L17" s="58">
        <f t="shared" si="17"/>
        <v>7054.9959191732369</v>
      </c>
      <c r="M17" s="58">
        <f t="shared" si="17"/>
        <v>7490.6419171821844</v>
      </c>
      <c r="N17" s="58">
        <f t="shared" si="17"/>
        <v>7953.1890555681839</v>
      </c>
      <c r="O17" s="58">
        <f t="shared" si="17"/>
        <v>8444.2984797495192</v>
      </c>
      <c r="P17" s="58">
        <f t="shared" si="17"/>
        <v>8965.7339108740525</v>
      </c>
      <c r="Q17" s="58">
        <f t="shared" si="17"/>
        <v>9519.3679798705252</v>
      </c>
      <c r="R17" s="58">
        <f t="shared" si="17"/>
        <v>10107.18895262753</v>
      </c>
    </row>
    <row r="18" spans="2:18" x14ac:dyDescent="0.2">
      <c r="B18" s="32" t="s">
        <v>521</v>
      </c>
      <c r="C18" s="58">
        <v>2094</v>
      </c>
      <c r="D18" s="58">
        <f t="shared" si="2"/>
        <v>2722.2000000000003</v>
      </c>
      <c r="E18" s="58">
        <f t="shared" si="4"/>
        <v>2890.2958500000004</v>
      </c>
      <c r="F18" s="58">
        <f t="shared" si="5"/>
        <v>3068.7716187375004</v>
      </c>
      <c r="G18" s="58"/>
      <c r="H18" s="58"/>
      <c r="I18" s="58"/>
      <c r="J18" s="58">
        <f>+F18+(F18*J4)</f>
        <v>3258.268266194541</v>
      </c>
      <c r="K18" s="58">
        <f t="shared" ref="K18:R18" si="18">+J18+(J18*K4)</f>
        <v>3459.4663316320539</v>
      </c>
      <c r="L18" s="58">
        <f t="shared" si="18"/>
        <v>3673.0883776103333</v>
      </c>
      <c r="M18" s="58">
        <f t="shared" si="18"/>
        <v>3899.9015849277712</v>
      </c>
      <c r="N18" s="58">
        <f t="shared" si="18"/>
        <v>4140.7205077970611</v>
      </c>
      <c r="O18" s="58">
        <f t="shared" si="18"/>
        <v>4396.4099991535295</v>
      </c>
      <c r="P18" s="58">
        <f t="shared" si="18"/>
        <v>4667.8883166012602</v>
      </c>
      <c r="Q18" s="58">
        <f t="shared" si="18"/>
        <v>4956.1304201513876</v>
      </c>
      <c r="R18" s="58">
        <f t="shared" si="18"/>
        <v>5262.1714735957357</v>
      </c>
    </row>
    <row r="19" spans="2:18" x14ac:dyDescent="0.2">
      <c r="B19" s="32" t="s">
        <v>522</v>
      </c>
      <c r="C19" s="58">
        <v>2149</v>
      </c>
      <c r="D19" s="58">
        <f t="shared" si="2"/>
        <v>2793.7000000000003</v>
      </c>
      <c r="E19" s="58">
        <f t="shared" si="4"/>
        <v>2966.2109750000004</v>
      </c>
      <c r="F19" s="58">
        <f t="shared" si="5"/>
        <v>3149.3745027062505</v>
      </c>
      <c r="G19" s="58"/>
      <c r="H19" s="58"/>
      <c r="I19" s="58"/>
      <c r="J19" s="58">
        <f>+F19+(F19*J4)</f>
        <v>3343.8483782483613</v>
      </c>
      <c r="K19" s="58">
        <f t="shared" ref="K19:R19" si="19">+J19+(J19*K4)</f>
        <v>3550.3310156051975</v>
      </c>
      <c r="L19" s="58">
        <f t="shared" si="19"/>
        <v>3769.5639558188186</v>
      </c>
      <c r="M19" s="58">
        <f t="shared" si="19"/>
        <v>4002.3345300906308</v>
      </c>
      <c r="N19" s="58">
        <f t="shared" si="19"/>
        <v>4249.4786873237272</v>
      </c>
      <c r="O19" s="58">
        <f t="shared" si="19"/>
        <v>4511.8839962659677</v>
      </c>
      <c r="P19" s="58">
        <f t="shared" si="19"/>
        <v>4790.4928330353914</v>
      </c>
      <c r="Q19" s="58">
        <f t="shared" si="19"/>
        <v>5086.3057654753266</v>
      </c>
      <c r="R19" s="58">
        <f t="shared" si="19"/>
        <v>5400.3851464934278</v>
      </c>
    </row>
    <row r="20" spans="2:18" x14ac:dyDescent="0.2">
      <c r="B20" s="32" t="s">
        <v>523</v>
      </c>
      <c r="C20" s="58">
        <v>3000</v>
      </c>
      <c r="D20" s="58">
        <f t="shared" si="2"/>
        <v>3900</v>
      </c>
      <c r="E20" s="58">
        <f t="shared" si="4"/>
        <v>4140.8249999999998</v>
      </c>
      <c r="F20" s="58">
        <f t="shared" si="5"/>
        <v>4396.5209437499998</v>
      </c>
      <c r="G20" s="58"/>
      <c r="H20" s="58"/>
      <c r="I20" s="58"/>
      <c r="J20" s="58">
        <f>+F20+(F20*J4)</f>
        <v>4668.0061120265618</v>
      </c>
      <c r="K20" s="58">
        <f t="shared" ref="K20:R20" si="20">+J20+(J20*K4)</f>
        <v>4956.2554894442019</v>
      </c>
      <c r="L20" s="58">
        <f t="shared" si="20"/>
        <v>5262.3042659173816</v>
      </c>
      <c r="M20" s="58">
        <f t="shared" si="20"/>
        <v>5587.2515543377804</v>
      </c>
      <c r="N20" s="58">
        <f t="shared" si="20"/>
        <v>5932.2643378181383</v>
      </c>
      <c r="O20" s="58">
        <f t="shared" si="20"/>
        <v>6298.5816606784083</v>
      </c>
      <c r="P20" s="58">
        <f t="shared" si="20"/>
        <v>6687.5190782253003</v>
      </c>
      <c r="Q20" s="58">
        <f t="shared" si="20"/>
        <v>7100.4733813057128</v>
      </c>
      <c r="R20" s="58">
        <f t="shared" si="20"/>
        <v>7538.927612601341</v>
      </c>
    </row>
    <row r="21" spans="2:18" x14ac:dyDescent="0.2">
      <c r="B21" s="45" t="s">
        <v>226</v>
      </c>
      <c r="C21" s="59">
        <f>SUM(C5:C20)</f>
        <v>148288</v>
      </c>
      <c r="D21" s="59">
        <f>SUM(D5:D20)</f>
        <v>192774.40000000002</v>
      </c>
      <c r="E21" s="59">
        <f>SUM(E5:E20)</f>
        <v>204678.21919999999</v>
      </c>
      <c r="F21" s="59">
        <f>SUM(F5:F20)</f>
        <v>217317.09923560001</v>
      </c>
      <c r="G21" s="59"/>
      <c r="H21" s="59"/>
      <c r="I21" s="59"/>
      <c r="J21" s="59">
        <f t="shared" ref="J21:R21" si="21">SUM(J5:J20)</f>
        <v>230736.4301133983</v>
      </c>
      <c r="K21" s="59">
        <f t="shared" si="21"/>
        <v>244984.40467290068</v>
      </c>
      <c r="L21" s="59">
        <f t="shared" si="21"/>
        <v>260112.19166145229</v>
      </c>
      <c r="M21" s="59">
        <f t="shared" si="21"/>
        <v>276174.11949654692</v>
      </c>
      <c r="N21" s="59">
        <f t="shared" si="21"/>
        <v>293227.87137545878</v>
      </c>
      <c r="O21" s="59">
        <f t="shared" si="21"/>
        <v>311334.69243289327</v>
      </c>
      <c r="P21" s="59">
        <f t="shared" si="21"/>
        <v>330559.60969062458</v>
      </c>
      <c r="Q21" s="59">
        <f t="shared" si="21"/>
        <v>350971.66558902059</v>
      </c>
      <c r="R21" s="59">
        <f t="shared" si="21"/>
        <v>372644.16593914258</v>
      </c>
    </row>
    <row r="22" spans="2:18" x14ac:dyDescent="0.2">
      <c r="F22" s="32" t="s">
        <v>189</v>
      </c>
    </row>
    <row r="23" spans="2:18" x14ac:dyDescent="0.2">
      <c r="G23" s="309" t="s">
        <v>543</v>
      </c>
      <c r="H23" s="309"/>
      <c r="I23" s="60"/>
    </row>
    <row r="24" spans="2:18" x14ac:dyDescent="0.2">
      <c r="B24" s="36" t="s">
        <v>530</v>
      </c>
      <c r="G24" s="58">
        <v>23000</v>
      </c>
      <c r="H24" s="58">
        <v>16000</v>
      </c>
      <c r="I24" s="58"/>
    </row>
    <row r="25" spans="2:18" x14ac:dyDescent="0.2">
      <c r="B25" s="32" t="s">
        <v>531</v>
      </c>
      <c r="C25" s="58">
        <f>+C9+C10+C12*50%</f>
        <v>41644.5</v>
      </c>
      <c r="D25" s="58">
        <f>+C25*$D$4</f>
        <v>54137.85</v>
      </c>
      <c r="E25" s="58">
        <f>+D25+(D25*$E$4)</f>
        <v>57480.862237499998</v>
      </c>
      <c r="F25" s="58">
        <f>+E25+E25*$F$4</f>
        <v>61030.305480665622</v>
      </c>
      <c r="G25" s="58">
        <v>2</v>
      </c>
      <c r="H25" s="58">
        <v>1</v>
      </c>
      <c r="I25" s="58">
        <f>+($G$24*G25+$H$24*H25)-F25</f>
        <v>969.69451933437813</v>
      </c>
      <c r="J25" s="58">
        <f>+F25+(F25*J4)</f>
        <v>64798.926844096728</v>
      </c>
      <c r="K25" s="58">
        <f t="shared" ref="K25:R25" si="22">+J25+(J25*K4)</f>
        <v>68800.260576719695</v>
      </c>
      <c r="L25" s="58">
        <f t="shared" si="22"/>
        <v>73048.67666733214</v>
      </c>
      <c r="M25" s="58">
        <f t="shared" si="22"/>
        <v>77559.432451539906</v>
      </c>
      <c r="N25" s="58">
        <f t="shared" si="22"/>
        <v>82348.727405422498</v>
      </c>
      <c r="O25" s="58">
        <f t="shared" si="22"/>
        <v>87433.761322707345</v>
      </c>
      <c r="P25" s="58">
        <f t="shared" si="22"/>
        <v>92832.796084384521</v>
      </c>
      <c r="Q25" s="58">
        <f t="shared" si="22"/>
        <v>98565.22124259526</v>
      </c>
      <c r="R25" s="58">
        <f t="shared" si="22"/>
        <v>104651.62365432552</v>
      </c>
    </row>
    <row r="26" spans="2:18" x14ac:dyDescent="0.2">
      <c r="B26" s="32" t="s">
        <v>532</v>
      </c>
      <c r="C26" s="58">
        <f>+C5+C16*50%</f>
        <v>21597.5</v>
      </c>
      <c r="D26" s="58">
        <f>+C26*$D$4</f>
        <v>28076.75</v>
      </c>
      <c r="E26" s="58">
        <f>+D26+(D26*$E$4)</f>
        <v>29810.489312500002</v>
      </c>
      <c r="F26" s="58">
        <f>+E26+E26*F4</f>
        <v>31651.287027546878</v>
      </c>
      <c r="G26" s="58">
        <v>1</v>
      </c>
      <c r="H26" s="58">
        <v>1</v>
      </c>
      <c r="I26" s="58">
        <f>+($G$24*G26+$H$24*H26)-F26</f>
        <v>7348.7129724531223</v>
      </c>
      <c r="J26" s="58">
        <f>+F26+F26*J4</f>
        <v>33605.754001497895</v>
      </c>
      <c r="K26" s="58">
        <f t="shared" ref="K26:R26" si="23">+J26+J26*K4</f>
        <v>35680.909311090392</v>
      </c>
      <c r="L26" s="58">
        <f t="shared" si="23"/>
        <v>37884.205461050224</v>
      </c>
      <c r="M26" s="58">
        <f t="shared" si="23"/>
        <v>40223.555148270076</v>
      </c>
      <c r="N26" s="58">
        <f t="shared" si="23"/>
        <v>42707.359678675755</v>
      </c>
      <c r="O26" s="58">
        <f t="shared" si="23"/>
        <v>45344.539138833985</v>
      </c>
      <c r="P26" s="58">
        <f t="shared" si="23"/>
        <v>48144.564430656981</v>
      </c>
      <c r="Q26" s="58">
        <f t="shared" si="23"/>
        <v>51117.491284250049</v>
      </c>
      <c r="R26" s="58">
        <f t="shared" si="23"/>
        <v>54273.99637105249</v>
      </c>
    </row>
    <row r="27" spans="2:18" x14ac:dyDescent="0.2">
      <c r="B27" s="32" t="s">
        <v>533</v>
      </c>
      <c r="C27" s="58">
        <f>+C7</f>
        <v>18466</v>
      </c>
      <c r="D27" s="58">
        <f>+C27*$D$4</f>
        <v>24005.8</v>
      </c>
      <c r="E27" s="58">
        <f>+D27+(D27*$E$4)</f>
        <v>25488.158149999999</v>
      </c>
      <c r="F27" s="58">
        <f>+E27+E27*$F$4</f>
        <v>27062.051915762499</v>
      </c>
      <c r="G27" s="58">
        <v>1</v>
      </c>
      <c r="H27" s="58">
        <v>1</v>
      </c>
      <c r="I27" s="58">
        <f>+($G$24*G27+$H$24*H27)-F27</f>
        <v>11937.948084237501</v>
      </c>
      <c r="J27" s="58">
        <f>+F27+F27*J4</f>
        <v>28733.133621560832</v>
      </c>
      <c r="K27" s="58">
        <f t="shared" ref="K27:R27" si="24">+J27+J27*K4</f>
        <v>30507.404622692215</v>
      </c>
      <c r="L27" s="58">
        <f t="shared" si="24"/>
        <v>32391.23685814346</v>
      </c>
      <c r="M27" s="58">
        <f t="shared" si="24"/>
        <v>34391.395734133817</v>
      </c>
      <c r="N27" s="58">
        <f t="shared" si="24"/>
        <v>36515.064420716582</v>
      </c>
      <c r="O27" s="58">
        <f t="shared" si="24"/>
        <v>38769.869648695829</v>
      </c>
      <c r="P27" s="58">
        <f t="shared" si="24"/>
        <v>41163.909099502795</v>
      </c>
      <c r="Q27" s="58">
        <f t="shared" si="24"/>
        <v>43705.780486397096</v>
      </c>
      <c r="R27" s="58">
        <f t="shared" si="24"/>
        <v>46404.612431432121</v>
      </c>
    </row>
    <row r="28" spans="2:18" x14ac:dyDescent="0.2">
      <c r="B28" s="32" t="s">
        <v>534</v>
      </c>
      <c r="C28" s="58">
        <f>+C8</f>
        <v>16000</v>
      </c>
      <c r="D28" s="58">
        <f>+C28*$D$4</f>
        <v>20800</v>
      </c>
      <c r="E28" s="58">
        <f>+D28+(D28*$E$4)</f>
        <v>22084.400000000001</v>
      </c>
      <c r="F28" s="58">
        <f>+E28+E28*$F$4</f>
        <v>23448.111700000001</v>
      </c>
      <c r="G28" s="58">
        <v>1</v>
      </c>
      <c r="H28" s="58">
        <v>1</v>
      </c>
      <c r="I28" s="58">
        <f>+($G$24*G28+$H$24*H28)-F28</f>
        <v>15551.888299999999</v>
      </c>
      <c r="J28" s="58">
        <f>+F28+F28*J4</f>
        <v>24896.032597475001</v>
      </c>
      <c r="K28" s="58">
        <f t="shared" ref="K28:R28" si="25">+J28+J28*K4</f>
        <v>26433.362610369084</v>
      </c>
      <c r="L28" s="58">
        <f t="shared" si="25"/>
        <v>28065.622751559375</v>
      </c>
      <c r="M28" s="58">
        <f t="shared" si="25"/>
        <v>29798.674956468167</v>
      </c>
      <c r="N28" s="58">
        <f t="shared" si="25"/>
        <v>31638.743135030076</v>
      </c>
      <c r="O28" s="58">
        <f t="shared" si="25"/>
        <v>33592.43552361818</v>
      </c>
      <c r="P28" s="58">
        <f t="shared" si="25"/>
        <v>35666.768417201602</v>
      </c>
      <c r="Q28" s="58">
        <f t="shared" si="25"/>
        <v>37869.191366963802</v>
      </c>
      <c r="R28" s="58">
        <f t="shared" si="25"/>
        <v>40207.613933873814</v>
      </c>
    </row>
    <row r="29" spans="2:18" x14ac:dyDescent="0.2">
      <c r="B29" s="32" t="s">
        <v>535</v>
      </c>
      <c r="C29" s="58">
        <f>+C6+(C20*50%)</f>
        <v>21670</v>
      </c>
      <c r="D29" s="58">
        <f>+C29*$D$4</f>
        <v>28171</v>
      </c>
      <c r="E29" s="58">
        <f>+D29+(D29*$E$4)</f>
        <v>29910.559249999998</v>
      </c>
      <c r="F29" s="58">
        <f>+E29+E29*$F$4</f>
        <v>31757.536283687499</v>
      </c>
      <c r="G29" s="58">
        <v>1</v>
      </c>
      <c r="H29" s="58">
        <v>1</v>
      </c>
      <c r="I29" s="58">
        <f>+($G$24*G29+$H$24*H29)-F29</f>
        <v>7242.4637163125008</v>
      </c>
      <c r="J29" s="58">
        <f>+F29+F29*J4</f>
        <v>33718.564149205202</v>
      </c>
      <c r="K29" s="58">
        <f t="shared" ref="K29:R29" si="26">+J29+J29*K4</f>
        <v>35800.685485418624</v>
      </c>
      <c r="L29" s="58">
        <f t="shared" si="26"/>
        <v>38011.377814143227</v>
      </c>
      <c r="M29" s="58">
        <f t="shared" si="26"/>
        <v>40358.580394166573</v>
      </c>
      <c r="N29" s="58">
        <f t="shared" si="26"/>
        <v>42850.722733506358</v>
      </c>
      <c r="O29" s="58">
        <f t="shared" si="26"/>
        <v>45496.754862300375</v>
      </c>
      <c r="P29" s="58">
        <f t="shared" si="26"/>
        <v>48306.179475047422</v>
      </c>
      <c r="Q29" s="58">
        <f t="shared" si="26"/>
        <v>51289.086057631597</v>
      </c>
      <c r="R29" s="58">
        <f t="shared" si="26"/>
        <v>54456.187121690346</v>
      </c>
    </row>
    <row r="30" spans="2:18" x14ac:dyDescent="0.2">
      <c r="C30" s="32" t="s">
        <v>189</v>
      </c>
      <c r="F30" s="59">
        <f>SUM(F25:F29)</f>
        <v>174949.29240766249</v>
      </c>
      <c r="G30" s="58" t="s">
        <v>183</v>
      </c>
      <c r="H30" s="58" t="s">
        <v>183</v>
      </c>
      <c r="I30" s="59">
        <f>SUM(I25:I29)</f>
        <v>43050.707592337501</v>
      </c>
    </row>
    <row r="31" spans="2:18" x14ac:dyDescent="0.2">
      <c r="I31" s="61">
        <f>+I30/F30</f>
        <v>0.24607534560369534</v>
      </c>
    </row>
    <row r="32" spans="2:18" x14ac:dyDescent="0.2">
      <c r="B32" s="36" t="s">
        <v>536</v>
      </c>
      <c r="G32" s="58">
        <v>12000</v>
      </c>
      <c r="H32" s="58">
        <v>9500</v>
      </c>
    </row>
    <row r="33" spans="2:18" x14ac:dyDescent="0.2">
      <c r="B33" s="32" t="s">
        <v>537</v>
      </c>
      <c r="C33" s="58">
        <f>+C12*50%+C13+C14+C15</f>
        <v>8610.5</v>
      </c>
      <c r="D33" s="58">
        <f>+C33*$D$4</f>
        <v>11193.65</v>
      </c>
      <c r="E33" s="58">
        <f>+D33+(D33*$E$4)</f>
        <v>11884.8578875</v>
      </c>
      <c r="F33" s="58">
        <f>+E33+E33*$F$4</f>
        <v>12618.747862053126</v>
      </c>
      <c r="G33" s="32" t="s">
        <v>183</v>
      </c>
      <c r="H33" s="32" t="s">
        <v>183</v>
      </c>
      <c r="I33" s="58"/>
      <c r="J33" s="58">
        <f>+F33+F33*J4</f>
        <v>13397.955542534906</v>
      </c>
      <c r="K33" s="58">
        <f t="shared" ref="K33:R33" si="27">+J33+J33*K4</f>
        <v>14225.279297286437</v>
      </c>
      <c r="L33" s="58">
        <f t="shared" si="27"/>
        <v>15103.690293893875</v>
      </c>
      <c r="M33" s="58">
        <f t="shared" si="27"/>
        <v>16036.343169541822</v>
      </c>
      <c r="N33" s="58">
        <f t="shared" si="27"/>
        <v>17026.58736026103</v>
      </c>
      <c r="O33" s="58">
        <f t="shared" si="27"/>
        <v>18077.97912975715</v>
      </c>
      <c r="P33" s="58">
        <f t="shared" si="27"/>
        <v>19194.294341019653</v>
      </c>
      <c r="Q33" s="58">
        <f t="shared" si="27"/>
        <v>20379.542016577616</v>
      </c>
      <c r="R33" s="58">
        <f t="shared" si="27"/>
        <v>21637.978736101282</v>
      </c>
    </row>
    <row r="34" spans="2:18" x14ac:dyDescent="0.2">
      <c r="B34" s="32" t="s">
        <v>538</v>
      </c>
      <c r="C34" s="58">
        <f>+C16*50%+C17+C18+C19+C20*50%</f>
        <v>12299.5</v>
      </c>
      <c r="D34" s="58">
        <f>+C34*$D$4</f>
        <v>15989.35</v>
      </c>
      <c r="E34" s="58">
        <f>+D34+(D34*$E$4)</f>
        <v>16976.692362500002</v>
      </c>
      <c r="F34" s="58">
        <f>+E34+E34*$F$4</f>
        <v>18025.003115884378</v>
      </c>
      <c r="I34" s="58"/>
      <c r="J34" s="58">
        <f>+F34+F34*J4</f>
        <v>19138.047058290238</v>
      </c>
      <c r="K34" s="58">
        <f t="shared" ref="K34:R34" si="28">+J34+J34*K4</f>
        <v>20319.821464139659</v>
      </c>
      <c r="L34" s="58">
        <f t="shared" si="28"/>
        <v>21574.570439550283</v>
      </c>
      <c r="M34" s="58">
        <f t="shared" si="28"/>
        <v>22906.800164192515</v>
      </c>
      <c r="N34" s="58">
        <f t="shared" si="28"/>
        <v>24321.295074331403</v>
      </c>
      <c r="O34" s="58">
        <f t="shared" si="28"/>
        <v>25823.135045171366</v>
      </c>
      <c r="P34" s="58">
        <f t="shared" si="28"/>
        <v>27417.713634210697</v>
      </c>
      <c r="Q34" s="58">
        <f t="shared" si="28"/>
        <v>29110.757451123209</v>
      </c>
      <c r="R34" s="58">
        <f t="shared" si="28"/>
        <v>30908.346723730068</v>
      </c>
    </row>
    <row r="35" spans="2:18" x14ac:dyDescent="0.2">
      <c r="B35" s="32" t="s">
        <v>539</v>
      </c>
      <c r="C35" s="58">
        <f>+C11</f>
        <v>8000</v>
      </c>
      <c r="D35" s="58">
        <f>+C35*$D$4</f>
        <v>10400</v>
      </c>
      <c r="E35" s="58">
        <f>+D35+(D35*$E$4)</f>
        <v>11042.2</v>
      </c>
      <c r="F35" s="58">
        <f>+E35+E35*F4</f>
        <v>11724.055850000001</v>
      </c>
      <c r="I35" s="58"/>
      <c r="J35" s="58">
        <f>+F35+F35*J4</f>
        <v>12448.016298737501</v>
      </c>
      <c r="K35" s="58">
        <f t="shared" ref="K35:R35" si="29">+J35+J35*K4</f>
        <v>13216.681305184542</v>
      </c>
      <c r="L35" s="58">
        <f t="shared" si="29"/>
        <v>14032.811375779687</v>
      </c>
      <c r="M35" s="58">
        <f t="shared" si="29"/>
        <v>14899.337478234083</v>
      </c>
      <c r="N35" s="58">
        <f t="shared" si="29"/>
        <v>15819.371567515038</v>
      </c>
      <c r="O35" s="58">
        <f t="shared" si="29"/>
        <v>16796.21776180909</v>
      </c>
      <c r="P35" s="58">
        <f t="shared" si="29"/>
        <v>17833.384208600801</v>
      </c>
      <c r="Q35" s="58">
        <f t="shared" si="29"/>
        <v>18934.595683481901</v>
      </c>
      <c r="R35" s="58">
        <f t="shared" si="29"/>
        <v>20103.806966936907</v>
      </c>
    </row>
    <row r="36" spans="2:18" x14ac:dyDescent="0.2">
      <c r="C36" s="58"/>
      <c r="D36" s="58"/>
      <c r="E36" s="58"/>
      <c r="F36" s="58">
        <f>SUM(F33:F35)</f>
        <v>42367.8068279375</v>
      </c>
      <c r="G36" s="58">
        <v>3</v>
      </c>
      <c r="H36" s="58">
        <v>2</v>
      </c>
      <c r="I36" s="58">
        <f>+(G36*G32+H36*H32)-F36</f>
        <v>12632.1931720625</v>
      </c>
      <c r="J36" s="58"/>
      <c r="K36" s="58"/>
      <c r="L36" s="58"/>
      <c r="M36" s="58"/>
      <c r="N36" s="58"/>
      <c r="O36" s="58"/>
      <c r="P36" s="58"/>
      <c r="Q36" s="58"/>
      <c r="R36" s="58"/>
    </row>
    <row r="37" spans="2:18" x14ac:dyDescent="0.2">
      <c r="I37" s="37">
        <f>+I36/F36</f>
        <v>0.29815546561954159</v>
      </c>
    </row>
    <row r="38" spans="2:18" x14ac:dyDescent="0.2">
      <c r="B38" s="32" t="s">
        <v>540</v>
      </c>
      <c r="C38" s="58">
        <f>+C25+C26+C27+C28+C29+C33+C34+C35</f>
        <v>148288</v>
      </c>
      <c r="D38" s="58">
        <f t="shared" ref="D38:R38" si="30">+D25+D26+D27+D28+D29+D33+D34+D35</f>
        <v>192774.40000000002</v>
      </c>
      <c r="E38" s="58">
        <f t="shared" si="30"/>
        <v>204678.21919999999</v>
      </c>
      <c r="F38" s="58">
        <f t="shared" si="30"/>
        <v>217317.09923560001</v>
      </c>
      <c r="G38" s="58"/>
      <c r="H38" s="58"/>
      <c r="I38" s="58"/>
      <c r="J38" s="58">
        <f t="shared" si="30"/>
        <v>230736.4301133983</v>
      </c>
      <c r="K38" s="58">
        <f t="shared" si="30"/>
        <v>244984.40467290065</v>
      </c>
      <c r="L38" s="58">
        <f t="shared" si="30"/>
        <v>260112.19166145229</v>
      </c>
      <c r="M38" s="58">
        <f t="shared" si="30"/>
        <v>276174.11949654692</v>
      </c>
      <c r="N38" s="58">
        <f t="shared" si="30"/>
        <v>293227.87137545872</v>
      </c>
      <c r="O38" s="58">
        <f t="shared" si="30"/>
        <v>311334.69243289332</v>
      </c>
      <c r="P38" s="58">
        <f t="shared" si="30"/>
        <v>330559.60969062446</v>
      </c>
      <c r="Q38" s="58">
        <f t="shared" si="30"/>
        <v>350971.66558902053</v>
      </c>
      <c r="R38" s="58">
        <f t="shared" si="30"/>
        <v>372644.16593914264</v>
      </c>
    </row>
    <row r="39" spans="2:18" x14ac:dyDescent="0.2">
      <c r="C39" s="58">
        <f>+C21-C38</f>
        <v>0</v>
      </c>
      <c r="D39" s="58">
        <f t="shared" ref="D39:R39" si="31">+D21-D38</f>
        <v>0</v>
      </c>
      <c r="E39" s="58">
        <f t="shared" si="31"/>
        <v>0</v>
      </c>
      <c r="F39" s="58">
        <f t="shared" si="31"/>
        <v>0</v>
      </c>
      <c r="G39" s="58"/>
      <c r="H39" s="58"/>
      <c r="I39" s="58"/>
      <c r="J39" s="58">
        <f t="shared" si="31"/>
        <v>0</v>
      </c>
      <c r="K39" s="58">
        <f t="shared" si="31"/>
        <v>0</v>
      </c>
      <c r="L39" s="58">
        <f t="shared" si="31"/>
        <v>0</v>
      </c>
      <c r="M39" s="58">
        <f t="shared" si="31"/>
        <v>0</v>
      </c>
      <c r="N39" s="58">
        <f t="shared" si="31"/>
        <v>0</v>
      </c>
      <c r="O39" s="58">
        <f t="shared" si="31"/>
        <v>0</v>
      </c>
      <c r="P39" s="58">
        <f t="shared" si="31"/>
        <v>0</v>
      </c>
      <c r="Q39" s="58">
        <f t="shared" si="31"/>
        <v>0</v>
      </c>
      <c r="R39" s="58">
        <f t="shared" si="31"/>
        <v>0</v>
      </c>
    </row>
  </sheetData>
  <mergeCells count="2">
    <mergeCell ref="G3:H3"/>
    <mergeCell ref="G23:H23"/>
  </mergeCells>
  <conditionalFormatting sqref="F5:R20">
    <cfRule type="cellIs" dxfId="14" priority="15" stopIfTrue="1" operator="greaterThan">
      <formula>15000</formula>
    </cfRule>
  </conditionalFormatting>
  <conditionalFormatting sqref="F25:R25">
    <cfRule type="cellIs" dxfId="13" priority="14" stopIfTrue="1" operator="greaterThan">
      <formula>15000</formula>
    </cfRule>
  </conditionalFormatting>
  <conditionalFormatting sqref="F26:R26">
    <cfRule type="cellIs" dxfId="12" priority="13" stopIfTrue="1" operator="greaterThan">
      <formula>15000</formula>
    </cfRule>
  </conditionalFormatting>
  <conditionalFormatting sqref="F27:I27">
    <cfRule type="cellIs" dxfId="11" priority="12" stopIfTrue="1" operator="greaterThan">
      <formula>15000</formula>
    </cfRule>
  </conditionalFormatting>
  <conditionalFormatting sqref="J27:R27">
    <cfRule type="cellIs" dxfId="10" priority="11" stopIfTrue="1" operator="greaterThan">
      <formula>15000</formula>
    </cfRule>
  </conditionalFormatting>
  <conditionalFormatting sqref="F28:I28">
    <cfRule type="cellIs" dxfId="9" priority="10" stopIfTrue="1" operator="greaterThan">
      <formula>15000</formula>
    </cfRule>
  </conditionalFormatting>
  <conditionalFormatting sqref="J28:R28">
    <cfRule type="cellIs" dxfId="8" priority="9" stopIfTrue="1" operator="greaterThan">
      <formula>15000</formula>
    </cfRule>
  </conditionalFormatting>
  <conditionalFormatting sqref="F29:I29">
    <cfRule type="cellIs" dxfId="7" priority="8" stopIfTrue="1" operator="greaterThan">
      <formula>15000</formula>
    </cfRule>
  </conditionalFormatting>
  <conditionalFormatting sqref="J29:R29">
    <cfRule type="cellIs" dxfId="6" priority="7" stopIfTrue="1" operator="greaterThan">
      <formula>15000</formula>
    </cfRule>
  </conditionalFormatting>
  <conditionalFormatting sqref="F33 I33:R33">
    <cfRule type="cellIs" dxfId="5" priority="6" stopIfTrue="1" operator="greaterThan">
      <formula>15000</formula>
    </cfRule>
  </conditionalFormatting>
  <conditionalFormatting sqref="F34 I34">
    <cfRule type="cellIs" dxfId="4" priority="5" stopIfTrue="1" operator="greaterThan">
      <formula>15000</formula>
    </cfRule>
  </conditionalFormatting>
  <conditionalFormatting sqref="J34:R34">
    <cfRule type="cellIs" dxfId="3" priority="4" stopIfTrue="1" operator="greaterThan">
      <formula>15000</formula>
    </cfRule>
  </conditionalFormatting>
  <conditionalFormatting sqref="F35:F36 I35:R36 G36:H36">
    <cfRule type="cellIs" dxfId="2" priority="3" stopIfTrue="1" operator="greaterThan">
      <formula>15000</formula>
    </cfRule>
  </conditionalFormatting>
  <conditionalFormatting sqref="I26:I29">
    <cfRule type="cellIs" dxfId="1" priority="2" stopIfTrue="1" operator="greaterThan">
      <formula>15000</formula>
    </cfRule>
  </conditionalFormatting>
  <conditionalFormatting sqref="I33:I36">
    <cfRule type="cellIs" dxfId="0" priority="1" stopIfTrue="1" operator="greaterThan">
      <formula>15000</formula>
    </cfRule>
  </conditionalFormatting>
  <pageMargins left="0.17" right="0.17" top="0.44" bottom="0.48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79"/>
  <sheetViews>
    <sheetView zoomScale="90" zoomScaleNormal="90" workbookViewId="0">
      <pane xSplit="2" ySplit="9" topLeftCell="C18" activePane="bottomRight" state="frozen"/>
      <selection pane="topRight" activeCell="C1" sqref="C1"/>
      <selection pane="bottomLeft" activeCell="A7" sqref="A7"/>
      <selection pane="bottomRight" activeCell="J29" sqref="J29"/>
    </sheetView>
  </sheetViews>
  <sheetFormatPr baseColWidth="10" defaultColWidth="11.42578125" defaultRowHeight="12.75" x14ac:dyDescent="0.2"/>
  <cols>
    <col min="1" max="1" width="21.7109375" style="24" customWidth="1"/>
    <col min="2" max="2" width="8.140625" style="24" customWidth="1"/>
    <col min="3" max="3" width="8.5703125" style="24" bestFit="1" customWidth="1"/>
    <col min="4" max="4" width="9.5703125" style="24" bestFit="1" customWidth="1"/>
    <col min="5" max="5" width="14.28515625" style="24" bestFit="1" customWidth="1"/>
    <col min="6" max="6" width="13" style="24" bestFit="1" customWidth="1"/>
    <col min="7" max="7" width="9.42578125" style="24" bestFit="1" customWidth="1"/>
    <col min="8" max="9" width="13.140625" style="24" customWidth="1"/>
    <col min="10" max="10" width="11.42578125" style="24"/>
    <col min="11" max="11" width="13.7109375" style="24" bestFit="1" customWidth="1"/>
    <col min="12" max="12" width="7.85546875" style="24" bestFit="1" customWidth="1"/>
    <col min="13" max="13" width="5.28515625" style="24" bestFit="1" customWidth="1"/>
    <col min="14" max="14" width="5.7109375" style="24" bestFit="1" customWidth="1"/>
    <col min="15" max="16384" width="11.42578125" style="24"/>
  </cols>
  <sheetData>
    <row r="1" spans="1:14" x14ac:dyDescent="0.2">
      <c r="K1" s="200" t="s">
        <v>581</v>
      </c>
      <c r="L1" s="195" t="s">
        <v>145</v>
      </c>
    </row>
    <row r="2" spans="1:14" ht="15.75" x14ac:dyDescent="0.25">
      <c r="A2" s="147" t="s">
        <v>140</v>
      </c>
      <c r="K2" s="203" t="s">
        <v>577</v>
      </c>
      <c r="L2" s="210">
        <v>110000</v>
      </c>
      <c r="M2" s="24" t="s">
        <v>593</v>
      </c>
      <c r="N2" s="210">
        <v>45000</v>
      </c>
    </row>
    <row r="3" spans="1:14" ht="16.5" x14ac:dyDescent="0.3">
      <c r="A3" s="148" t="s">
        <v>66</v>
      </c>
      <c r="E3" s="129"/>
      <c r="K3" s="203" t="s">
        <v>578</v>
      </c>
      <c r="L3" s="210">
        <v>130000</v>
      </c>
    </row>
    <row r="4" spans="1:14" x14ac:dyDescent="0.2">
      <c r="C4" s="311" t="s">
        <v>683</v>
      </c>
      <c r="D4" s="311"/>
      <c r="E4" s="209">
        <v>0.26</v>
      </c>
      <c r="K4" s="203" t="s">
        <v>579</v>
      </c>
      <c r="L4" s="210">
        <v>210000</v>
      </c>
    </row>
    <row r="5" spans="1:14" x14ac:dyDescent="0.2">
      <c r="E5" s="199"/>
      <c r="K5" s="203" t="s">
        <v>580</v>
      </c>
      <c r="L5" s="210">
        <v>190000</v>
      </c>
    </row>
    <row r="6" spans="1:14" x14ac:dyDescent="0.2">
      <c r="E6" s="199"/>
      <c r="K6" s="203" t="s">
        <v>10</v>
      </c>
      <c r="L6" s="210">
        <v>180000</v>
      </c>
    </row>
    <row r="7" spans="1:14" x14ac:dyDescent="0.2">
      <c r="L7" s="210"/>
    </row>
    <row r="8" spans="1:14" x14ac:dyDescent="0.2">
      <c r="C8" s="160"/>
      <c r="D8" s="160"/>
      <c r="E8" s="160" t="s">
        <v>67</v>
      </c>
      <c r="F8" s="160" t="s">
        <v>68</v>
      </c>
      <c r="G8" s="161"/>
      <c r="K8" s="26" t="s">
        <v>582</v>
      </c>
      <c r="L8" s="210">
        <v>180000</v>
      </c>
    </row>
    <row r="9" spans="1:14" x14ac:dyDescent="0.2">
      <c r="C9" s="160" t="s">
        <v>69</v>
      </c>
      <c r="D9" s="160" t="s">
        <v>70</v>
      </c>
      <c r="E9" s="160" t="s">
        <v>71</v>
      </c>
      <c r="F9" s="160" t="s">
        <v>71</v>
      </c>
      <c r="G9" s="161" t="s">
        <v>72</v>
      </c>
    </row>
    <row r="10" spans="1:14" x14ac:dyDescent="0.2">
      <c r="A10" s="145"/>
      <c r="E10" s="143" t="s">
        <v>183</v>
      </c>
      <c r="H10" s="310"/>
      <c r="I10" s="310"/>
    </row>
    <row r="11" spans="1:14" x14ac:dyDescent="0.2">
      <c r="A11" s="145" t="s">
        <v>668</v>
      </c>
      <c r="H11" s="161"/>
      <c r="I11" s="162"/>
    </row>
    <row r="12" spans="1:14" x14ac:dyDescent="0.2">
      <c r="A12" s="24" t="s">
        <v>576</v>
      </c>
      <c r="C12" s="163" t="s">
        <v>29</v>
      </c>
      <c r="D12" s="164">
        <f>' Vehículos 1'!C24-2</f>
        <v>16</v>
      </c>
      <c r="E12" s="165">
        <f>$L$3*(1+$E$4)</f>
        <v>163800</v>
      </c>
      <c r="F12" s="166">
        <f t="shared" ref="F12:F20" si="0">D12*E12</f>
        <v>2620800</v>
      </c>
      <c r="G12" s="167">
        <f t="shared" ref="G12:G29" si="1">(F12/$F$67)*100</f>
        <v>23.923448535676776</v>
      </c>
      <c r="H12" s="166"/>
      <c r="I12" s="166"/>
    </row>
    <row r="13" spans="1:14" x14ac:dyDescent="0.2">
      <c r="A13" s="24" t="s">
        <v>660</v>
      </c>
      <c r="C13" s="163" t="s">
        <v>29</v>
      </c>
      <c r="D13" s="164">
        <f>' Vehículos 1'!E24-2</f>
        <v>4</v>
      </c>
      <c r="E13" s="165">
        <f>$L$5*(1+$E$4)</f>
        <v>239400</v>
      </c>
      <c r="F13" s="166">
        <f t="shared" si="0"/>
        <v>957600</v>
      </c>
      <c r="G13" s="167">
        <f t="shared" si="1"/>
        <v>8.7412600418818993</v>
      </c>
      <c r="H13" s="166"/>
      <c r="I13" s="166"/>
    </row>
    <row r="14" spans="1:14" x14ac:dyDescent="0.2">
      <c r="A14" s="24" t="s">
        <v>596</v>
      </c>
      <c r="C14" s="163" t="s">
        <v>29</v>
      </c>
      <c r="D14" s="164">
        <f>' Vehículos 1'!D24</f>
        <v>0</v>
      </c>
      <c r="E14" s="165">
        <f>$N$2*(1+$E$4)</f>
        <v>56700</v>
      </c>
      <c r="F14" s="166">
        <f t="shared" ref="F14" si="2">D14*E14</f>
        <v>0</v>
      </c>
      <c r="G14" s="167">
        <f t="shared" si="1"/>
        <v>0</v>
      </c>
      <c r="H14" s="166"/>
      <c r="I14" s="166"/>
    </row>
    <row r="15" spans="1:14" x14ac:dyDescent="0.2">
      <c r="A15" s="24" t="s">
        <v>87</v>
      </c>
      <c r="C15" s="163" t="s">
        <v>74</v>
      </c>
      <c r="D15" s="165">
        <v>1</v>
      </c>
      <c r="E15" s="165">
        <f>40000*(1+$E$4)</f>
        <v>50400</v>
      </c>
      <c r="F15" s="166">
        <f t="shared" si="0"/>
        <v>50400</v>
      </c>
      <c r="G15" s="167">
        <f t="shared" si="1"/>
        <v>0.46006631799378422</v>
      </c>
    </row>
    <row r="16" spans="1:14" x14ac:dyDescent="0.2">
      <c r="A16" s="24" t="s">
        <v>75</v>
      </c>
      <c r="C16" s="163" t="s">
        <v>69</v>
      </c>
      <c r="D16" s="165">
        <v>1</v>
      </c>
      <c r="E16" s="165">
        <v>15000</v>
      </c>
      <c r="F16" s="166">
        <f t="shared" si="0"/>
        <v>15000</v>
      </c>
      <c r="G16" s="167">
        <f t="shared" si="1"/>
        <v>0.13692449940291196</v>
      </c>
    </row>
    <row r="17" spans="1:12" x14ac:dyDescent="0.2">
      <c r="A17" s="24" t="s">
        <v>76</v>
      </c>
      <c r="C17" s="163" t="s">
        <v>69</v>
      </c>
      <c r="D17" s="165">
        <f>+(D12+D13)*3+D14</f>
        <v>60</v>
      </c>
      <c r="E17" s="165">
        <f>750*(1+$E$4)</f>
        <v>945</v>
      </c>
      <c r="F17" s="166">
        <f t="shared" si="0"/>
        <v>56700</v>
      </c>
      <c r="G17" s="167">
        <f t="shared" si="1"/>
        <v>0.51757460774300723</v>
      </c>
    </row>
    <row r="18" spans="1:12" x14ac:dyDescent="0.2">
      <c r="A18" s="24" t="s">
        <v>77</v>
      </c>
      <c r="C18" s="163" t="s">
        <v>69</v>
      </c>
      <c r="D18" s="165">
        <v>3</v>
      </c>
      <c r="E18" s="165">
        <v>1100</v>
      </c>
      <c r="F18" s="166">
        <f t="shared" si="0"/>
        <v>3300</v>
      </c>
      <c r="G18" s="167">
        <f t="shared" si="1"/>
        <v>3.0123389868640632E-2</v>
      </c>
    </row>
    <row r="19" spans="1:12" x14ac:dyDescent="0.2">
      <c r="A19" s="24" t="s">
        <v>78</v>
      </c>
      <c r="C19" s="163" t="s">
        <v>69</v>
      </c>
      <c r="D19" s="165">
        <v>1</v>
      </c>
      <c r="E19" s="165">
        <v>2500</v>
      </c>
      <c r="F19" s="166">
        <f t="shared" si="0"/>
        <v>2500</v>
      </c>
      <c r="G19" s="167">
        <f t="shared" si="1"/>
        <v>2.2820749900485323E-2</v>
      </c>
    </row>
    <row r="20" spans="1:12" x14ac:dyDescent="0.2">
      <c r="A20" s="24" t="s">
        <v>79</v>
      </c>
      <c r="C20" s="163" t="s">
        <v>69</v>
      </c>
      <c r="D20" s="165">
        <v>1</v>
      </c>
      <c r="E20" s="165">
        <v>15000</v>
      </c>
      <c r="F20" s="166">
        <f t="shared" si="0"/>
        <v>15000</v>
      </c>
      <c r="G20" s="167">
        <f t="shared" si="1"/>
        <v>0.13692449940291196</v>
      </c>
    </row>
    <row r="21" spans="1:12" x14ac:dyDescent="0.2">
      <c r="A21" s="24" t="s">
        <v>80</v>
      </c>
      <c r="C21" s="296" t="s">
        <v>81</v>
      </c>
      <c r="D21" s="297">
        <f>2*Condiciones!B82*'Plan Inversiones'!D12+Condiciones!B83*'Plan Inversiones'!D13+Condiciones!B84*'Plan Inversiones'!D14</f>
        <v>4480</v>
      </c>
      <c r="E21" s="297">
        <v>420</v>
      </c>
      <c r="F21" s="298">
        <f t="shared" ref="F21:F26" si="3">D21*E21</f>
        <v>1881600</v>
      </c>
      <c r="G21" s="299">
        <f t="shared" si="1"/>
        <v>17.175809205101274</v>
      </c>
    </row>
    <row r="22" spans="1:12" x14ac:dyDescent="0.2">
      <c r="A22" s="24" t="s">
        <v>82</v>
      </c>
      <c r="C22" s="296" t="s">
        <v>81</v>
      </c>
      <c r="D22" s="297">
        <f>D21/2</f>
        <v>2240</v>
      </c>
      <c r="E22" s="297">
        <v>650</v>
      </c>
      <c r="F22" s="298">
        <f t="shared" si="3"/>
        <v>1456000</v>
      </c>
      <c r="G22" s="299">
        <f t="shared" si="1"/>
        <v>13.290804742042653</v>
      </c>
    </row>
    <row r="23" spans="1:12" x14ac:dyDescent="0.2">
      <c r="A23" s="24" t="s">
        <v>83</v>
      </c>
      <c r="C23" s="296" t="s">
        <v>69</v>
      </c>
      <c r="D23" s="297">
        <v>1</v>
      </c>
      <c r="E23" s="297">
        <v>4000</v>
      </c>
      <c r="F23" s="298">
        <f t="shared" si="3"/>
        <v>4000</v>
      </c>
      <c r="G23" s="299">
        <f t="shared" si="1"/>
        <v>3.6513199840776521E-2</v>
      </c>
    </row>
    <row r="24" spans="1:12" x14ac:dyDescent="0.2">
      <c r="A24" s="24" t="s">
        <v>84</v>
      </c>
      <c r="C24" s="296" t="s">
        <v>81</v>
      </c>
      <c r="D24" s="297">
        <v>350</v>
      </c>
      <c r="E24" s="297">
        <v>200</v>
      </c>
      <c r="F24" s="298">
        <f>D24*E24</f>
        <v>70000</v>
      </c>
      <c r="G24" s="299">
        <f t="shared" si="1"/>
        <v>0.63898099721358914</v>
      </c>
    </row>
    <row r="25" spans="1:12" x14ac:dyDescent="0.2">
      <c r="A25" s="24" t="s">
        <v>85</v>
      </c>
      <c r="C25" s="296" t="s">
        <v>81</v>
      </c>
      <c r="D25" s="297">
        <v>120</v>
      </c>
      <c r="E25" s="297">
        <v>45</v>
      </c>
      <c r="F25" s="298">
        <f>D25*E25</f>
        <v>5400</v>
      </c>
      <c r="G25" s="299">
        <f t="shared" si="1"/>
        <v>4.9292819785048306E-2</v>
      </c>
    </row>
    <row r="26" spans="1:12" x14ac:dyDescent="0.2">
      <c r="A26" s="24" t="s">
        <v>86</v>
      </c>
      <c r="C26" s="296" t="s">
        <v>81</v>
      </c>
      <c r="D26" s="297">
        <v>1000</v>
      </c>
      <c r="E26" s="297">
        <v>40</v>
      </c>
      <c r="F26" s="298">
        <f t="shared" si="3"/>
        <v>40000</v>
      </c>
      <c r="G26" s="299">
        <f t="shared" si="1"/>
        <v>0.36513199840776517</v>
      </c>
    </row>
    <row r="27" spans="1:12" x14ac:dyDescent="0.2">
      <c r="A27" s="24" t="s">
        <v>88</v>
      </c>
      <c r="C27" s="296" t="s">
        <v>69</v>
      </c>
      <c r="D27" s="297">
        <v>1</v>
      </c>
      <c r="E27" s="297">
        <v>6000</v>
      </c>
      <c r="F27" s="298">
        <f>D27*E27</f>
        <v>6000</v>
      </c>
      <c r="G27" s="299">
        <f t="shared" si="1"/>
        <v>5.4769799761164778E-2</v>
      </c>
    </row>
    <row r="28" spans="1:12" x14ac:dyDescent="0.2">
      <c r="A28" s="24" t="s">
        <v>544</v>
      </c>
      <c r="C28" s="296" t="s">
        <v>81</v>
      </c>
      <c r="D28" s="297">
        <v>10000</v>
      </c>
      <c r="E28" s="297">
        <f>Condiciones!$B$26</f>
        <v>0</v>
      </c>
      <c r="F28" s="298">
        <f>D28*E28</f>
        <v>0</v>
      </c>
      <c r="G28" s="299">
        <f t="shared" si="1"/>
        <v>0</v>
      </c>
      <c r="L28" s="166"/>
    </row>
    <row r="29" spans="1:12" x14ac:dyDescent="0.2">
      <c r="A29" s="24" t="s">
        <v>675</v>
      </c>
      <c r="C29" s="163"/>
      <c r="D29" s="165"/>
      <c r="E29" s="165"/>
      <c r="F29" s="166">
        <v>6695042.3700000001</v>
      </c>
      <c r="G29" s="167">
        <f t="shared" si="1"/>
        <v>61.114354999569024</v>
      </c>
      <c r="J29" s="166"/>
      <c r="L29" s="166"/>
    </row>
    <row r="30" spans="1:12" x14ac:dyDescent="0.2">
      <c r="C30" s="163"/>
      <c r="D30" s="165"/>
      <c r="E30" s="165"/>
      <c r="F30" s="166"/>
      <c r="G30" s="167"/>
      <c r="L30" s="166"/>
    </row>
    <row r="31" spans="1:12" x14ac:dyDescent="0.2">
      <c r="C31" s="163"/>
      <c r="D31" s="166"/>
      <c r="E31" s="168" t="s">
        <v>73</v>
      </c>
      <c r="F31" s="169">
        <f>SUM(F12:F20,F29)</f>
        <v>10416342.370000001</v>
      </c>
      <c r="G31" s="170">
        <f>SUM(G12:G28)</f>
        <v>65.580445404022697</v>
      </c>
    </row>
    <row r="32" spans="1:12" x14ac:dyDescent="0.2">
      <c r="A32" s="145" t="s">
        <v>53</v>
      </c>
    </row>
    <row r="33" spans="1:7" x14ac:dyDescent="0.2">
      <c r="A33" s="24" t="s">
        <v>162</v>
      </c>
      <c r="C33" s="163" t="s">
        <v>69</v>
      </c>
      <c r="D33" s="165">
        <v>1</v>
      </c>
      <c r="E33" s="165">
        <f>10500+10000</f>
        <v>20500</v>
      </c>
      <c r="F33" s="166">
        <f t="shared" ref="F33:F40" si="4">D33*E33</f>
        <v>20500</v>
      </c>
      <c r="G33" s="167">
        <f t="shared" ref="G33:G45" si="5">(F33/$F$67)*100</f>
        <v>0.18713014918397966</v>
      </c>
    </row>
    <row r="34" spans="1:7" x14ac:dyDescent="0.2">
      <c r="A34" s="24" t="s">
        <v>158</v>
      </c>
      <c r="C34" s="163" t="s">
        <v>69</v>
      </c>
      <c r="D34" s="165">
        <v>10</v>
      </c>
      <c r="E34" s="165">
        <v>700</v>
      </c>
      <c r="F34" s="166">
        <f>D34*E34</f>
        <v>7000</v>
      </c>
      <c r="G34" s="167">
        <f t="shared" si="5"/>
        <v>6.3898099721358903E-2</v>
      </c>
    </row>
    <row r="35" spans="1:7" x14ac:dyDescent="0.2">
      <c r="A35" s="24" t="s">
        <v>151</v>
      </c>
      <c r="C35" s="163" t="s">
        <v>69</v>
      </c>
      <c r="D35" s="165">
        <v>6</v>
      </c>
      <c r="E35" s="165">
        <v>1500</v>
      </c>
      <c r="F35" s="166">
        <f t="shared" si="4"/>
        <v>9000</v>
      </c>
      <c r="G35" s="167">
        <f t="shared" si="5"/>
        <v>8.2154699641747167E-2</v>
      </c>
    </row>
    <row r="36" spans="1:7" x14ac:dyDescent="0.2">
      <c r="A36" s="24" t="s">
        <v>153</v>
      </c>
      <c r="C36" s="163" t="s">
        <v>69</v>
      </c>
      <c r="D36" s="165">
        <v>10</v>
      </c>
      <c r="E36" s="165">
        <v>1000</v>
      </c>
      <c r="F36" s="166">
        <f t="shared" si="4"/>
        <v>10000</v>
      </c>
      <c r="G36" s="167">
        <f t="shared" si="5"/>
        <v>9.1282999601941292E-2</v>
      </c>
    </row>
    <row r="37" spans="1:7" x14ac:dyDescent="0.2">
      <c r="A37" s="24" t="s">
        <v>152</v>
      </c>
      <c r="C37" s="163" t="s">
        <v>69</v>
      </c>
      <c r="D37" s="165">
        <v>6</v>
      </c>
      <c r="E37" s="165">
        <v>350</v>
      </c>
      <c r="F37" s="166">
        <f t="shared" si="4"/>
        <v>2100</v>
      </c>
      <c r="G37" s="167">
        <f t="shared" si="5"/>
        <v>1.9169429916407674E-2</v>
      </c>
    </row>
    <row r="38" spans="1:7" x14ac:dyDescent="0.2">
      <c r="A38" s="24" t="s">
        <v>78</v>
      </c>
      <c r="C38" s="163" t="s">
        <v>69</v>
      </c>
      <c r="D38" s="165">
        <v>2</v>
      </c>
      <c r="E38" s="165">
        <v>5000</v>
      </c>
      <c r="F38" s="166">
        <f t="shared" si="4"/>
        <v>10000</v>
      </c>
      <c r="G38" s="167">
        <f t="shared" si="5"/>
        <v>9.1282999601941292E-2</v>
      </c>
    </row>
    <row r="39" spans="1:7" x14ac:dyDescent="0.2">
      <c r="A39" s="24" t="s">
        <v>154</v>
      </c>
      <c r="C39" s="163" t="s">
        <v>69</v>
      </c>
      <c r="D39" s="165">
        <v>1</v>
      </c>
      <c r="E39" s="165">
        <v>1500</v>
      </c>
      <c r="F39" s="166">
        <f t="shared" si="4"/>
        <v>1500</v>
      </c>
      <c r="G39" s="167">
        <f t="shared" si="5"/>
        <v>1.3692449940291194E-2</v>
      </c>
    </row>
    <row r="40" spans="1:7" x14ac:dyDescent="0.2">
      <c r="A40" s="24" t="s">
        <v>155</v>
      </c>
      <c r="C40" s="163" t="s">
        <v>69</v>
      </c>
      <c r="D40" s="165">
        <v>1</v>
      </c>
      <c r="E40" s="165">
        <v>40000</v>
      </c>
      <c r="F40" s="166">
        <f t="shared" si="4"/>
        <v>40000</v>
      </c>
      <c r="G40" s="167">
        <f t="shared" si="5"/>
        <v>0.36513199840776517</v>
      </c>
    </row>
    <row r="41" spans="1:7" x14ac:dyDescent="0.2">
      <c r="A41" s="24" t="s">
        <v>156</v>
      </c>
      <c r="C41" s="163" t="s">
        <v>69</v>
      </c>
      <c r="D41" s="165">
        <v>1</v>
      </c>
      <c r="E41" s="165">
        <v>95000</v>
      </c>
      <c r="F41" s="166">
        <f>D41*E41</f>
        <v>95000</v>
      </c>
      <c r="G41" s="167">
        <f t="shared" si="5"/>
        <v>0.86718849621844241</v>
      </c>
    </row>
    <row r="42" spans="1:7" x14ac:dyDescent="0.2">
      <c r="A42" s="24" t="s">
        <v>157</v>
      </c>
      <c r="C42" s="163" t="s">
        <v>69</v>
      </c>
      <c r="D42" s="165">
        <v>1</v>
      </c>
      <c r="E42" s="165">
        <v>6000</v>
      </c>
      <c r="F42" s="166">
        <f>D42*E42</f>
        <v>6000</v>
      </c>
      <c r="G42" s="167">
        <f t="shared" si="5"/>
        <v>5.4769799761164778E-2</v>
      </c>
    </row>
    <row r="43" spans="1:7" x14ac:dyDescent="0.2">
      <c r="A43" s="24" t="s">
        <v>89</v>
      </c>
      <c r="C43" s="163" t="s">
        <v>69</v>
      </c>
      <c r="D43" s="165">
        <v>4</v>
      </c>
      <c r="E43" s="165">
        <v>20000</v>
      </c>
      <c r="F43" s="166">
        <f>D43*E43</f>
        <v>80000</v>
      </c>
      <c r="G43" s="167">
        <f t="shared" si="5"/>
        <v>0.73026399681553034</v>
      </c>
    </row>
    <row r="44" spans="1:7" x14ac:dyDescent="0.2">
      <c r="A44" s="24" t="s">
        <v>56</v>
      </c>
      <c r="C44" s="163" t="s">
        <v>69</v>
      </c>
      <c r="D44" s="165">
        <v>0</v>
      </c>
      <c r="E44" s="165">
        <v>0</v>
      </c>
      <c r="F44" s="166">
        <f>D44*E44</f>
        <v>0</v>
      </c>
      <c r="G44" s="167">
        <f t="shared" si="5"/>
        <v>0</v>
      </c>
    </row>
    <row r="45" spans="1:7" x14ac:dyDescent="0.2">
      <c r="C45" s="163"/>
      <c r="D45" s="166"/>
      <c r="E45" s="168" t="s">
        <v>73</v>
      </c>
      <c r="F45" s="169">
        <f>SUM(F33:F44)</f>
        <v>281100</v>
      </c>
      <c r="G45" s="167">
        <f t="shared" si="5"/>
        <v>2.5659651188105701</v>
      </c>
    </row>
    <row r="46" spans="1:7" x14ac:dyDescent="0.2">
      <c r="A46" s="145" t="s">
        <v>130</v>
      </c>
    </row>
    <row r="47" spans="1:7" x14ac:dyDescent="0.2">
      <c r="A47" s="24" t="s">
        <v>159</v>
      </c>
      <c r="C47" s="163" t="s">
        <v>69</v>
      </c>
      <c r="D47" s="197">
        <v>0.5</v>
      </c>
      <c r="E47" s="165">
        <v>25000</v>
      </c>
      <c r="F47" s="166">
        <f t="shared" ref="F47:F52" si="6">D47*E47</f>
        <v>12500</v>
      </c>
      <c r="G47" s="167">
        <f>(F47/$F$67)*100</f>
        <v>0.11410374950242663</v>
      </c>
    </row>
    <row r="48" spans="1:7" x14ac:dyDescent="0.2">
      <c r="A48" s="24" t="s">
        <v>64</v>
      </c>
      <c r="C48" s="163" t="s">
        <v>69</v>
      </c>
      <c r="D48" s="197">
        <v>1</v>
      </c>
      <c r="E48" s="165">
        <v>3000</v>
      </c>
      <c r="F48" s="166">
        <f t="shared" si="6"/>
        <v>3000</v>
      </c>
      <c r="G48" s="167">
        <f t="shared" ref="G48:G61" si="7">(F48/$F$67)*100</f>
        <v>2.7384899880582389E-2</v>
      </c>
    </row>
    <row r="49" spans="1:7" x14ac:dyDescent="0.2">
      <c r="A49" s="24" t="s">
        <v>131</v>
      </c>
      <c r="C49" s="163" t="s">
        <v>69</v>
      </c>
      <c r="D49" s="197">
        <v>1</v>
      </c>
      <c r="E49" s="165">
        <v>15000</v>
      </c>
      <c r="F49" s="166">
        <f t="shared" si="6"/>
        <v>15000</v>
      </c>
      <c r="G49" s="167">
        <f t="shared" si="7"/>
        <v>0.13692449940291196</v>
      </c>
    </row>
    <row r="50" spans="1:7" x14ac:dyDescent="0.2">
      <c r="A50" s="24" t="s">
        <v>132</v>
      </c>
      <c r="C50" s="163" t="s">
        <v>69</v>
      </c>
      <c r="D50" s="197">
        <v>0.5</v>
      </c>
      <c r="E50" s="165">
        <v>15000</v>
      </c>
      <c r="F50" s="166">
        <f t="shared" si="6"/>
        <v>7500</v>
      </c>
      <c r="G50" s="167">
        <f t="shared" si="7"/>
        <v>6.8462249701455979E-2</v>
      </c>
    </row>
    <row r="51" spans="1:7" x14ac:dyDescent="0.2">
      <c r="A51" s="24" t="s">
        <v>133</v>
      </c>
      <c r="C51" s="163" t="s">
        <v>69</v>
      </c>
      <c r="D51" s="197">
        <v>0.5</v>
      </c>
      <c r="E51" s="165">
        <v>15000</v>
      </c>
      <c r="F51" s="166">
        <f t="shared" si="6"/>
        <v>7500</v>
      </c>
      <c r="G51" s="167">
        <f t="shared" si="7"/>
        <v>6.8462249701455979E-2</v>
      </c>
    </row>
    <row r="52" spans="1:7" x14ac:dyDescent="0.2">
      <c r="A52" s="24" t="s">
        <v>134</v>
      </c>
      <c r="C52" s="163" t="s">
        <v>69</v>
      </c>
      <c r="D52" s="197">
        <v>1</v>
      </c>
      <c r="E52" s="165">
        <v>200000</v>
      </c>
      <c r="F52" s="166">
        <f t="shared" si="6"/>
        <v>200000</v>
      </c>
      <c r="G52" s="167">
        <f t="shared" si="7"/>
        <v>1.8256599920388261</v>
      </c>
    </row>
    <row r="53" spans="1:7" x14ac:dyDescent="0.2">
      <c r="A53" s="24" t="s">
        <v>161</v>
      </c>
      <c r="C53" s="163" t="s">
        <v>135</v>
      </c>
      <c r="D53" s="197">
        <v>0</v>
      </c>
      <c r="E53" s="165">
        <v>5500</v>
      </c>
      <c r="F53" s="166">
        <f t="shared" ref="F53:F58" si="8">D53*E53</f>
        <v>0</v>
      </c>
      <c r="G53" s="167">
        <f t="shared" si="7"/>
        <v>0</v>
      </c>
    </row>
    <row r="54" spans="1:7" x14ac:dyDescent="0.2">
      <c r="A54" s="24" t="s">
        <v>167</v>
      </c>
      <c r="C54" s="163" t="s">
        <v>135</v>
      </c>
      <c r="D54" s="197">
        <v>0</v>
      </c>
      <c r="E54" s="165">
        <v>700</v>
      </c>
      <c r="F54" s="166">
        <f t="shared" si="8"/>
        <v>0</v>
      </c>
      <c r="G54" s="167">
        <f t="shared" si="7"/>
        <v>0</v>
      </c>
    </row>
    <row r="55" spans="1:7" x14ac:dyDescent="0.2">
      <c r="A55" s="24" t="s">
        <v>168</v>
      </c>
      <c r="C55" s="163" t="s">
        <v>135</v>
      </c>
      <c r="D55" s="197">
        <v>0</v>
      </c>
      <c r="E55" s="165">
        <v>2000</v>
      </c>
      <c r="F55" s="166">
        <f t="shared" si="8"/>
        <v>0</v>
      </c>
      <c r="G55" s="167">
        <f t="shared" si="7"/>
        <v>0</v>
      </c>
    </row>
    <row r="56" spans="1:7" x14ac:dyDescent="0.2">
      <c r="A56" s="24" t="s">
        <v>169</v>
      </c>
      <c r="C56" s="163" t="s">
        <v>135</v>
      </c>
      <c r="D56" s="197">
        <v>0</v>
      </c>
      <c r="E56" s="165">
        <v>2000</v>
      </c>
      <c r="F56" s="166">
        <f t="shared" si="8"/>
        <v>0</v>
      </c>
      <c r="G56" s="167">
        <f t="shared" si="7"/>
        <v>0</v>
      </c>
    </row>
    <row r="57" spans="1:7" x14ac:dyDescent="0.2">
      <c r="A57" s="24" t="s">
        <v>136</v>
      </c>
      <c r="C57" s="163" t="s">
        <v>135</v>
      </c>
      <c r="D57" s="197">
        <v>0</v>
      </c>
      <c r="E57" s="165">
        <v>1000</v>
      </c>
      <c r="F57" s="166">
        <f t="shared" si="8"/>
        <v>0</v>
      </c>
      <c r="G57" s="167">
        <f t="shared" si="7"/>
        <v>0</v>
      </c>
    </row>
    <row r="58" spans="1:7" x14ac:dyDescent="0.2">
      <c r="A58" s="24" t="s">
        <v>137</v>
      </c>
      <c r="C58" s="163" t="s">
        <v>135</v>
      </c>
      <c r="D58" s="197">
        <v>6</v>
      </c>
      <c r="E58" s="165">
        <v>2000</v>
      </c>
      <c r="F58" s="166">
        <f t="shared" si="8"/>
        <v>12000</v>
      </c>
      <c r="G58" s="167">
        <f t="shared" si="7"/>
        <v>0.10953959952232956</v>
      </c>
    </row>
    <row r="59" spans="1:7" x14ac:dyDescent="0.2">
      <c r="A59" s="24" t="s">
        <v>63</v>
      </c>
      <c r="C59" s="163" t="s">
        <v>135</v>
      </c>
      <c r="D59" s="197">
        <v>0</v>
      </c>
      <c r="E59" s="165">
        <v>1000</v>
      </c>
      <c r="F59" s="166">
        <f>D59*E59</f>
        <v>0</v>
      </c>
      <c r="G59" s="167">
        <f t="shared" si="7"/>
        <v>0</v>
      </c>
    </row>
    <row r="60" spans="1:7" x14ac:dyDescent="0.2">
      <c r="A60" s="24" t="s">
        <v>138</v>
      </c>
      <c r="C60" s="163" t="s">
        <v>135</v>
      </c>
      <c r="D60" s="197">
        <v>0</v>
      </c>
      <c r="E60" s="165">
        <v>1000</v>
      </c>
      <c r="F60" s="166">
        <f>D60*E60</f>
        <v>0</v>
      </c>
      <c r="G60" s="167">
        <f t="shared" si="7"/>
        <v>0</v>
      </c>
    </row>
    <row r="61" spans="1:7" x14ac:dyDescent="0.2">
      <c r="A61" s="24" t="s">
        <v>47</v>
      </c>
      <c r="C61" s="163" t="s">
        <v>135</v>
      </c>
      <c r="D61" s="197">
        <v>0</v>
      </c>
      <c r="E61" s="165">
        <v>1000</v>
      </c>
      <c r="F61" s="166">
        <f>D61*E61</f>
        <v>0</v>
      </c>
      <c r="G61" s="167">
        <f t="shared" si="7"/>
        <v>0</v>
      </c>
    </row>
    <row r="62" spans="1:7" x14ac:dyDescent="0.2">
      <c r="A62" s="24" t="s">
        <v>56</v>
      </c>
      <c r="C62" s="163" t="s">
        <v>69</v>
      </c>
      <c r="D62" s="197">
        <v>0</v>
      </c>
      <c r="E62" s="165">
        <v>0</v>
      </c>
      <c r="F62" s="166">
        <f>D62*E62</f>
        <v>0</v>
      </c>
      <c r="G62" s="167">
        <f>(F62/$F$67)*100</f>
        <v>0</v>
      </c>
    </row>
    <row r="63" spans="1:7" x14ac:dyDescent="0.2">
      <c r="C63" s="163"/>
      <c r="D63" s="166"/>
      <c r="E63" s="168" t="s">
        <v>73</v>
      </c>
      <c r="F63" s="169">
        <f>SUM(F47:F62)</f>
        <v>257500</v>
      </c>
      <c r="G63" s="167">
        <f>(F63/$F$67)*100</f>
        <v>2.3505372397499884</v>
      </c>
    </row>
    <row r="64" spans="1:7" x14ac:dyDescent="0.2">
      <c r="C64" s="163"/>
      <c r="D64" s="166"/>
      <c r="E64" s="168"/>
      <c r="F64" s="169"/>
      <c r="G64" s="171"/>
    </row>
    <row r="65" spans="1:8" x14ac:dyDescent="0.2">
      <c r="C65" s="163"/>
      <c r="D65" s="166"/>
      <c r="E65" s="168"/>
      <c r="F65" s="169">
        <v>0</v>
      </c>
      <c r="G65" s="167">
        <f>(F65/$F$67)*100</f>
        <v>0</v>
      </c>
    </row>
    <row r="66" spans="1:8" x14ac:dyDescent="0.2">
      <c r="C66" s="163"/>
      <c r="D66" s="166"/>
      <c r="E66" s="168"/>
      <c r="F66" s="169"/>
      <c r="G66" s="171"/>
    </row>
    <row r="67" spans="1:8" x14ac:dyDescent="0.2">
      <c r="A67" s="26" t="s">
        <v>187</v>
      </c>
      <c r="C67" s="163"/>
      <c r="D67" s="166"/>
      <c r="E67" s="168"/>
      <c r="F67" s="169">
        <f>+F31+F45+F63+F65</f>
        <v>10954942.370000001</v>
      </c>
      <c r="G67" s="168">
        <f>(F67/$F$67)*100</f>
        <v>100</v>
      </c>
    </row>
    <row r="68" spans="1:8" x14ac:dyDescent="0.2">
      <c r="C68" s="163"/>
      <c r="D68" s="166"/>
      <c r="E68" s="168"/>
      <c r="F68" s="169"/>
      <c r="G68" s="171"/>
    </row>
    <row r="69" spans="1:8" x14ac:dyDescent="0.2">
      <c r="A69" s="145" t="s">
        <v>90</v>
      </c>
    </row>
    <row r="70" spans="1:8" x14ac:dyDescent="0.2">
      <c r="A70" s="24" t="s">
        <v>31</v>
      </c>
      <c r="C70" s="163"/>
      <c r="D70" s="166"/>
      <c r="E70" s="165"/>
      <c r="F70" s="165">
        <v>0</v>
      </c>
      <c r="G70" s="171" t="s">
        <v>183</v>
      </c>
    </row>
    <row r="71" spans="1:8" x14ac:dyDescent="0.2">
      <c r="C71" s="163"/>
      <c r="D71" s="166"/>
      <c r="E71" s="168" t="s">
        <v>73</v>
      </c>
      <c r="F71" s="169">
        <f>SUM(F70:F70)</f>
        <v>0</v>
      </c>
      <c r="G71" s="171" t="s">
        <v>183</v>
      </c>
    </row>
    <row r="72" spans="1:8" ht="12" customHeight="1" x14ac:dyDescent="0.2">
      <c r="C72" s="163"/>
      <c r="D72" s="166"/>
      <c r="E72" s="166"/>
      <c r="F72" s="166"/>
      <c r="G72" s="171"/>
    </row>
    <row r="73" spans="1:8" x14ac:dyDescent="0.2">
      <c r="A73" s="26" t="s">
        <v>188</v>
      </c>
      <c r="C73" s="172"/>
      <c r="D73" s="172"/>
      <c r="E73" s="173"/>
      <c r="F73" s="172">
        <f>+F67</f>
        <v>10954942.370000001</v>
      </c>
      <c r="G73" s="167">
        <f>(F73/$F$73)*100</f>
        <v>100</v>
      </c>
      <c r="H73" s="174" t="s">
        <v>183</v>
      </c>
    </row>
    <row r="74" spans="1:8" x14ac:dyDescent="0.2">
      <c r="A74" s="26"/>
      <c r="C74" s="166"/>
      <c r="D74" s="166"/>
      <c r="E74" s="166"/>
      <c r="F74" s="166"/>
      <c r="G74" s="166"/>
    </row>
    <row r="75" spans="1:8" x14ac:dyDescent="0.2">
      <c r="A75" s="26" t="s">
        <v>599</v>
      </c>
      <c r="C75" s="166"/>
      <c r="D75" s="166"/>
      <c r="E75" s="166"/>
      <c r="F75" s="166">
        <f>F73*1.16</f>
        <v>12707733.1492</v>
      </c>
      <c r="G75" s="166"/>
    </row>
    <row r="76" spans="1:8" x14ac:dyDescent="0.2">
      <c r="A76" s="26"/>
    </row>
    <row r="77" spans="1:8" x14ac:dyDescent="0.2">
      <c r="A77" s="26" t="s">
        <v>575</v>
      </c>
      <c r="F77" s="169">
        <f>F75</f>
        <v>12707733.1492</v>
      </c>
    </row>
    <row r="79" spans="1:8" x14ac:dyDescent="0.2">
      <c r="A79" s="24" t="s">
        <v>544</v>
      </c>
      <c r="F79" s="166">
        <f>F28</f>
        <v>0</v>
      </c>
    </row>
  </sheetData>
  <mergeCells count="2">
    <mergeCell ref="H10:I10"/>
    <mergeCell ref="C4:D4"/>
  </mergeCells>
  <phoneticPr fontId="3" type="noConversion"/>
  <printOptions horizontalCentered="1" verticalCentered="1"/>
  <pageMargins left="0.2" right="0" top="0" bottom="0" header="0" footer="0"/>
  <pageSetup paperSize="9" scale="94" orientation="portrait" horizontalDpi="355" verticalDpi="464" r:id="rId1"/>
  <headerFooter alignWithMargins="0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FZ192"/>
  <sheetViews>
    <sheetView zoomScale="90" zoomScaleNormal="90" workbookViewId="0">
      <pane xSplit="2" ySplit="5" topLeftCell="C6" activePane="bottomRight" state="frozen"/>
      <selection pane="topRight" activeCell="C1" sqref="C1"/>
      <selection pane="bottomLeft" activeCell="A5" sqref="A5"/>
      <selection pane="bottomRight" activeCell="A10" sqref="A10"/>
    </sheetView>
  </sheetViews>
  <sheetFormatPr baseColWidth="10" defaultColWidth="11.42578125" defaultRowHeight="12.75" outlineLevelRow="1" x14ac:dyDescent="0.2"/>
  <cols>
    <col min="1" max="1" width="21.140625" style="24" customWidth="1"/>
    <col min="2" max="2" width="20" style="24" customWidth="1"/>
    <col min="3" max="122" width="13.5703125" style="24" customWidth="1"/>
    <col min="123" max="16384" width="11.42578125" style="24"/>
  </cols>
  <sheetData>
    <row r="2" spans="1:182" ht="15.75" x14ac:dyDescent="0.25">
      <c r="A2" s="147" t="s">
        <v>140</v>
      </c>
    </row>
    <row r="3" spans="1:182" ht="16.5" x14ac:dyDescent="0.3">
      <c r="A3" s="148" t="s">
        <v>422</v>
      </c>
    </row>
    <row r="4" spans="1:182" s="23" customFormat="1" x14ac:dyDescent="0.2">
      <c r="C4" s="23">
        <v>1</v>
      </c>
      <c r="D4" s="23">
        <f>+C4+1</f>
        <v>2</v>
      </c>
      <c r="E4" s="23">
        <f t="shared" ref="E4:BP4" si="0">+D4+1</f>
        <v>3</v>
      </c>
      <c r="F4" s="23">
        <f t="shared" si="0"/>
        <v>4</v>
      </c>
      <c r="G4" s="23">
        <f t="shared" si="0"/>
        <v>5</v>
      </c>
      <c r="H4" s="23">
        <f t="shared" si="0"/>
        <v>6</v>
      </c>
      <c r="I4" s="23">
        <f t="shared" si="0"/>
        <v>7</v>
      </c>
      <c r="J4" s="23">
        <f t="shared" si="0"/>
        <v>8</v>
      </c>
      <c r="K4" s="23">
        <f t="shared" si="0"/>
        <v>9</v>
      </c>
      <c r="L4" s="23">
        <f t="shared" si="0"/>
        <v>10</v>
      </c>
      <c r="M4" s="23">
        <f t="shared" si="0"/>
        <v>11</v>
      </c>
      <c r="N4" s="23">
        <f t="shared" si="0"/>
        <v>12</v>
      </c>
      <c r="O4" s="23">
        <f t="shared" si="0"/>
        <v>13</v>
      </c>
      <c r="P4" s="23">
        <f t="shared" si="0"/>
        <v>14</v>
      </c>
      <c r="Q4" s="23">
        <f t="shared" si="0"/>
        <v>15</v>
      </c>
      <c r="R4" s="23">
        <f t="shared" si="0"/>
        <v>16</v>
      </c>
      <c r="S4" s="23">
        <f t="shared" si="0"/>
        <v>17</v>
      </c>
      <c r="T4" s="23">
        <f t="shared" si="0"/>
        <v>18</v>
      </c>
      <c r="U4" s="23">
        <f t="shared" si="0"/>
        <v>19</v>
      </c>
      <c r="V4" s="23">
        <f t="shared" si="0"/>
        <v>20</v>
      </c>
      <c r="W4" s="23">
        <f t="shared" si="0"/>
        <v>21</v>
      </c>
      <c r="X4" s="23">
        <f t="shared" si="0"/>
        <v>22</v>
      </c>
      <c r="Y4" s="23">
        <f t="shared" si="0"/>
        <v>23</v>
      </c>
      <c r="Z4" s="23">
        <f t="shared" si="0"/>
        <v>24</v>
      </c>
      <c r="AA4" s="23">
        <f t="shared" si="0"/>
        <v>25</v>
      </c>
      <c r="AB4" s="23">
        <f t="shared" si="0"/>
        <v>26</v>
      </c>
      <c r="AC4" s="23">
        <f t="shared" si="0"/>
        <v>27</v>
      </c>
      <c r="AD4" s="23">
        <f t="shared" si="0"/>
        <v>28</v>
      </c>
      <c r="AE4" s="23">
        <f t="shared" si="0"/>
        <v>29</v>
      </c>
      <c r="AF4" s="23">
        <f t="shared" si="0"/>
        <v>30</v>
      </c>
      <c r="AG4" s="23">
        <f t="shared" si="0"/>
        <v>31</v>
      </c>
      <c r="AH4" s="23">
        <f t="shared" si="0"/>
        <v>32</v>
      </c>
      <c r="AI4" s="23">
        <f t="shared" si="0"/>
        <v>33</v>
      </c>
      <c r="AJ4" s="23">
        <f t="shared" si="0"/>
        <v>34</v>
      </c>
      <c r="AK4" s="23">
        <f t="shared" si="0"/>
        <v>35</v>
      </c>
      <c r="AL4" s="23">
        <f t="shared" si="0"/>
        <v>36</v>
      </c>
      <c r="AM4" s="23">
        <f t="shared" si="0"/>
        <v>37</v>
      </c>
      <c r="AN4" s="23">
        <f t="shared" si="0"/>
        <v>38</v>
      </c>
      <c r="AO4" s="23">
        <f t="shared" si="0"/>
        <v>39</v>
      </c>
      <c r="AP4" s="23">
        <f t="shared" si="0"/>
        <v>40</v>
      </c>
      <c r="AQ4" s="23">
        <f t="shared" si="0"/>
        <v>41</v>
      </c>
      <c r="AR4" s="23">
        <f t="shared" si="0"/>
        <v>42</v>
      </c>
      <c r="AS4" s="23">
        <f t="shared" si="0"/>
        <v>43</v>
      </c>
      <c r="AT4" s="23">
        <f t="shared" si="0"/>
        <v>44</v>
      </c>
      <c r="AU4" s="23">
        <f t="shared" si="0"/>
        <v>45</v>
      </c>
      <c r="AV4" s="23">
        <f t="shared" si="0"/>
        <v>46</v>
      </c>
      <c r="AW4" s="23">
        <f t="shared" si="0"/>
        <v>47</v>
      </c>
      <c r="AX4" s="23">
        <f t="shared" si="0"/>
        <v>48</v>
      </c>
      <c r="AY4" s="23">
        <f t="shared" si="0"/>
        <v>49</v>
      </c>
      <c r="AZ4" s="23">
        <f t="shared" si="0"/>
        <v>50</v>
      </c>
      <c r="BA4" s="23">
        <f t="shared" si="0"/>
        <v>51</v>
      </c>
      <c r="BB4" s="23">
        <f t="shared" si="0"/>
        <v>52</v>
      </c>
      <c r="BC4" s="23">
        <f t="shared" si="0"/>
        <v>53</v>
      </c>
      <c r="BD4" s="23">
        <f t="shared" si="0"/>
        <v>54</v>
      </c>
      <c r="BE4" s="23">
        <f t="shared" si="0"/>
        <v>55</v>
      </c>
      <c r="BF4" s="23">
        <f t="shared" si="0"/>
        <v>56</v>
      </c>
      <c r="BG4" s="23">
        <f t="shared" si="0"/>
        <v>57</v>
      </c>
      <c r="BH4" s="23">
        <f t="shared" si="0"/>
        <v>58</v>
      </c>
      <c r="BI4" s="23">
        <f t="shared" si="0"/>
        <v>59</v>
      </c>
      <c r="BJ4" s="23">
        <f t="shared" si="0"/>
        <v>60</v>
      </c>
      <c r="BK4" s="23">
        <f t="shared" si="0"/>
        <v>61</v>
      </c>
      <c r="BL4" s="23">
        <f t="shared" si="0"/>
        <v>62</v>
      </c>
      <c r="BM4" s="23">
        <f t="shared" si="0"/>
        <v>63</v>
      </c>
      <c r="BN4" s="23">
        <f t="shared" si="0"/>
        <v>64</v>
      </c>
      <c r="BO4" s="23">
        <f t="shared" si="0"/>
        <v>65</v>
      </c>
      <c r="BP4" s="23">
        <f t="shared" si="0"/>
        <v>66</v>
      </c>
      <c r="BQ4" s="23">
        <f t="shared" ref="BQ4:DR4" si="1">+BP4+1</f>
        <v>67</v>
      </c>
      <c r="BR4" s="23">
        <f t="shared" si="1"/>
        <v>68</v>
      </c>
      <c r="BS4" s="23">
        <f t="shared" si="1"/>
        <v>69</v>
      </c>
      <c r="BT4" s="23">
        <f t="shared" si="1"/>
        <v>70</v>
      </c>
      <c r="BU4" s="23">
        <f t="shared" si="1"/>
        <v>71</v>
      </c>
      <c r="BV4" s="23">
        <f t="shared" si="1"/>
        <v>72</v>
      </c>
      <c r="BW4" s="23">
        <f t="shared" si="1"/>
        <v>73</v>
      </c>
      <c r="BX4" s="23">
        <f t="shared" si="1"/>
        <v>74</v>
      </c>
      <c r="BY4" s="23">
        <f t="shared" si="1"/>
        <v>75</v>
      </c>
      <c r="BZ4" s="23">
        <f t="shared" si="1"/>
        <v>76</v>
      </c>
      <c r="CA4" s="23">
        <f t="shared" si="1"/>
        <v>77</v>
      </c>
      <c r="CB4" s="23">
        <f t="shared" si="1"/>
        <v>78</v>
      </c>
      <c r="CC4" s="23">
        <f t="shared" si="1"/>
        <v>79</v>
      </c>
      <c r="CD4" s="23">
        <f t="shared" si="1"/>
        <v>80</v>
      </c>
      <c r="CE4" s="23">
        <f t="shared" si="1"/>
        <v>81</v>
      </c>
      <c r="CF4" s="23">
        <f t="shared" si="1"/>
        <v>82</v>
      </c>
      <c r="CG4" s="23">
        <f t="shared" si="1"/>
        <v>83</v>
      </c>
      <c r="CH4" s="23">
        <f t="shared" si="1"/>
        <v>84</v>
      </c>
      <c r="CI4" s="23">
        <f t="shared" si="1"/>
        <v>85</v>
      </c>
      <c r="CJ4" s="23">
        <f t="shared" si="1"/>
        <v>86</v>
      </c>
      <c r="CK4" s="23">
        <f t="shared" si="1"/>
        <v>87</v>
      </c>
      <c r="CL4" s="23">
        <f t="shared" si="1"/>
        <v>88</v>
      </c>
      <c r="CM4" s="23">
        <f t="shared" si="1"/>
        <v>89</v>
      </c>
      <c r="CN4" s="23">
        <f t="shared" si="1"/>
        <v>90</v>
      </c>
      <c r="CO4" s="23">
        <f t="shared" si="1"/>
        <v>91</v>
      </c>
      <c r="CP4" s="23">
        <f t="shared" si="1"/>
        <v>92</v>
      </c>
      <c r="CQ4" s="23">
        <f t="shared" si="1"/>
        <v>93</v>
      </c>
      <c r="CR4" s="23">
        <f t="shared" si="1"/>
        <v>94</v>
      </c>
      <c r="CS4" s="23">
        <f t="shared" si="1"/>
        <v>95</v>
      </c>
      <c r="CT4" s="23">
        <f t="shared" si="1"/>
        <v>96</v>
      </c>
      <c r="CU4" s="23">
        <f t="shared" si="1"/>
        <v>97</v>
      </c>
      <c r="CV4" s="23">
        <f t="shared" si="1"/>
        <v>98</v>
      </c>
      <c r="CW4" s="23">
        <f t="shared" si="1"/>
        <v>99</v>
      </c>
      <c r="CX4" s="23">
        <f t="shared" si="1"/>
        <v>100</v>
      </c>
      <c r="CY4" s="23">
        <f t="shared" si="1"/>
        <v>101</v>
      </c>
      <c r="CZ4" s="23">
        <f t="shared" si="1"/>
        <v>102</v>
      </c>
      <c r="DA4" s="23">
        <f t="shared" si="1"/>
        <v>103</v>
      </c>
      <c r="DB4" s="23">
        <f t="shared" si="1"/>
        <v>104</v>
      </c>
      <c r="DC4" s="23">
        <f t="shared" si="1"/>
        <v>105</v>
      </c>
      <c r="DD4" s="23">
        <f t="shared" si="1"/>
        <v>106</v>
      </c>
      <c r="DE4" s="23">
        <f t="shared" si="1"/>
        <v>107</v>
      </c>
      <c r="DF4" s="23">
        <f t="shared" si="1"/>
        <v>108</v>
      </c>
      <c r="DG4" s="23">
        <f t="shared" si="1"/>
        <v>109</v>
      </c>
      <c r="DH4" s="23">
        <f t="shared" si="1"/>
        <v>110</v>
      </c>
      <c r="DI4" s="23">
        <f t="shared" si="1"/>
        <v>111</v>
      </c>
      <c r="DJ4" s="23">
        <f t="shared" si="1"/>
        <v>112</v>
      </c>
      <c r="DK4" s="23">
        <f t="shared" si="1"/>
        <v>113</v>
      </c>
      <c r="DL4" s="23">
        <f t="shared" si="1"/>
        <v>114</v>
      </c>
      <c r="DM4" s="23">
        <f t="shared" si="1"/>
        <v>115</v>
      </c>
      <c r="DN4" s="23">
        <f t="shared" si="1"/>
        <v>116</v>
      </c>
      <c r="DO4" s="23">
        <f t="shared" si="1"/>
        <v>117</v>
      </c>
      <c r="DP4" s="23">
        <f t="shared" si="1"/>
        <v>118</v>
      </c>
      <c r="DQ4" s="23">
        <f t="shared" si="1"/>
        <v>119</v>
      </c>
      <c r="DR4" s="23">
        <f t="shared" si="1"/>
        <v>120</v>
      </c>
      <c r="DS4" s="23">
        <f t="shared" ref="DS4:EX4" si="2">+DR4+1</f>
        <v>121</v>
      </c>
      <c r="DT4" s="23">
        <f t="shared" si="2"/>
        <v>122</v>
      </c>
      <c r="DU4" s="23">
        <f t="shared" si="2"/>
        <v>123</v>
      </c>
      <c r="DV4" s="23">
        <f t="shared" si="2"/>
        <v>124</v>
      </c>
      <c r="DW4" s="23">
        <f t="shared" si="2"/>
        <v>125</v>
      </c>
      <c r="DX4" s="23">
        <f t="shared" si="2"/>
        <v>126</v>
      </c>
      <c r="DY4" s="23">
        <f t="shared" si="2"/>
        <v>127</v>
      </c>
      <c r="DZ4" s="23">
        <f t="shared" si="2"/>
        <v>128</v>
      </c>
      <c r="EA4" s="23">
        <f t="shared" si="2"/>
        <v>129</v>
      </c>
      <c r="EB4" s="23">
        <f t="shared" si="2"/>
        <v>130</v>
      </c>
      <c r="EC4" s="23">
        <f t="shared" si="2"/>
        <v>131</v>
      </c>
      <c r="ED4" s="23">
        <f t="shared" si="2"/>
        <v>132</v>
      </c>
      <c r="EE4" s="23">
        <f t="shared" si="2"/>
        <v>133</v>
      </c>
      <c r="EF4" s="23">
        <f t="shared" si="2"/>
        <v>134</v>
      </c>
      <c r="EG4" s="23">
        <f t="shared" si="2"/>
        <v>135</v>
      </c>
      <c r="EH4" s="23">
        <f t="shared" si="2"/>
        <v>136</v>
      </c>
      <c r="EI4" s="23">
        <f t="shared" si="2"/>
        <v>137</v>
      </c>
      <c r="EJ4" s="23">
        <f t="shared" si="2"/>
        <v>138</v>
      </c>
      <c r="EK4" s="23">
        <f t="shared" si="2"/>
        <v>139</v>
      </c>
      <c r="EL4" s="23">
        <f t="shared" si="2"/>
        <v>140</v>
      </c>
      <c r="EM4" s="23">
        <f t="shared" si="2"/>
        <v>141</v>
      </c>
      <c r="EN4" s="23">
        <f t="shared" si="2"/>
        <v>142</v>
      </c>
      <c r="EO4" s="23">
        <f t="shared" si="2"/>
        <v>143</v>
      </c>
      <c r="EP4" s="23">
        <f t="shared" si="2"/>
        <v>144</v>
      </c>
      <c r="EQ4" s="23">
        <f t="shared" si="2"/>
        <v>145</v>
      </c>
      <c r="ER4" s="23">
        <f t="shared" si="2"/>
        <v>146</v>
      </c>
      <c r="ES4" s="23">
        <f t="shared" si="2"/>
        <v>147</v>
      </c>
      <c r="ET4" s="23">
        <f t="shared" si="2"/>
        <v>148</v>
      </c>
      <c r="EU4" s="23">
        <f t="shared" si="2"/>
        <v>149</v>
      </c>
      <c r="EV4" s="23">
        <f t="shared" si="2"/>
        <v>150</v>
      </c>
      <c r="EW4" s="23">
        <f t="shared" si="2"/>
        <v>151</v>
      </c>
      <c r="EX4" s="23">
        <f t="shared" si="2"/>
        <v>152</v>
      </c>
      <c r="EY4" s="23">
        <f t="shared" ref="EY4:FZ4" si="3">+EX4+1</f>
        <v>153</v>
      </c>
      <c r="EZ4" s="23">
        <f t="shared" si="3"/>
        <v>154</v>
      </c>
      <c r="FA4" s="23">
        <f t="shared" si="3"/>
        <v>155</v>
      </c>
      <c r="FB4" s="23">
        <f t="shared" si="3"/>
        <v>156</v>
      </c>
      <c r="FC4" s="23">
        <f t="shared" si="3"/>
        <v>157</v>
      </c>
      <c r="FD4" s="23">
        <f t="shared" si="3"/>
        <v>158</v>
      </c>
      <c r="FE4" s="23">
        <f t="shared" si="3"/>
        <v>159</v>
      </c>
      <c r="FF4" s="23">
        <f t="shared" si="3"/>
        <v>160</v>
      </c>
      <c r="FG4" s="23">
        <f t="shared" si="3"/>
        <v>161</v>
      </c>
      <c r="FH4" s="23">
        <f t="shared" si="3"/>
        <v>162</v>
      </c>
      <c r="FI4" s="23">
        <f t="shared" si="3"/>
        <v>163</v>
      </c>
      <c r="FJ4" s="23">
        <f t="shared" si="3"/>
        <v>164</v>
      </c>
      <c r="FK4" s="23">
        <f t="shared" si="3"/>
        <v>165</v>
      </c>
      <c r="FL4" s="23">
        <f t="shared" si="3"/>
        <v>166</v>
      </c>
      <c r="FM4" s="23">
        <f t="shared" si="3"/>
        <v>167</v>
      </c>
      <c r="FN4" s="23">
        <f t="shared" si="3"/>
        <v>168</v>
      </c>
      <c r="FO4" s="23">
        <f t="shared" si="3"/>
        <v>169</v>
      </c>
      <c r="FP4" s="23">
        <f t="shared" si="3"/>
        <v>170</v>
      </c>
      <c r="FQ4" s="23">
        <f t="shared" si="3"/>
        <v>171</v>
      </c>
      <c r="FR4" s="23">
        <f t="shared" si="3"/>
        <v>172</v>
      </c>
      <c r="FS4" s="23">
        <f t="shared" si="3"/>
        <v>173</v>
      </c>
      <c r="FT4" s="23">
        <f t="shared" si="3"/>
        <v>174</v>
      </c>
      <c r="FU4" s="23">
        <f t="shared" si="3"/>
        <v>175</v>
      </c>
      <c r="FV4" s="23">
        <f t="shared" si="3"/>
        <v>176</v>
      </c>
      <c r="FW4" s="23">
        <f t="shared" si="3"/>
        <v>177</v>
      </c>
      <c r="FX4" s="23">
        <f t="shared" si="3"/>
        <v>178</v>
      </c>
      <c r="FY4" s="23">
        <f t="shared" si="3"/>
        <v>179</v>
      </c>
      <c r="FZ4" s="23">
        <f t="shared" si="3"/>
        <v>180</v>
      </c>
    </row>
    <row r="5" spans="1:182" x14ac:dyDescent="0.2">
      <c r="C5" s="28" t="s">
        <v>235</v>
      </c>
      <c r="D5" s="28" t="s">
        <v>236</v>
      </c>
      <c r="E5" s="28" t="s">
        <v>237</v>
      </c>
      <c r="F5" s="28" t="s">
        <v>238</v>
      </c>
      <c r="G5" s="28" t="s">
        <v>239</v>
      </c>
      <c r="H5" s="28" t="s">
        <v>240</v>
      </c>
      <c r="I5" s="28" t="s">
        <v>241</v>
      </c>
      <c r="J5" s="28" t="s">
        <v>242</v>
      </c>
      <c r="K5" s="28" t="s">
        <v>243</v>
      </c>
      <c r="L5" s="28" t="s">
        <v>244</v>
      </c>
      <c r="M5" s="28" t="s">
        <v>245</v>
      </c>
      <c r="N5" s="28" t="s">
        <v>246</v>
      </c>
      <c r="O5" s="28" t="s">
        <v>247</v>
      </c>
      <c r="P5" s="28" t="s">
        <v>248</v>
      </c>
      <c r="Q5" s="28" t="s">
        <v>249</v>
      </c>
      <c r="R5" s="28" t="s">
        <v>250</v>
      </c>
      <c r="S5" s="28" t="s">
        <v>251</v>
      </c>
      <c r="T5" s="28" t="s">
        <v>252</v>
      </c>
      <c r="U5" s="28" t="s">
        <v>253</v>
      </c>
      <c r="V5" s="28" t="s">
        <v>254</v>
      </c>
      <c r="W5" s="28" t="s">
        <v>255</v>
      </c>
      <c r="X5" s="28" t="s">
        <v>256</v>
      </c>
      <c r="Y5" s="28" t="s">
        <v>257</v>
      </c>
      <c r="Z5" s="28" t="s">
        <v>258</v>
      </c>
      <c r="AA5" s="28" t="s">
        <v>259</v>
      </c>
      <c r="AB5" s="28" t="s">
        <v>260</v>
      </c>
      <c r="AC5" s="28" t="s">
        <v>261</v>
      </c>
      <c r="AD5" s="28" t="s">
        <v>262</v>
      </c>
      <c r="AE5" s="28" t="s">
        <v>263</v>
      </c>
      <c r="AF5" s="28" t="s">
        <v>264</v>
      </c>
      <c r="AG5" s="28" t="s">
        <v>265</v>
      </c>
      <c r="AH5" s="28" t="s">
        <v>266</v>
      </c>
      <c r="AI5" s="28" t="s">
        <v>267</v>
      </c>
      <c r="AJ5" s="28" t="s">
        <v>268</v>
      </c>
      <c r="AK5" s="28" t="s">
        <v>269</v>
      </c>
      <c r="AL5" s="28" t="s">
        <v>270</v>
      </c>
      <c r="AM5" s="28" t="s">
        <v>271</v>
      </c>
      <c r="AN5" s="28" t="s">
        <v>272</v>
      </c>
      <c r="AO5" s="28" t="s">
        <v>273</v>
      </c>
      <c r="AP5" s="28" t="s">
        <v>274</v>
      </c>
      <c r="AQ5" s="28" t="s">
        <v>275</v>
      </c>
      <c r="AR5" s="28" t="s">
        <v>276</v>
      </c>
      <c r="AS5" s="28" t="s">
        <v>277</v>
      </c>
      <c r="AT5" s="28" t="s">
        <v>278</v>
      </c>
      <c r="AU5" s="28" t="s">
        <v>279</v>
      </c>
      <c r="AV5" s="28" t="s">
        <v>280</v>
      </c>
      <c r="AW5" s="28" t="s">
        <v>281</v>
      </c>
      <c r="AX5" s="28" t="s">
        <v>282</v>
      </c>
      <c r="AY5" s="28" t="s">
        <v>283</v>
      </c>
      <c r="AZ5" s="28" t="s">
        <v>284</v>
      </c>
      <c r="BA5" s="28" t="s">
        <v>285</v>
      </c>
      <c r="BB5" s="28" t="s">
        <v>286</v>
      </c>
      <c r="BC5" s="28" t="s">
        <v>287</v>
      </c>
      <c r="BD5" s="28" t="s">
        <v>288</v>
      </c>
      <c r="BE5" s="28" t="s">
        <v>289</v>
      </c>
      <c r="BF5" s="28" t="s">
        <v>290</v>
      </c>
      <c r="BG5" s="28" t="s">
        <v>291</v>
      </c>
      <c r="BH5" s="28" t="s">
        <v>292</v>
      </c>
      <c r="BI5" s="28" t="s">
        <v>293</v>
      </c>
      <c r="BJ5" s="28" t="s">
        <v>294</v>
      </c>
      <c r="BK5" s="28" t="s">
        <v>295</v>
      </c>
      <c r="BL5" s="28" t="s">
        <v>296</v>
      </c>
      <c r="BM5" s="28" t="s">
        <v>297</v>
      </c>
      <c r="BN5" s="28" t="s">
        <v>298</v>
      </c>
      <c r="BO5" s="28" t="s">
        <v>299</v>
      </c>
      <c r="BP5" s="28" t="s">
        <v>300</v>
      </c>
      <c r="BQ5" s="28" t="s">
        <v>301</v>
      </c>
      <c r="BR5" s="28" t="s">
        <v>302</v>
      </c>
      <c r="BS5" s="28" t="s">
        <v>303</v>
      </c>
      <c r="BT5" s="28" t="s">
        <v>304</v>
      </c>
      <c r="BU5" s="28" t="s">
        <v>305</v>
      </c>
      <c r="BV5" s="28" t="s">
        <v>306</v>
      </c>
      <c r="BW5" s="28" t="s">
        <v>307</v>
      </c>
      <c r="BX5" s="28" t="s">
        <v>308</v>
      </c>
      <c r="BY5" s="28" t="s">
        <v>309</v>
      </c>
      <c r="BZ5" s="28" t="s">
        <v>310</v>
      </c>
      <c r="CA5" s="28" t="s">
        <v>311</v>
      </c>
      <c r="CB5" s="28" t="s">
        <v>312</v>
      </c>
      <c r="CC5" s="28" t="s">
        <v>313</v>
      </c>
      <c r="CD5" s="28" t="s">
        <v>314</v>
      </c>
      <c r="CE5" s="28" t="s">
        <v>315</v>
      </c>
      <c r="CF5" s="28" t="s">
        <v>316</v>
      </c>
      <c r="CG5" s="28" t="s">
        <v>317</v>
      </c>
      <c r="CH5" s="28" t="s">
        <v>318</v>
      </c>
      <c r="CI5" s="28" t="s">
        <v>319</v>
      </c>
      <c r="CJ5" s="28" t="s">
        <v>320</v>
      </c>
      <c r="CK5" s="28" t="s">
        <v>321</v>
      </c>
      <c r="CL5" s="28" t="s">
        <v>322</v>
      </c>
      <c r="CM5" s="28" t="s">
        <v>323</v>
      </c>
      <c r="CN5" s="28" t="s">
        <v>324</v>
      </c>
      <c r="CO5" s="28" t="s">
        <v>325</v>
      </c>
      <c r="CP5" s="28" t="s">
        <v>326</v>
      </c>
      <c r="CQ5" s="28" t="s">
        <v>327</v>
      </c>
      <c r="CR5" s="28" t="s">
        <v>328</v>
      </c>
      <c r="CS5" s="28" t="s">
        <v>329</v>
      </c>
      <c r="CT5" s="28" t="s">
        <v>330</v>
      </c>
      <c r="CU5" s="28" t="s">
        <v>331</v>
      </c>
      <c r="CV5" s="28" t="s">
        <v>332</v>
      </c>
      <c r="CW5" s="28" t="s">
        <v>333</v>
      </c>
      <c r="CX5" s="28" t="s">
        <v>334</v>
      </c>
      <c r="CY5" s="28" t="s">
        <v>335</v>
      </c>
      <c r="CZ5" s="28" t="s">
        <v>336</v>
      </c>
      <c r="DA5" s="28" t="s">
        <v>337</v>
      </c>
      <c r="DB5" s="28" t="s">
        <v>338</v>
      </c>
      <c r="DC5" s="28" t="s">
        <v>339</v>
      </c>
      <c r="DD5" s="28" t="s">
        <v>340</v>
      </c>
      <c r="DE5" s="28" t="s">
        <v>341</v>
      </c>
      <c r="DF5" s="28" t="s">
        <v>342</v>
      </c>
      <c r="DG5" s="28" t="s">
        <v>343</v>
      </c>
      <c r="DH5" s="28" t="s">
        <v>344</v>
      </c>
      <c r="DI5" s="28" t="s">
        <v>345</v>
      </c>
      <c r="DJ5" s="28" t="s">
        <v>346</v>
      </c>
      <c r="DK5" s="28" t="s">
        <v>347</v>
      </c>
      <c r="DL5" s="28" t="s">
        <v>348</v>
      </c>
      <c r="DM5" s="28" t="s">
        <v>349</v>
      </c>
      <c r="DN5" s="28" t="s">
        <v>350</v>
      </c>
      <c r="DO5" s="28" t="s">
        <v>351</v>
      </c>
      <c r="DP5" s="28" t="s">
        <v>352</v>
      </c>
      <c r="DQ5" s="28" t="s">
        <v>353</v>
      </c>
      <c r="DR5" s="28" t="s">
        <v>600</v>
      </c>
      <c r="DS5" s="28" t="s">
        <v>357</v>
      </c>
      <c r="DT5" s="28" t="s">
        <v>358</v>
      </c>
      <c r="DU5" s="28" t="s">
        <v>359</v>
      </c>
      <c r="DV5" s="28" t="s">
        <v>360</v>
      </c>
      <c r="DW5" s="28" t="s">
        <v>361</v>
      </c>
      <c r="DX5" s="28" t="s">
        <v>362</v>
      </c>
      <c r="DY5" s="28" t="s">
        <v>363</v>
      </c>
      <c r="DZ5" s="28" t="s">
        <v>364</v>
      </c>
      <c r="EA5" s="28" t="s">
        <v>365</v>
      </c>
      <c r="EB5" s="28" t="s">
        <v>366</v>
      </c>
      <c r="EC5" s="28" t="s">
        <v>367</v>
      </c>
      <c r="ED5" s="28" t="s">
        <v>368</v>
      </c>
      <c r="EE5" s="28" t="s">
        <v>369</v>
      </c>
      <c r="EF5" s="28" t="s">
        <v>370</v>
      </c>
      <c r="EG5" s="28" t="s">
        <v>371</v>
      </c>
      <c r="EH5" s="28" t="s">
        <v>372</v>
      </c>
      <c r="EI5" s="28" t="s">
        <v>373</v>
      </c>
      <c r="EJ5" s="28" t="s">
        <v>374</v>
      </c>
      <c r="EK5" s="28" t="s">
        <v>375</v>
      </c>
      <c r="EL5" s="28" t="s">
        <v>376</v>
      </c>
      <c r="EM5" s="28" t="s">
        <v>377</v>
      </c>
      <c r="EN5" s="28" t="s">
        <v>378</v>
      </c>
      <c r="EO5" s="28" t="s">
        <v>379</v>
      </c>
      <c r="EP5" s="28" t="s">
        <v>380</v>
      </c>
      <c r="EQ5" s="28" t="s">
        <v>381</v>
      </c>
      <c r="ER5" s="28" t="s">
        <v>382</v>
      </c>
      <c r="ES5" s="28" t="s">
        <v>383</v>
      </c>
      <c r="ET5" s="28" t="s">
        <v>384</v>
      </c>
      <c r="EU5" s="28" t="s">
        <v>385</v>
      </c>
      <c r="EV5" s="28" t="s">
        <v>386</v>
      </c>
      <c r="EW5" s="28" t="s">
        <v>387</v>
      </c>
      <c r="EX5" s="28" t="s">
        <v>388</v>
      </c>
      <c r="EY5" s="28" t="s">
        <v>389</v>
      </c>
      <c r="EZ5" s="28" t="s">
        <v>390</v>
      </c>
      <c r="FA5" s="28" t="s">
        <v>391</v>
      </c>
      <c r="FB5" s="28" t="s">
        <v>392</v>
      </c>
      <c r="FC5" s="28" t="s">
        <v>393</v>
      </c>
      <c r="FD5" s="28" t="s">
        <v>394</v>
      </c>
      <c r="FE5" s="28" t="s">
        <v>395</v>
      </c>
      <c r="FF5" s="28" t="s">
        <v>396</v>
      </c>
      <c r="FG5" s="28" t="s">
        <v>397</v>
      </c>
      <c r="FH5" s="28" t="s">
        <v>398</v>
      </c>
      <c r="FI5" s="28" t="s">
        <v>399</v>
      </c>
      <c r="FJ5" s="28" t="s">
        <v>400</v>
      </c>
      <c r="FK5" s="28" t="s">
        <v>401</v>
      </c>
      <c r="FL5" s="28" t="s">
        <v>402</v>
      </c>
      <c r="FM5" s="28" t="s">
        <v>403</v>
      </c>
      <c r="FN5" s="28" t="s">
        <v>404</v>
      </c>
      <c r="FO5" s="28" t="s">
        <v>405</v>
      </c>
      <c r="FP5" s="28" t="s">
        <v>406</v>
      </c>
      <c r="FQ5" s="28" t="s">
        <v>407</v>
      </c>
      <c r="FR5" s="28" t="s">
        <v>408</v>
      </c>
      <c r="FS5" s="28" t="s">
        <v>409</v>
      </c>
      <c r="FT5" s="28" t="s">
        <v>410</v>
      </c>
      <c r="FU5" s="28" t="s">
        <v>411</v>
      </c>
      <c r="FV5" s="28" t="s">
        <v>412</v>
      </c>
      <c r="FW5" s="28" t="s">
        <v>413</v>
      </c>
      <c r="FX5" s="28" t="s">
        <v>414</v>
      </c>
      <c r="FY5" s="28" t="s">
        <v>415</v>
      </c>
      <c r="FZ5" s="28" t="s">
        <v>416</v>
      </c>
    </row>
    <row r="7" spans="1:182" x14ac:dyDescent="0.2">
      <c r="A7" s="145" t="s">
        <v>355</v>
      </c>
    </row>
    <row r="8" spans="1:182" outlineLevel="1" x14ac:dyDescent="0.2">
      <c r="A8" s="24" t="s">
        <v>228</v>
      </c>
      <c r="B8" s="166">
        <f>+'Plan Inversiones'!F77</f>
        <v>12707733.1492</v>
      </c>
    </row>
    <row r="9" spans="1:182" outlineLevel="1" x14ac:dyDescent="0.2">
      <c r="A9" s="24" t="s">
        <v>229</v>
      </c>
      <c r="B9" s="191">
        <f>+Condiciones!$B$20</f>
        <v>0.12</v>
      </c>
    </row>
    <row r="10" spans="1:182" outlineLevel="1" x14ac:dyDescent="0.2">
      <c r="A10" s="24" t="s">
        <v>449</v>
      </c>
      <c r="B10" s="139">
        <v>120</v>
      </c>
    </row>
    <row r="11" spans="1:182" outlineLevel="1" x14ac:dyDescent="0.2">
      <c r="A11" s="24" t="s">
        <v>231</v>
      </c>
      <c r="B11" s="192">
        <f>PMT(B9/12,B10,-B8)</f>
        <v>182319.05269627221</v>
      </c>
    </row>
    <row r="12" spans="1:182" outlineLevel="1" x14ac:dyDescent="0.2">
      <c r="A12" s="24" t="s">
        <v>356</v>
      </c>
      <c r="B12" s="139">
        <v>1</v>
      </c>
    </row>
    <row r="13" spans="1:182" outlineLevel="1" x14ac:dyDescent="0.2"/>
    <row r="14" spans="1:182" outlineLevel="1" x14ac:dyDescent="0.2">
      <c r="A14" s="24" t="s">
        <v>232</v>
      </c>
      <c r="B14" s="166">
        <f>+B8</f>
        <v>12707733.1492</v>
      </c>
      <c r="C14" s="192">
        <f>+IF(B14&gt;0,B14-C17,IF(C4&lt;$B$12,0,$B$14-C17))</f>
        <v>12652491.427995728</v>
      </c>
      <c r="D14" s="192">
        <f>+IF(C14&gt;0,C14-D17,IF(D4&lt;$B$12,0,$B$14-D17))</f>
        <v>12596697.289579414</v>
      </c>
      <c r="E14" s="192">
        <f t="shared" ref="E14:BN14" si="4">+IF(D14&gt;0,D14-E17,IF(E4&lt;$B$12,0,$B$14-E17))</f>
        <v>12540345.209778937</v>
      </c>
      <c r="F14" s="192">
        <f t="shared" si="4"/>
        <v>12483429.609180454</v>
      </c>
      <c r="G14" s="192">
        <f t="shared" si="4"/>
        <v>12425944.852575986</v>
      </c>
      <c r="H14" s="192">
        <f t="shared" si="4"/>
        <v>12367885.248405473</v>
      </c>
      <c r="I14" s="192">
        <f t="shared" si="4"/>
        <v>12309245.048193255</v>
      </c>
      <c r="J14" s="192">
        <f t="shared" si="4"/>
        <v>12250018.445978915</v>
      </c>
      <c r="K14" s="192">
        <f t="shared" si="4"/>
        <v>12190199.577742433</v>
      </c>
      <c r="L14" s="192">
        <f t="shared" si="4"/>
        <v>12129782.520823585</v>
      </c>
      <c r="M14" s="192">
        <f t="shared" si="4"/>
        <v>12068761.293335548</v>
      </c>
      <c r="N14" s="192">
        <f t="shared" si="4"/>
        <v>12007129.853572631</v>
      </c>
      <c r="O14" s="192">
        <f t="shared" si="4"/>
        <v>11944882.099412085</v>
      </c>
      <c r="P14" s="192">
        <f t="shared" si="4"/>
        <v>11882011.867709935</v>
      </c>
      <c r="Q14" s="192">
        <f>+IF(P14&gt;0,P14-Q17,IF(Q4&lt;$B$12,0,$B$14-Q17))</f>
        <v>11818512.933690762</v>
      </c>
      <c r="R14" s="192">
        <f t="shared" si="4"/>
        <v>11754379.010331398</v>
      </c>
      <c r="S14" s="192">
        <f t="shared" si="4"/>
        <v>11689603.74773844</v>
      </c>
      <c r="T14" s="192">
        <f t="shared" si="4"/>
        <v>11624180.732519552</v>
      </c>
      <c r="U14" s="192">
        <f t="shared" si="4"/>
        <v>11558103.487148475</v>
      </c>
      <c r="V14" s="192">
        <f t="shared" si="4"/>
        <v>11491365.469323687</v>
      </c>
      <c r="W14" s="192">
        <f t="shared" si="4"/>
        <v>11423960.071320651</v>
      </c>
      <c r="X14" s="192">
        <f t="shared" si="4"/>
        <v>11355880.619337585</v>
      </c>
      <c r="Y14" s="192">
        <f t="shared" si="4"/>
        <v>11287120.372834688</v>
      </c>
      <c r="Z14" s="192">
        <f t="shared" si="4"/>
        <v>11217672.523866763</v>
      </c>
      <c r="AA14" s="192">
        <f t="shared" si="4"/>
        <v>11147530.196409158</v>
      </c>
      <c r="AB14" s="192">
        <f t="shared" si="4"/>
        <v>11076686.445676979</v>
      </c>
      <c r="AC14" s="192">
        <f t="shared" si="4"/>
        <v>11005134.257437477</v>
      </c>
      <c r="AD14" s="192">
        <f t="shared" si="4"/>
        <v>10932866.547315579</v>
      </c>
      <c r="AE14" s="192">
        <f t="shared" si="4"/>
        <v>10859876.160092462</v>
      </c>
      <c r="AF14" s="192">
        <f t="shared" si="4"/>
        <v>10786155.868997114</v>
      </c>
      <c r="AG14" s="192">
        <f t="shared" si="4"/>
        <v>10711698.374990813</v>
      </c>
      <c r="AH14" s="192">
        <f t="shared" si="4"/>
        <v>10636496.30604445</v>
      </c>
      <c r="AI14" s="192">
        <f t="shared" si="4"/>
        <v>10560542.216408622</v>
      </c>
      <c r="AJ14" s="192">
        <f t="shared" si="4"/>
        <v>10483828.585876435</v>
      </c>
      <c r="AK14" s="192">
        <f t="shared" si="4"/>
        <v>10406347.819038928</v>
      </c>
      <c r="AL14" s="192">
        <f t="shared" si="4"/>
        <v>10328092.244533045</v>
      </c>
      <c r="AM14" s="192">
        <f t="shared" si="4"/>
        <v>10249054.114282103</v>
      </c>
      <c r="AN14" s="192">
        <f t="shared" si="4"/>
        <v>10169225.602728652</v>
      </c>
      <c r="AO14" s="192">
        <f t="shared" si="4"/>
        <v>10088598.806059666</v>
      </c>
      <c r="AP14" s="192">
        <f t="shared" si="4"/>
        <v>10007165.741423991</v>
      </c>
      <c r="AQ14" s="192">
        <f t="shared" si="4"/>
        <v>9924918.3461419586</v>
      </c>
      <c r="AR14" s="192">
        <f t="shared" si="4"/>
        <v>9841848.4769071061</v>
      </c>
      <c r="AS14" s="192">
        <f t="shared" si="4"/>
        <v>9757947.9089799058</v>
      </c>
      <c r="AT14" s="192">
        <f t="shared" si="4"/>
        <v>9673208.3353734333</v>
      </c>
      <c r="AU14" s="192">
        <f t="shared" si="4"/>
        <v>9587621.3660308961</v>
      </c>
      <c r="AV14" s="192">
        <f t="shared" si="4"/>
        <v>9501178.5269949324</v>
      </c>
      <c r="AW14" s="192">
        <f t="shared" si="4"/>
        <v>9413871.2595686093</v>
      </c>
      <c r="AX14" s="192">
        <f t="shared" si="4"/>
        <v>9325690.9194680229</v>
      </c>
      <c r="AY14" s="192">
        <f t="shared" si="4"/>
        <v>9236628.7759664301</v>
      </c>
      <c r="AZ14" s="192">
        <f t="shared" si="4"/>
        <v>9146676.0110298228</v>
      </c>
      <c r="BA14" s="192">
        <f t="shared" si="4"/>
        <v>9055823.7184438482</v>
      </c>
      <c r="BB14" s="192">
        <f t="shared" si="4"/>
        <v>8964062.9029320143</v>
      </c>
      <c r="BC14" s="192">
        <f t="shared" si="4"/>
        <v>8871384.4792650621</v>
      </c>
      <c r="BD14" s="192">
        <f t="shared" si="4"/>
        <v>8777779.2713614404</v>
      </c>
      <c r="BE14" s="192">
        <f t="shared" si="4"/>
        <v>8683238.0113787819</v>
      </c>
      <c r="BF14" s="192">
        <f t="shared" si="4"/>
        <v>8587751.3387962971</v>
      </c>
      <c r="BG14" s="192">
        <f t="shared" si="4"/>
        <v>8491309.7994879875</v>
      </c>
      <c r="BH14" s="192">
        <f t="shared" si="4"/>
        <v>8393903.8447865956</v>
      </c>
      <c r="BI14" s="192">
        <f t="shared" si="4"/>
        <v>8295523.830538189</v>
      </c>
      <c r="BJ14" s="192">
        <f t="shared" si="4"/>
        <v>8196160.0161472987</v>
      </c>
      <c r="BK14" s="192">
        <f t="shared" si="4"/>
        <v>8095802.5636124993</v>
      </c>
      <c r="BL14" s="192">
        <f t="shared" si="4"/>
        <v>7994441.5365523519</v>
      </c>
      <c r="BM14" s="192">
        <f t="shared" si="4"/>
        <v>7892066.8992216028</v>
      </c>
      <c r="BN14" s="192">
        <f t="shared" si="4"/>
        <v>7788668.5155175468</v>
      </c>
      <c r="BO14" s="192">
        <f t="shared" ref="BO14:DQ14" si="5">+IF(BN14&gt;0,BN14-BO17,IF(BO4&lt;$B$12,0,$B$14-BO17))</f>
        <v>7684236.1479764497</v>
      </c>
      <c r="BP14" s="192">
        <f t="shared" si="5"/>
        <v>7578759.4567599418</v>
      </c>
      <c r="BQ14" s="192">
        <f t="shared" si="5"/>
        <v>7472227.9986312687</v>
      </c>
      <c r="BR14" s="192">
        <f t="shared" si="5"/>
        <v>7364631.2259213096</v>
      </c>
      <c r="BS14" s="192">
        <f t="shared" si="5"/>
        <v>7255958.4854842508</v>
      </c>
      <c r="BT14" s="192">
        <f t="shared" si="5"/>
        <v>7146199.0176428212</v>
      </c>
      <c r="BU14" s="192">
        <f t="shared" si="5"/>
        <v>7035341.9551229775</v>
      </c>
      <c r="BV14" s="192">
        <f t="shared" si="5"/>
        <v>6923376.3219779348</v>
      </c>
      <c r="BW14" s="192">
        <f t="shared" si="5"/>
        <v>6810291.0325014424</v>
      </c>
      <c r="BX14" s="192">
        <f t="shared" si="5"/>
        <v>6696074.8901301846</v>
      </c>
      <c r="BY14" s="192">
        <f t="shared" si="5"/>
        <v>6580716.5863352139</v>
      </c>
      <c r="BZ14" s="192">
        <f t="shared" si="5"/>
        <v>6464204.699502294</v>
      </c>
      <c r="CA14" s="192">
        <f t="shared" si="5"/>
        <v>6346527.6938010445</v>
      </c>
      <c r="CB14" s="192">
        <f t="shared" si="5"/>
        <v>6227673.9180427827</v>
      </c>
      <c r="CC14" s="192">
        <f t="shared" si="5"/>
        <v>6107631.6045269379</v>
      </c>
      <c r="CD14" s="192">
        <f t="shared" si="5"/>
        <v>5986388.8678759355</v>
      </c>
      <c r="CE14" s="192">
        <f t="shared" si="5"/>
        <v>5863933.703858423</v>
      </c>
      <c r="CF14" s="192">
        <f t="shared" si="5"/>
        <v>5740253.9882007353</v>
      </c>
      <c r="CG14" s="192">
        <f t="shared" si="5"/>
        <v>5615337.4753864706</v>
      </c>
      <c r="CH14" s="192">
        <f t="shared" si="5"/>
        <v>5489171.7974440632</v>
      </c>
      <c r="CI14" s="192">
        <f t="shared" si="5"/>
        <v>5361744.4627222316</v>
      </c>
      <c r="CJ14" s="192">
        <f t="shared" si="5"/>
        <v>5233042.8546531815</v>
      </c>
      <c r="CK14" s="192">
        <f t="shared" si="5"/>
        <v>5103054.2305034408</v>
      </c>
      <c r="CL14" s="192">
        <f t="shared" si="5"/>
        <v>4971765.7201122027</v>
      </c>
      <c r="CM14" s="192">
        <f t="shared" si="5"/>
        <v>4839164.3246170525</v>
      </c>
      <c r="CN14" s="192">
        <f t="shared" si="5"/>
        <v>4705236.9151669508</v>
      </c>
      <c r="CO14" s="192">
        <f t="shared" si="5"/>
        <v>4569970.2316223476</v>
      </c>
      <c r="CP14" s="192">
        <f t="shared" si="5"/>
        <v>4433350.8812422985</v>
      </c>
      <c r="CQ14" s="192">
        <f t="shared" si="5"/>
        <v>4295365.3373584496</v>
      </c>
      <c r="CR14" s="192">
        <f t="shared" si="5"/>
        <v>4155999.9380357619</v>
      </c>
      <c r="CS14" s="192">
        <f t="shared" si="5"/>
        <v>4015240.8847198472</v>
      </c>
      <c r="CT14" s="192">
        <f t="shared" si="5"/>
        <v>3873074.2408707733</v>
      </c>
      <c r="CU14" s="192">
        <f t="shared" si="5"/>
        <v>3729485.9305832088</v>
      </c>
      <c r="CV14" s="192">
        <f t="shared" si="5"/>
        <v>3584461.7371927686</v>
      </c>
      <c r="CW14" s="192">
        <f t="shared" si="5"/>
        <v>3437987.3018684243</v>
      </c>
      <c r="CX14" s="192">
        <f t="shared" si="5"/>
        <v>3290048.1221908364</v>
      </c>
      <c r="CY14" s="192">
        <f t="shared" si="5"/>
        <v>3140629.5507164723</v>
      </c>
      <c r="CZ14" s="192">
        <f t="shared" si="5"/>
        <v>2989716.7935273647</v>
      </c>
      <c r="DA14" s="192">
        <f t="shared" si="5"/>
        <v>2837294.9087663661</v>
      </c>
      <c r="DB14" s="192">
        <f t="shared" si="5"/>
        <v>2683348.8051577574</v>
      </c>
      <c r="DC14" s="192">
        <f t="shared" si="5"/>
        <v>2527863.2405130626</v>
      </c>
      <c r="DD14" s="192">
        <f t="shared" si="5"/>
        <v>2370822.820221921</v>
      </c>
      <c r="DE14" s="192">
        <f t="shared" si="5"/>
        <v>2212211.9957278678</v>
      </c>
      <c r="DF14" s="192">
        <f t="shared" si="5"/>
        <v>2052015.0629888743</v>
      </c>
      <c r="DG14" s="192">
        <f t="shared" si="5"/>
        <v>1890216.1609224908</v>
      </c>
      <c r="DH14" s="192">
        <f t="shared" si="5"/>
        <v>1726799.2698354435</v>
      </c>
      <c r="DI14" s="192">
        <f t="shared" si="5"/>
        <v>1561748.2098375256</v>
      </c>
      <c r="DJ14" s="192">
        <f t="shared" si="5"/>
        <v>1395046.6392396286</v>
      </c>
      <c r="DK14" s="192">
        <f t="shared" si="5"/>
        <v>1226678.0529357526</v>
      </c>
      <c r="DL14" s="192">
        <f t="shared" si="5"/>
        <v>1056625.7807688378</v>
      </c>
      <c r="DM14" s="192">
        <f t="shared" si="5"/>
        <v>884872.98588025395</v>
      </c>
      <c r="DN14" s="192">
        <f t="shared" si="5"/>
        <v>711402.66304278432</v>
      </c>
      <c r="DO14" s="192">
        <f t="shared" si="5"/>
        <v>536197.63697693998</v>
      </c>
      <c r="DP14" s="192">
        <f t="shared" si="5"/>
        <v>359240.56065043714</v>
      </c>
      <c r="DQ14" s="192">
        <f t="shared" si="5"/>
        <v>180513.91356066932</v>
      </c>
      <c r="DR14" s="192">
        <f>+IF(DQ14&gt;0,DQ14-DR17,IF(DR4&lt;$B$12,0,$B$14-DR17))</f>
        <v>3.8126017898321152E-9</v>
      </c>
      <c r="DS14" s="192">
        <f>+IF(DR14&gt;0,DR14-DS17,IF(DS4&lt;$B$12,0,$B$14-DS17))</f>
        <v>3.8507278077304364E-9</v>
      </c>
      <c r="DT14" s="192">
        <f>+IF(DS14&gt;0,DS14-DT17,IF(DT4&lt;$B$12,0,$B$14-DT17))</f>
        <v>3.8892350858077411E-9</v>
      </c>
      <c r="DU14" s="192">
        <f t="shared" ref="DU14:FZ14" si="6">+IF(DT14&gt;0,DT14-DU17,IF(DU4&lt;$B$12,0,$B$14-DU17))</f>
        <v>3.9281274366658185E-9</v>
      </c>
      <c r="DV14" s="192">
        <f t="shared" si="6"/>
        <v>3.9674087110324764E-9</v>
      </c>
      <c r="DW14" s="192">
        <f t="shared" si="6"/>
        <v>4.0070827981428015E-9</v>
      </c>
      <c r="DX14" s="192">
        <f t="shared" si="6"/>
        <v>4.0471536261242298E-9</v>
      </c>
      <c r="DY14" s="192">
        <f t="shared" si="6"/>
        <v>4.0876251623854725E-9</v>
      </c>
      <c r="DZ14" s="192">
        <f t="shared" si="6"/>
        <v>4.1285014140093269E-9</v>
      </c>
      <c r="EA14" s="192">
        <f t="shared" si="6"/>
        <v>4.1697864281494203E-9</v>
      </c>
      <c r="EB14" s="192">
        <f t="shared" si="6"/>
        <v>4.2114842924309146E-9</v>
      </c>
      <c r="EC14" s="192">
        <f t="shared" si="6"/>
        <v>4.2535991353552239E-9</v>
      </c>
      <c r="ED14" s="192">
        <f t="shared" si="6"/>
        <v>4.2961351267087762E-9</v>
      </c>
      <c r="EE14" s="192">
        <f t="shared" si="6"/>
        <v>4.3390964779758639E-9</v>
      </c>
      <c r="EF14" s="192">
        <f t="shared" si="6"/>
        <v>4.3824874427556223E-9</v>
      </c>
      <c r="EG14" s="192">
        <f t="shared" si="6"/>
        <v>4.4263123171831789E-9</v>
      </c>
      <c r="EH14" s="192">
        <f t="shared" si="6"/>
        <v>4.4705754403550107E-9</v>
      </c>
      <c r="EI14" s="192">
        <f t="shared" si="6"/>
        <v>4.5152811947585607E-9</v>
      </c>
      <c r="EJ14" s="192">
        <f t="shared" si="6"/>
        <v>4.5604340067061461E-9</v>
      </c>
      <c r="EK14" s="192">
        <f t="shared" si="6"/>
        <v>4.606038346773208E-9</v>
      </c>
      <c r="EL14" s="192">
        <f t="shared" si="6"/>
        <v>4.65209873024094E-9</v>
      </c>
      <c r="EM14" s="192">
        <f t="shared" si="6"/>
        <v>4.6986197175433493E-9</v>
      </c>
      <c r="EN14" s="192">
        <f t="shared" si="6"/>
        <v>4.7456059147187832E-9</v>
      </c>
      <c r="EO14" s="192">
        <f t="shared" si="6"/>
        <v>4.7930619738659707E-9</v>
      </c>
      <c r="EP14" s="192">
        <f t="shared" si="6"/>
        <v>4.8409925936046302E-9</v>
      </c>
      <c r="EQ14" s="192">
        <f t="shared" si="6"/>
        <v>4.8894025195406763E-9</v>
      </c>
      <c r="ER14" s="192">
        <f t="shared" si="6"/>
        <v>4.9382965447360827E-9</v>
      </c>
      <c r="ES14" s="192">
        <f t="shared" si="6"/>
        <v>4.9876795101834438E-9</v>
      </c>
      <c r="ET14" s="192">
        <f t="shared" si="6"/>
        <v>5.0375563052852782E-9</v>
      </c>
      <c r="EU14" s="192">
        <f t="shared" si="6"/>
        <v>5.0879318683381305E-9</v>
      </c>
      <c r="EV14" s="192">
        <f t="shared" si="6"/>
        <v>5.1388111870215121E-9</v>
      </c>
      <c r="EW14" s="192">
        <f t="shared" si="6"/>
        <v>5.1901992988917272E-9</v>
      </c>
      <c r="EX14" s="192">
        <f t="shared" si="6"/>
        <v>5.2421012918806448E-9</v>
      </c>
      <c r="EY14" s="192">
        <f t="shared" si="6"/>
        <v>5.2945223047994512E-9</v>
      </c>
      <c r="EZ14" s="192">
        <f t="shared" si="6"/>
        <v>5.3474675278474456E-9</v>
      </c>
      <c r="FA14" s="192">
        <f t="shared" si="6"/>
        <v>5.4009422031259201E-9</v>
      </c>
      <c r="FB14" s="192">
        <f t="shared" si="6"/>
        <v>5.454951625157179E-9</v>
      </c>
      <c r="FC14" s="192">
        <f t="shared" si="6"/>
        <v>5.5095011414087508E-9</v>
      </c>
      <c r="FD14" s="192">
        <f t="shared" si="6"/>
        <v>5.5645961528228382E-9</v>
      </c>
      <c r="FE14" s="192">
        <f t="shared" si="6"/>
        <v>5.6202421143510669E-9</v>
      </c>
      <c r="FF14" s="192">
        <f t="shared" si="6"/>
        <v>5.6764445354945774E-9</v>
      </c>
      <c r="FG14" s="192">
        <f t="shared" si="6"/>
        <v>5.7332089808495235E-9</v>
      </c>
      <c r="FH14" s="192">
        <f t="shared" si="6"/>
        <v>5.790541070658019E-9</v>
      </c>
      <c r="FI14" s="192">
        <f t="shared" si="6"/>
        <v>5.8484464813645991E-9</v>
      </c>
      <c r="FJ14" s="192">
        <f t="shared" si="6"/>
        <v>5.9069309461782451E-9</v>
      </c>
      <c r="FK14" s="192">
        <f t="shared" si="6"/>
        <v>5.966000255640028E-9</v>
      </c>
      <c r="FL14" s="192">
        <f t="shared" si="6"/>
        <v>6.0256602581964282E-9</v>
      </c>
      <c r="FM14" s="192">
        <f t="shared" si="6"/>
        <v>6.0859168607783923E-9</v>
      </c>
      <c r="FN14" s="192">
        <f t="shared" si="6"/>
        <v>6.1467760293861762E-9</v>
      </c>
      <c r="FO14" s="192">
        <f t="shared" si="6"/>
        <v>6.2082437896800376E-9</v>
      </c>
      <c r="FP14" s="192">
        <f t="shared" si="6"/>
        <v>6.2703262275768382E-9</v>
      </c>
      <c r="FQ14" s="192">
        <f t="shared" si="6"/>
        <v>6.3330294898526063E-9</v>
      </c>
      <c r="FR14" s="192">
        <f t="shared" si="6"/>
        <v>6.3963597847511326E-9</v>
      </c>
      <c r="FS14" s="192">
        <f t="shared" si="6"/>
        <v>6.4603233825986438E-9</v>
      </c>
      <c r="FT14" s="192">
        <f t="shared" si="6"/>
        <v>6.5249266164246301E-9</v>
      </c>
      <c r="FU14" s="192">
        <f t="shared" si="6"/>
        <v>6.5901758825888767E-9</v>
      </c>
      <c r="FV14" s="192">
        <f t="shared" si="6"/>
        <v>6.6560776414147653E-9</v>
      </c>
      <c r="FW14" s="192">
        <f t="shared" si="6"/>
        <v>6.7226384178289134E-9</v>
      </c>
      <c r="FX14" s="192">
        <f t="shared" si="6"/>
        <v>6.7898648020072024E-9</v>
      </c>
      <c r="FY14" s="192">
        <f t="shared" si="6"/>
        <v>6.8577634500272746E-9</v>
      </c>
      <c r="FZ14" s="192">
        <f t="shared" si="6"/>
        <v>6.9263410845275476E-9</v>
      </c>
    </row>
    <row r="15" spans="1:182" outlineLevel="1" x14ac:dyDescent="0.2">
      <c r="A15" s="24" t="s">
        <v>231</v>
      </c>
      <c r="C15" s="192">
        <f>+IF(C4&gt;$B$10,0,$B$11)</f>
        <v>182319.05269627221</v>
      </c>
      <c r="D15" s="192">
        <f>+IF(C14=0,0,IF(D4&gt;$B$10,0,$B$11))</f>
        <v>182319.05269627221</v>
      </c>
      <c r="E15" s="192">
        <f t="shared" ref="E15:H15" si="7">+IF(D14=0,0,IF(E4&gt;$B$10,0,$B$11))</f>
        <v>182319.05269627221</v>
      </c>
      <c r="F15" s="192">
        <f t="shared" ref="F15" si="8">+IF(E14=0,0,IF(F4&gt;$B$10,0,$B$11))</f>
        <v>182319.05269627221</v>
      </c>
      <c r="G15" s="192">
        <f t="shared" ref="G15" si="9">+IF(F14=0,0,IF(G4&gt;$B$10,0,$B$11))</f>
        <v>182319.05269627221</v>
      </c>
      <c r="H15" s="192">
        <f t="shared" si="7"/>
        <v>182319.05269627221</v>
      </c>
      <c r="I15" s="192">
        <f t="shared" ref="I15" si="10">+IF(H14=0,0,IF(I4&gt;$B$10,0,$B$11))</f>
        <v>182319.05269627221</v>
      </c>
      <c r="J15" s="192">
        <f t="shared" ref="J15" si="11">+IF(I14=0,0,IF(J4&gt;$B$10,0,$B$11))</f>
        <v>182319.05269627221</v>
      </c>
      <c r="K15" s="192">
        <f t="shared" ref="K15" si="12">+IF(J14=0,0,IF(K4&gt;$B$10,0,$B$11))</f>
        <v>182319.05269627221</v>
      </c>
      <c r="L15" s="192">
        <f t="shared" ref="L15" si="13">+IF(K14=0,0,IF(L4&gt;$B$10,0,$B$11))</f>
        <v>182319.05269627221</v>
      </c>
      <c r="M15" s="192">
        <f t="shared" ref="M15" si="14">+IF(L14=0,0,IF(M4&gt;$B$10,0,$B$11))</f>
        <v>182319.05269627221</v>
      </c>
      <c r="N15" s="192">
        <f t="shared" ref="N15" si="15">+IF(M14=0,0,IF(N4&gt;$B$10,0,$B$11))</f>
        <v>182319.05269627221</v>
      </c>
      <c r="O15" s="192">
        <f t="shared" ref="O15" si="16">+IF(N14=0,0,IF(O4&gt;$B$10,0,$B$11))</f>
        <v>182319.05269627221</v>
      </c>
      <c r="P15" s="192">
        <f t="shared" ref="P15" si="17">+IF(O14=0,0,IF(P4&gt;$B$10,0,$B$11))</f>
        <v>182319.05269627221</v>
      </c>
      <c r="Q15" s="192">
        <f t="shared" ref="Q15" si="18">+IF(P14=0,0,IF(Q4&gt;$B$10,0,$B$11))</f>
        <v>182319.05269627221</v>
      </c>
      <c r="R15" s="192">
        <f t="shared" ref="R15" si="19">+IF(Q14=0,0,IF(R4&gt;$B$10,0,$B$11))</f>
        <v>182319.05269627221</v>
      </c>
      <c r="S15" s="192">
        <f t="shared" ref="S15" si="20">+IF(R14=0,0,IF(S4&gt;$B$10,0,$B$11))</f>
        <v>182319.05269627221</v>
      </c>
      <c r="T15" s="192">
        <f t="shared" ref="T15" si="21">+IF(S14=0,0,IF(T4&gt;$B$10,0,$B$11))</f>
        <v>182319.05269627221</v>
      </c>
      <c r="U15" s="192">
        <f t="shared" ref="U15" si="22">+IF(T14=0,0,IF(U4&gt;$B$10,0,$B$11))</f>
        <v>182319.05269627221</v>
      </c>
      <c r="V15" s="192">
        <f t="shared" ref="V15" si="23">+IF(U14=0,0,IF(V4&gt;$B$10,0,$B$11))</f>
        <v>182319.05269627221</v>
      </c>
      <c r="W15" s="192">
        <f t="shared" ref="W15" si="24">+IF(V14=0,0,IF(W4&gt;$B$10,0,$B$11))</f>
        <v>182319.05269627221</v>
      </c>
      <c r="X15" s="192">
        <f t="shared" ref="X15" si="25">+IF(W14=0,0,IF(X4&gt;$B$10,0,$B$11))</f>
        <v>182319.05269627221</v>
      </c>
      <c r="Y15" s="192">
        <f t="shared" ref="Y15" si="26">+IF(X14=0,0,IF(Y4&gt;$B$10,0,$B$11))</f>
        <v>182319.05269627221</v>
      </c>
      <c r="Z15" s="192">
        <f t="shared" ref="Z15" si="27">+IF(Y14=0,0,IF(Z4&gt;$B$10,0,$B$11))</f>
        <v>182319.05269627221</v>
      </c>
      <c r="AA15" s="192">
        <f t="shared" ref="AA15" si="28">+IF(Z14=0,0,IF(AA4&gt;$B$10,0,$B$11))</f>
        <v>182319.05269627221</v>
      </c>
      <c r="AB15" s="192">
        <f t="shared" ref="AB15" si="29">+IF(AA14=0,0,IF(AB4&gt;$B$10,0,$B$11))</f>
        <v>182319.05269627221</v>
      </c>
      <c r="AC15" s="192">
        <f t="shared" ref="AC15" si="30">+IF(AB14=0,0,IF(AC4&gt;$B$10,0,$B$11))</f>
        <v>182319.05269627221</v>
      </c>
      <c r="AD15" s="192">
        <f t="shared" ref="AD15" si="31">+IF(AC14=0,0,IF(AD4&gt;$B$10,0,$B$11))</f>
        <v>182319.05269627221</v>
      </c>
      <c r="AE15" s="192">
        <f t="shared" ref="AE15" si="32">+IF(AD14=0,0,IF(AE4&gt;$B$10,0,$B$11))</f>
        <v>182319.05269627221</v>
      </c>
      <c r="AF15" s="192">
        <f t="shared" ref="AF15" si="33">+IF(AE14=0,0,IF(AF4&gt;$B$10,0,$B$11))</f>
        <v>182319.05269627221</v>
      </c>
      <c r="AG15" s="192">
        <f t="shared" ref="AG15" si="34">+IF(AF14=0,0,IF(AG4&gt;$B$10,0,$B$11))</f>
        <v>182319.05269627221</v>
      </c>
      <c r="AH15" s="192">
        <f t="shared" ref="AH15" si="35">+IF(AG14=0,0,IF(AH4&gt;$B$10,0,$B$11))</f>
        <v>182319.05269627221</v>
      </c>
      <c r="AI15" s="192">
        <f t="shared" ref="AI15" si="36">+IF(AH14=0,0,IF(AI4&gt;$B$10,0,$B$11))</f>
        <v>182319.05269627221</v>
      </c>
      <c r="AJ15" s="192">
        <f t="shared" ref="AJ15" si="37">+IF(AI14=0,0,IF(AJ4&gt;$B$10,0,$B$11))</f>
        <v>182319.05269627221</v>
      </c>
      <c r="AK15" s="192">
        <f t="shared" ref="AK15" si="38">+IF(AJ14=0,0,IF(AK4&gt;$B$10,0,$B$11))</f>
        <v>182319.05269627221</v>
      </c>
      <c r="AL15" s="192">
        <f t="shared" ref="AL15" si="39">+IF(AK14=0,0,IF(AL4&gt;$B$10,0,$B$11))</f>
        <v>182319.05269627221</v>
      </c>
      <c r="AM15" s="192">
        <f t="shared" ref="AM15" si="40">+IF(AL14=0,0,IF(AM4&gt;$B$10,0,$B$11))</f>
        <v>182319.05269627221</v>
      </c>
      <c r="AN15" s="192">
        <f t="shared" ref="AN15" si="41">+IF(AM14=0,0,IF(AN4&gt;$B$10,0,$B$11))</f>
        <v>182319.05269627221</v>
      </c>
      <c r="AO15" s="192">
        <f t="shared" ref="AO15" si="42">+IF(AN14=0,0,IF(AO4&gt;$B$10,0,$B$11))</f>
        <v>182319.05269627221</v>
      </c>
      <c r="AP15" s="192">
        <f t="shared" ref="AP15" si="43">+IF(AO14=0,0,IF(AP4&gt;$B$10,0,$B$11))</f>
        <v>182319.05269627221</v>
      </c>
      <c r="AQ15" s="192">
        <f t="shared" ref="AQ15" si="44">+IF(AP14=0,0,IF(AQ4&gt;$B$10,0,$B$11))</f>
        <v>182319.05269627221</v>
      </c>
      <c r="AR15" s="192">
        <f t="shared" ref="AR15" si="45">+IF(AQ14=0,0,IF(AR4&gt;$B$10,0,$B$11))</f>
        <v>182319.05269627221</v>
      </c>
      <c r="AS15" s="192">
        <f t="shared" ref="AS15" si="46">+IF(AR14=0,0,IF(AS4&gt;$B$10,0,$B$11))</f>
        <v>182319.05269627221</v>
      </c>
      <c r="AT15" s="192">
        <f t="shared" ref="AT15" si="47">+IF(AS14=0,0,IF(AT4&gt;$B$10,0,$B$11))</f>
        <v>182319.05269627221</v>
      </c>
      <c r="AU15" s="192">
        <f t="shared" ref="AU15" si="48">+IF(AT14=0,0,IF(AU4&gt;$B$10,0,$B$11))</f>
        <v>182319.05269627221</v>
      </c>
      <c r="AV15" s="192">
        <f t="shared" ref="AV15" si="49">+IF(AU14=0,0,IF(AV4&gt;$B$10,0,$B$11))</f>
        <v>182319.05269627221</v>
      </c>
      <c r="AW15" s="192">
        <f t="shared" ref="AW15" si="50">+IF(AV14=0,0,IF(AW4&gt;$B$10,0,$B$11))</f>
        <v>182319.05269627221</v>
      </c>
      <c r="AX15" s="192">
        <f t="shared" ref="AX15" si="51">+IF(AW14=0,0,IF(AX4&gt;$B$10,0,$B$11))</f>
        <v>182319.05269627221</v>
      </c>
      <c r="AY15" s="192">
        <f t="shared" ref="AY15" si="52">+IF(AX14=0,0,IF(AY4&gt;$B$10,0,$B$11))</f>
        <v>182319.05269627221</v>
      </c>
      <c r="AZ15" s="192">
        <f t="shared" ref="AZ15" si="53">+IF(AY14=0,0,IF(AZ4&gt;$B$10,0,$B$11))</f>
        <v>182319.05269627221</v>
      </c>
      <c r="BA15" s="192">
        <f t="shared" ref="BA15" si="54">+IF(AZ14=0,0,IF(BA4&gt;$B$10,0,$B$11))</f>
        <v>182319.05269627221</v>
      </c>
      <c r="BB15" s="192">
        <f t="shared" ref="BB15" si="55">+IF(BA14=0,0,IF(BB4&gt;$B$10,0,$B$11))</f>
        <v>182319.05269627221</v>
      </c>
      <c r="BC15" s="192">
        <f t="shared" ref="BC15" si="56">+IF(BB14=0,0,IF(BC4&gt;$B$10,0,$B$11))</f>
        <v>182319.05269627221</v>
      </c>
      <c r="BD15" s="192">
        <f t="shared" ref="BD15" si="57">+IF(BC14=0,0,IF(BD4&gt;$B$10,0,$B$11))</f>
        <v>182319.05269627221</v>
      </c>
      <c r="BE15" s="192">
        <f t="shared" ref="BE15" si="58">+IF(BD14=0,0,IF(BE4&gt;$B$10,0,$B$11))</f>
        <v>182319.05269627221</v>
      </c>
      <c r="BF15" s="192">
        <f t="shared" ref="BF15" si="59">+IF(BE14=0,0,IF(BF4&gt;$B$10,0,$B$11))</f>
        <v>182319.05269627221</v>
      </c>
      <c r="BG15" s="192">
        <f t="shared" ref="BG15" si="60">+IF(BF14=0,0,IF(BG4&gt;$B$10,0,$B$11))</f>
        <v>182319.05269627221</v>
      </c>
      <c r="BH15" s="192">
        <f t="shared" ref="BH15" si="61">+IF(BG14=0,0,IF(BH4&gt;$B$10,0,$B$11))</f>
        <v>182319.05269627221</v>
      </c>
      <c r="BI15" s="192">
        <f t="shared" ref="BI15" si="62">+IF(BH14=0,0,IF(BI4&gt;$B$10,0,$B$11))</f>
        <v>182319.05269627221</v>
      </c>
      <c r="BJ15" s="192">
        <f t="shared" ref="BJ15" si="63">+IF(BI14=0,0,IF(BJ4&gt;$B$10,0,$B$11))</f>
        <v>182319.05269627221</v>
      </c>
      <c r="BK15" s="192">
        <f t="shared" ref="BK15" si="64">+IF(BJ14=0,0,IF(BK4&gt;$B$10,0,$B$11))</f>
        <v>182319.05269627221</v>
      </c>
      <c r="BL15" s="192">
        <f t="shared" ref="BL15" si="65">+IF(BK14=0,0,IF(BL4&gt;$B$10,0,$B$11))</f>
        <v>182319.05269627221</v>
      </c>
      <c r="BM15" s="192">
        <f t="shared" ref="BM15" si="66">+IF(BL14=0,0,IF(BM4&gt;$B$10,0,$B$11))</f>
        <v>182319.05269627221</v>
      </c>
      <c r="BN15" s="192">
        <f t="shared" ref="BN15" si="67">+IF(BM14=0,0,IF(BN4&gt;$B$10,0,$B$11))</f>
        <v>182319.05269627221</v>
      </c>
      <c r="BO15" s="192">
        <f t="shared" ref="BO15" si="68">+IF(BN14=0,0,IF(BO4&gt;$B$10,0,$B$11))</f>
        <v>182319.05269627221</v>
      </c>
      <c r="BP15" s="192">
        <f t="shared" ref="BP15" si="69">+IF(BO14=0,0,IF(BP4&gt;$B$10,0,$B$11))</f>
        <v>182319.05269627221</v>
      </c>
      <c r="BQ15" s="192">
        <f t="shared" ref="BQ15" si="70">+IF(BP14=0,0,IF(BQ4&gt;$B$10,0,$B$11))</f>
        <v>182319.05269627221</v>
      </c>
      <c r="BR15" s="192">
        <f t="shared" ref="BR15" si="71">+IF(BQ14=0,0,IF(BR4&gt;$B$10,0,$B$11))</f>
        <v>182319.05269627221</v>
      </c>
      <c r="BS15" s="192">
        <f t="shared" ref="BS15" si="72">+IF(BR14=0,0,IF(BS4&gt;$B$10,0,$B$11))</f>
        <v>182319.05269627221</v>
      </c>
      <c r="BT15" s="192">
        <f t="shared" ref="BT15" si="73">+IF(BS14=0,0,IF(BT4&gt;$B$10,0,$B$11))</f>
        <v>182319.05269627221</v>
      </c>
      <c r="BU15" s="192">
        <f t="shared" ref="BU15" si="74">+IF(BT14=0,0,IF(BU4&gt;$B$10,0,$B$11))</f>
        <v>182319.05269627221</v>
      </c>
      <c r="BV15" s="192">
        <f t="shared" ref="BV15" si="75">+IF(BU14=0,0,IF(BV4&gt;$B$10,0,$B$11))</f>
        <v>182319.05269627221</v>
      </c>
      <c r="BW15" s="192">
        <f t="shared" ref="BW15" si="76">+IF(BV14=0,0,IF(BW4&gt;$B$10,0,$B$11))</f>
        <v>182319.05269627221</v>
      </c>
      <c r="BX15" s="192">
        <f t="shared" ref="BX15" si="77">+IF(BW14=0,0,IF(BX4&gt;$B$10,0,$B$11))</f>
        <v>182319.05269627221</v>
      </c>
      <c r="BY15" s="192">
        <f t="shared" ref="BY15" si="78">+IF(BX14=0,0,IF(BY4&gt;$B$10,0,$B$11))</f>
        <v>182319.05269627221</v>
      </c>
      <c r="BZ15" s="192">
        <f t="shared" ref="BZ15" si="79">+IF(BY14=0,0,IF(BZ4&gt;$B$10,0,$B$11))</f>
        <v>182319.05269627221</v>
      </c>
      <c r="CA15" s="192">
        <f t="shared" ref="CA15" si="80">+IF(BZ14=0,0,IF(CA4&gt;$B$10,0,$B$11))</f>
        <v>182319.05269627221</v>
      </c>
      <c r="CB15" s="192">
        <f t="shared" ref="CB15" si="81">+IF(CA14=0,0,IF(CB4&gt;$B$10,0,$B$11))</f>
        <v>182319.05269627221</v>
      </c>
      <c r="CC15" s="192">
        <f t="shared" ref="CC15" si="82">+IF(CB14=0,0,IF(CC4&gt;$B$10,0,$B$11))</f>
        <v>182319.05269627221</v>
      </c>
      <c r="CD15" s="192">
        <f t="shared" ref="CD15" si="83">+IF(CC14=0,0,IF(CD4&gt;$B$10,0,$B$11))</f>
        <v>182319.05269627221</v>
      </c>
      <c r="CE15" s="192">
        <f t="shared" ref="CE15" si="84">+IF(CD14=0,0,IF(CE4&gt;$B$10,0,$B$11))</f>
        <v>182319.05269627221</v>
      </c>
      <c r="CF15" s="192">
        <f t="shared" ref="CF15" si="85">+IF(CE14=0,0,IF(CF4&gt;$B$10,0,$B$11))</f>
        <v>182319.05269627221</v>
      </c>
      <c r="CG15" s="192">
        <f t="shared" ref="CG15" si="86">+IF(CF14=0,0,IF(CG4&gt;$B$10,0,$B$11))</f>
        <v>182319.05269627221</v>
      </c>
      <c r="CH15" s="192">
        <f t="shared" ref="CH15" si="87">+IF(CG14=0,0,IF(CH4&gt;$B$10,0,$B$11))</f>
        <v>182319.05269627221</v>
      </c>
      <c r="CI15" s="192">
        <f t="shared" ref="CI15" si="88">+IF(CH14=0,0,IF(CI4&gt;$B$10,0,$B$11))</f>
        <v>182319.05269627221</v>
      </c>
      <c r="CJ15" s="192">
        <f t="shared" ref="CJ15" si="89">+IF(CI14=0,0,IF(CJ4&gt;$B$10,0,$B$11))</f>
        <v>182319.05269627221</v>
      </c>
      <c r="CK15" s="192">
        <f t="shared" ref="CK15" si="90">+IF(CJ14=0,0,IF(CK4&gt;$B$10,0,$B$11))</f>
        <v>182319.05269627221</v>
      </c>
      <c r="CL15" s="192">
        <f t="shared" ref="CL15" si="91">+IF(CK14=0,0,IF(CL4&gt;$B$10,0,$B$11))</f>
        <v>182319.05269627221</v>
      </c>
      <c r="CM15" s="192">
        <f t="shared" ref="CM15" si="92">+IF(CL14=0,0,IF(CM4&gt;$B$10,0,$B$11))</f>
        <v>182319.05269627221</v>
      </c>
      <c r="CN15" s="192">
        <f t="shared" ref="CN15" si="93">+IF(CM14=0,0,IF(CN4&gt;$B$10,0,$B$11))</f>
        <v>182319.05269627221</v>
      </c>
      <c r="CO15" s="192">
        <f t="shared" ref="CO15" si="94">+IF(CN14=0,0,IF(CO4&gt;$B$10,0,$B$11))</f>
        <v>182319.05269627221</v>
      </c>
      <c r="CP15" s="192">
        <f t="shared" ref="CP15" si="95">+IF(CO14=0,0,IF(CP4&gt;$B$10,0,$B$11))</f>
        <v>182319.05269627221</v>
      </c>
      <c r="CQ15" s="192">
        <f t="shared" ref="CQ15" si="96">+IF(CP14=0,0,IF(CQ4&gt;$B$10,0,$B$11))</f>
        <v>182319.05269627221</v>
      </c>
      <c r="CR15" s="192">
        <f t="shared" ref="CR15" si="97">+IF(CQ14=0,0,IF(CR4&gt;$B$10,0,$B$11))</f>
        <v>182319.05269627221</v>
      </c>
      <c r="CS15" s="192">
        <f t="shared" ref="CS15" si="98">+IF(CR14=0,0,IF(CS4&gt;$B$10,0,$B$11))</f>
        <v>182319.05269627221</v>
      </c>
      <c r="CT15" s="192">
        <f t="shared" ref="CT15" si="99">+IF(CS14=0,0,IF(CT4&gt;$B$10,0,$B$11))</f>
        <v>182319.05269627221</v>
      </c>
      <c r="CU15" s="192">
        <f t="shared" ref="CU15" si="100">+IF(CT14=0,0,IF(CU4&gt;$B$10,0,$B$11))</f>
        <v>182319.05269627221</v>
      </c>
      <c r="CV15" s="192">
        <f t="shared" ref="CV15" si="101">+IF(CU14=0,0,IF(CV4&gt;$B$10,0,$B$11))</f>
        <v>182319.05269627221</v>
      </c>
      <c r="CW15" s="192">
        <f t="shared" ref="CW15" si="102">+IF(CV14=0,0,IF(CW4&gt;$B$10,0,$B$11))</f>
        <v>182319.05269627221</v>
      </c>
      <c r="CX15" s="192">
        <f t="shared" ref="CX15" si="103">+IF(CW14=0,0,IF(CX4&gt;$B$10,0,$B$11))</f>
        <v>182319.05269627221</v>
      </c>
      <c r="CY15" s="192">
        <f t="shared" ref="CY15" si="104">+IF(CX14=0,0,IF(CY4&gt;$B$10,0,$B$11))</f>
        <v>182319.05269627221</v>
      </c>
      <c r="CZ15" s="192">
        <f t="shared" ref="CZ15" si="105">+IF(CY14=0,0,IF(CZ4&gt;$B$10,0,$B$11))</f>
        <v>182319.05269627221</v>
      </c>
      <c r="DA15" s="192">
        <f t="shared" ref="DA15" si="106">+IF(CZ14=0,0,IF(DA4&gt;$B$10,0,$B$11))</f>
        <v>182319.05269627221</v>
      </c>
      <c r="DB15" s="192">
        <f t="shared" ref="DB15" si="107">+IF(DA14=0,0,IF(DB4&gt;$B$10,0,$B$11))</f>
        <v>182319.05269627221</v>
      </c>
      <c r="DC15" s="192">
        <f t="shared" ref="DC15" si="108">+IF(DB14=0,0,IF(DC4&gt;$B$10,0,$B$11))</f>
        <v>182319.05269627221</v>
      </c>
      <c r="DD15" s="192">
        <f t="shared" ref="DD15" si="109">+IF(DC14=0,0,IF(DD4&gt;$B$10,0,$B$11))</f>
        <v>182319.05269627221</v>
      </c>
      <c r="DE15" s="192">
        <f t="shared" ref="DE15" si="110">+IF(DD14=0,0,IF(DE4&gt;$B$10,0,$B$11))</f>
        <v>182319.05269627221</v>
      </c>
      <c r="DF15" s="192">
        <f t="shared" ref="DF15" si="111">+IF(DE14=0,0,IF(DF4&gt;$B$10,0,$B$11))</f>
        <v>182319.05269627221</v>
      </c>
      <c r="DG15" s="192">
        <f t="shared" ref="DG15" si="112">+IF(DF14=0,0,IF(DG4&gt;$B$10,0,$B$11))</f>
        <v>182319.05269627221</v>
      </c>
      <c r="DH15" s="192">
        <f t="shared" ref="DH15" si="113">+IF(DG14=0,0,IF(DH4&gt;$B$10,0,$B$11))</f>
        <v>182319.05269627221</v>
      </c>
      <c r="DI15" s="192">
        <f t="shared" ref="DI15" si="114">+IF(DH14=0,0,IF(DI4&gt;$B$10,0,$B$11))</f>
        <v>182319.05269627221</v>
      </c>
      <c r="DJ15" s="192">
        <f t="shared" ref="DJ15" si="115">+IF(DI14=0,0,IF(DJ4&gt;$B$10,0,$B$11))</f>
        <v>182319.05269627221</v>
      </c>
      <c r="DK15" s="192">
        <f t="shared" ref="DK15" si="116">+IF(DJ14=0,0,IF(DK4&gt;$B$10,0,$B$11))</f>
        <v>182319.05269627221</v>
      </c>
      <c r="DL15" s="192">
        <f t="shared" ref="DL15" si="117">+IF(DK14=0,0,IF(DL4&gt;$B$10,0,$B$11))</f>
        <v>182319.05269627221</v>
      </c>
      <c r="DM15" s="192">
        <f t="shared" ref="DM15" si="118">+IF(DL14=0,0,IF(DM4&gt;$B$10,0,$B$11))</f>
        <v>182319.05269627221</v>
      </c>
      <c r="DN15" s="192">
        <f t="shared" ref="DN15" si="119">+IF(DM14=0,0,IF(DN4&gt;$B$10,0,$B$11))</f>
        <v>182319.05269627221</v>
      </c>
      <c r="DO15" s="192">
        <f t="shared" ref="DO15" si="120">+IF(DN14=0,0,IF(DO4&gt;$B$10,0,$B$11))</f>
        <v>182319.05269627221</v>
      </c>
      <c r="DP15" s="192">
        <f t="shared" ref="DP15" si="121">+IF(DO14=0,0,IF(DP4&gt;$B$10,0,$B$11))</f>
        <v>182319.05269627221</v>
      </c>
      <c r="DQ15" s="192">
        <f t="shared" ref="DQ15" si="122">+IF(DP14=0,0,IF(DQ4&gt;$B$10,0,$B$11))</f>
        <v>182319.05269627221</v>
      </c>
      <c r="DR15" s="192">
        <f t="shared" ref="DR15" si="123">+IF(DQ14=0,0,IF(DR4&gt;$B$10,0,$B$11))</f>
        <v>182319.05269627221</v>
      </c>
      <c r="DS15" s="192">
        <f>+IF(DR14=0,0,IF(DS4&gt;$B$10,0,$B$11))</f>
        <v>0</v>
      </c>
      <c r="DT15" s="192">
        <f t="shared" ref="DT15:FZ15" si="124">+IF(DS14=0,0,IF(DT4&gt;$B$10,0,$B$11))</f>
        <v>0</v>
      </c>
      <c r="DU15" s="192">
        <f t="shared" si="124"/>
        <v>0</v>
      </c>
      <c r="DV15" s="192">
        <f t="shared" si="124"/>
        <v>0</v>
      </c>
      <c r="DW15" s="192">
        <f t="shared" si="124"/>
        <v>0</v>
      </c>
      <c r="DX15" s="192">
        <f t="shared" si="124"/>
        <v>0</v>
      </c>
      <c r="DY15" s="192">
        <f t="shared" si="124"/>
        <v>0</v>
      </c>
      <c r="DZ15" s="192">
        <f t="shared" si="124"/>
        <v>0</v>
      </c>
      <c r="EA15" s="192">
        <f t="shared" si="124"/>
        <v>0</v>
      </c>
      <c r="EB15" s="192">
        <f t="shared" si="124"/>
        <v>0</v>
      </c>
      <c r="EC15" s="192">
        <f t="shared" si="124"/>
        <v>0</v>
      </c>
      <c r="ED15" s="192">
        <f t="shared" si="124"/>
        <v>0</v>
      </c>
      <c r="EE15" s="192">
        <f t="shared" si="124"/>
        <v>0</v>
      </c>
      <c r="EF15" s="192">
        <f t="shared" si="124"/>
        <v>0</v>
      </c>
      <c r="EG15" s="192">
        <f t="shared" si="124"/>
        <v>0</v>
      </c>
      <c r="EH15" s="192">
        <f t="shared" si="124"/>
        <v>0</v>
      </c>
      <c r="EI15" s="192">
        <f t="shared" si="124"/>
        <v>0</v>
      </c>
      <c r="EJ15" s="192">
        <f t="shared" si="124"/>
        <v>0</v>
      </c>
      <c r="EK15" s="192">
        <f t="shared" si="124"/>
        <v>0</v>
      </c>
      <c r="EL15" s="192">
        <f t="shared" si="124"/>
        <v>0</v>
      </c>
      <c r="EM15" s="192">
        <f t="shared" si="124"/>
        <v>0</v>
      </c>
      <c r="EN15" s="192">
        <f t="shared" si="124"/>
        <v>0</v>
      </c>
      <c r="EO15" s="192">
        <f t="shared" si="124"/>
        <v>0</v>
      </c>
      <c r="EP15" s="192">
        <f t="shared" si="124"/>
        <v>0</v>
      </c>
      <c r="EQ15" s="192">
        <f t="shared" si="124"/>
        <v>0</v>
      </c>
      <c r="ER15" s="192">
        <f t="shared" si="124"/>
        <v>0</v>
      </c>
      <c r="ES15" s="192">
        <f t="shared" si="124"/>
        <v>0</v>
      </c>
      <c r="ET15" s="192">
        <f t="shared" si="124"/>
        <v>0</v>
      </c>
      <c r="EU15" s="192">
        <f t="shared" si="124"/>
        <v>0</v>
      </c>
      <c r="EV15" s="192">
        <f t="shared" si="124"/>
        <v>0</v>
      </c>
      <c r="EW15" s="192">
        <f t="shared" si="124"/>
        <v>0</v>
      </c>
      <c r="EX15" s="192">
        <f t="shared" si="124"/>
        <v>0</v>
      </c>
      <c r="EY15" s="192">
        <f t="shared" si="124"/>
        <v>0</v>
      </c>
      <c r="EZ15" s="192">
        <f t="shared" si="124"/>
        <v>0</v>
      </c>
      <c r="FA15" s="192">
        <f t="shared" si="124"/>
        <v>0</v>
      </c>
      <c r="FB15" s="192">
        <f t="shared" si="124"/>
        <v>0</v>
      </c>
      <c r="FC15" s="192">
        <f t="shared" si="124"/>
        <v>0</v>
      </c>
      <c r="FD15" s="192">
        <f t="shared" si="124"/>
        <v>0</v>
      </c>
      <c r="FE15" s="192">
        <f t="shared" si="124"/>
        <v>0</v>
      </c>
      <c r="FF15" s="192">
        <f t="shared" si="124"/>
        <v>0</v>
      </c>
      <c r="FG15" s="192">
        <f t="shared" si="124"/>
        <v>0</v>
      </c>
      <c r="FH15" s="192">
        <f t="shared" si="124"/>
        <v>0</v>
      </c>
      <c r="FI15" s="192">
        <f t="shared" si="124"/>
        <v>0</v>
      </c>
      <c r="FJ15" s="192">
        <f t="shared" si="124"/>
        <v>0</v>
      </c>
      <c r="FK15" s="192">
        <f t="shared" si="124"/>
        <v>0</v>
      </c>
      <c r="FL15" s="192">
        <f t="shared" si="124"/>
        <v>0</v>
      </c>
      <c r="FM15" s="192">
        <f t="shared" si="124"/>
        <v>0</v>
      </c>
      <c r="FN15" s="192">
        <f t="shared" si="124"/>
        <v>0</v>
      </c>
      <c r="FO15" s="192">
        <f t="shared" si="124"/>
        <v>0</v>
      </c>
      <c r="FP15" s="192">
        <f t="shared" si="124"/>
        <v>0</v>
      </c>
      <c r="FQ15" s="192">
        <f t="shared" si="124"/>
        <v>0</v>
      </c>
      <c r="FR15" s="192">
        <f t="shared" si="124"/>
        <v>0</v>
      </c>
      <c r="FS15" s="192">
        <f t="shared" si="124"/>
        <v>0</v>
      </c>
      <c r="FT15" s="192">
        <f t="shared" si="124"/>
        <v>0</v>
      </c>
      <c r="FU15" s="192">
        <f t="shared" si="124"/>
        <v>0</v>
      </c>
      <c r="FV15" s="192">
        <f t="shared" si="124"/>
        <v>0</v>
      </c>
      <c r="FW15" s="192">
        <f t="shared" si="124"/>
        <v>0</v>
      </c>
      <c r="FX15" s="192">
        <f t="shared" si="124"/>
        <v>0</v>
      </c>
      <c r="FY15" s="192">
        <f t="shared" si="124"/>
        <v>0</v>
      </c>
      <c r="FZ15" s="192">
        <f t="shared" si="124"/>
        <v>0</v>
      </c>
    </row>
    <row r="16" spans="1:182" outlineLevel="1" x14ac:dyDescent="0.2">
      <c r="A16" s="24" t="s">
        <v>233</v>
      </c>
      <c r="B16" s="192">
        <f>SUM(C16:DR16)</f>
        <v>9170553.1743526775</v>
      </c>
      <c r="C16" s="192">
        <f>+B14*($B$9/12)</f>
        <v>127077.331492</v>
      </c>
      <c r="D16" s="192">
        <f>+C14*($B$9/12)</f>
        <v>126524.91427995729</v>
      </c>
      <c r="E16" s="192">
        <f>+D14*($B$9/12)</f>
        <v>125966.97289579414</v>
      </c>
      <c r="F16" s="192">
        <f t="shared" ref="F16:G16" si="125">+E14*($B$9/12)</f>
        <v>125403.45209778937</v>
      </c>
      <c r="G16" s="192">
        <f t="shared" si="125"/>
        <v>124834.29609180454</v>
      </c>
      <c r="H16" s="192">
        <f>+G14*($B$9/12)</f>
        <v>124259.44852575986</v>
      </c>
      <c r="I16" s="192">
        <f t="shared" ref="I16:M16" si="126">+H14*($B$9/12)</f>
        <v>123678.85248405473</v>
      </c>
      <c r="J16" s="192">
        <f t="shared" si="126"/>
        <v>123092.45048193255</v>
      </c>
      <c r="K16" s="192">
        <f t="shared" si="126"/>
        <v>122500.18445978916</v>
      </c>
      <c r="L16" s="192">
        <f t="shared" si="126"/>
        <v>121901.99577742434</v>
      </c>
      <c r="M16" s="192">
        <f t="shared" si="126"/>
        <v>121297.82520823585</v>
      </c>
      <c r="N16" s="192">
        <f>+M14*($B$9/12)</f>
        <v>120687.61293335549</v>
      </c>
      <c r="O16" s="192">
        <f t="shared" ref="O16:P16" si="127">+N14*($B$9/12)</f>
        <v>120071.29853572631</v>
      </c>
      <c r="P16" s="192">
        <f t="shared" si="127"/>
        <v>119448.82099412086</v>
      </c>
      <c r="Q16" s="192">
        <f>+P14*($B$9/12)</f>
        <v>118820.11867709935</v>
      </c>
      <c r="R16" s="192">
        <f>+Q14*($B$9/12)</f>
        <v>118185.12933690763</v>
      </c>
      <c r="S16" s="192">
        <f t="shared" ref="S16:T16" si="128">+R14*($B$9/12)</f>
        <v>117543.79010331398</v>
      </c>
      <c r="T16" s="192">
        <f t="shared" si="128"/>
        <v>116896.03747738439</v>
      </c>
      <c r="U16" s="192">
        <f>+T14*($B$9/12)</f>
        <v>116241.80732519552</v>
      </c>
      <c r="V16" s="192">
        <f t="shared" ref="V16" si="129">+U14*($B$9/12)</f>
        <v>115581.03487148475</v>
      </c>
      <c r="W16" s="192">
        <f>+V14*($B$9/12)</f>
        <v>114913.65469323688</v>
      </c>
      <c r="X16" s="192">
        <f t="shared" ref="X16:Y16" si="130">+W14*($B$9/12)</f>
        <v>114239.60071320651</v>
      </c>
      <c r="Y16" s="192">
        <f t="shared" si="130"/>
        <v>113558.80619337584</v>
      </c>
      <c r="Z16" s="192">
        <f>+Y14*($B$9/12)</f>
        <v>112871.20372834688</v>
      </c>
      <c r="AA16" s="192">
        <f t="shared" ref="AA16:AB16" si="131">+Z14*($B$9/12)</f>
        <v>112176.72523866764</v>
      </c>
      <c r="AB16" s="192">
        <f t="shared" si="131"/>
        <v>111475.30196409159</v>
      </c>
      <c r="AC16" s="192">
        <f>+AB14*($B$9/12)</f>
        <v>110766.86445676979</v>
      </c>
      <c r="AD16" s="192">
        <f t="shared" ref="AD16:AE16" si="132">+AC14*($B$9/12)</f>
        <v>110051.34257437476</v>
      </c>
      <c r="AE16" s="192">
        <f t="shared" si="132"/>
        <v>109328.66547315579</v>
      </c>
      <c r="AF16" s="192">
        <f>+AE14*($B$9/12)</f>
        <v>108598.76160092463</v>
      </c>
      <c r="AG16" s="192">
        <f t="shared" ref="AG16:CL16" si="133">+AF14*($B$9/12)</f>
        <v>107861.55868997113</v>
      </c>
      <c r="AH16" s="192">
        <f t="shared" si="133"/>
        <v>107116.98374990813</v>
      </c>
      <c r="AI16" s="192">
        <f t="shared" si="133"/>
        <v>106364.9630604445</v>
      </c>
      <c r="AJ16" s="192">
        <f t="shared" si="133"/>
        <v>105605.42216408622</v>
      </c>
      <c r="AK16" s="192">
        <f t="shared" si="133"/>
        <v>104838.28585876436</v>
      </c>
      <c r="AL16" s="192">
        <f t="shared" si="133"/>
        <v>104063.47819038927</v>
      </c>
      <c r="AM16" s="192">
        <f t="shared" si="133"/>
        <v>103280.92244533045</v>
      </c>
      <c r="AN16" s="192">
        <f t="shared" si="133"/>
        <v>102490.54114282104</v>
      </c>
      <c r="AO16" s="192">
        <f t="shared" si="133"/>
        <v>101692.25602728652</v>
      </c>
      <c r="AP16" s="192">
        <f t="shared" si="133"/>
        <v>100885.98806059666</v>
      </c>
      <c r="AQ16" s="192">
        <f t="shared" si="133"/>
        <v>100071.6574142399</v>
      </c>
      <c r="AR16" s="192">
        <f t="shared" si="133"/>
        <v>99249.183461419583</v>
      </c>
      <c r="AS16" s="192">
        <f t="shared" si="133"/>
        <v>98418.484769071059</v>
      </c>
      <c r="AT16" s="192">
        <f t="shared" si="133"/>
        <v>97579.479089799061</v>
      </c>
      <c r="AU16" s="192">
        <f t="shared" si="133"/>
        <v>96732.083353734328</v>
      </c>
      <c r="AV16" s="192">
        <f t="shared" si="133"/>
        <v>95876.21366030896</v>
      </c>
      <c r="AW16" s="192">
        <f t="shared" si="133"/>
        <v>95011.785269949323</v>
      </c>
      <c r="AX16" s="192">
        <f t="shared" si="133"/>
        <v>94138.712595686098</v>
      </c>
      <c r="AY16" s="192">
        <f t="shared" si="133"/>
        <v>93256.909194680236</v>
      </c>
      <c r="AZ16" s="192">
        <f t="shared" si="133"/>
        <v>92366.287759664308</v>
      </c>
      <c r="BA16" s="192">
        <f t="shared" si="133"/>
        <v>91466.76011029823</v>
      </c>
      <c r="BB16" s="192">
        <f t="shared" si="133"/>
        <v>90558.237184438491</v>
      </c>
      <c r="BC16" s="192">
        <f t="shared" si="133"/>
        <v>89640.629029320145</v>
      </c>
      <c r="BD16" s="192">
        <f t="shared" si="133"/>
        <v>88713.84479265062</v>
      </c>
      <c r="BE16" s="192">
        <f t="shared" si="133"/>
        <v>87777.792713614399</v>
      </c>
      <c r="BF16" s="192">
        <f t="shared" si="133"/>
        <v>86832.380113787818</v>
      </c>
      <c r="BG16" s="192">
        <f t="shared" si="133"/>
        <v>85877.513387962972</v>
      </c>
      <c r="BH16" s="192">
        <f t="shared" si="133"/>
        <v>84913.097994879878</v>
      </c>
      <c r="BI16" s="192">
        <f t="shared" si="133"/>
        <v>83939.038447865954</v>
      </c>
      <c r="BJ16" s="192">
        <f t="shared" ref="BJ16:CA16" si="134">+BI14*($B$9/12)</f>
        <v>82955.238305381892</v>
      </c>
      <c r="BK16" s="192">
        <f t="shared" si="134"/>
        <v>81961.60016147299</v>
      </c>
      <c r="BL16" s="192">
        <f t="shared" si="134"/>
        <v>80958.025636124992</v>
      </c>
      <c r="BM16" s="192">
        <f t="shared" si="134"/>
        <v>79944.415365523528</v>
      </c>
      <c r="BN16" s="192">
        <f t="shared" si="134"/>
        <v>78920.668992216029</v>
      </c>
      <c r="BO16" s="192">
        <f t="shared" si="134"/>
        <v>77886.685155175466</v>
      </c>
      <c r="BP16" s="192">
        <f t="shared" si="134"/>
        <v>76842.361479764499</v>
      </c>
      <c r="BQ16" s="192">
        <f t="shared" si="134"/>
        <v>75787.594567599415</v>
      </c>
      <c r="BR16" s="192">
        <f t="shared" si="134"/>
        <v>74722.279986312686</v>
      </c>
      <c r="BS16" s="192">
        <f t="shared" si="134"/>
        <v>73646.312259213097</v>
      </c>
      <c r="BT16" s="192">
        <f t="shared" si="134"/>
        <v>72559.584854842513</v>
      </c>
      <c r="BU16" s="192">
        <f t="shared" si="134"/>
        <v>71461.990176428211</v>
      </c>
      <c r="BV16" s="192">
        <f t="shared" si="134"/>
        <v>70353.419551229774</v>
      </c>
      <c r="BW16" s="192">
        <f t="shared" si="134"/>
        <v>69233.763219779343</v>
      </c>
      <c r="BX16" s="192">
        <f t="shared" si="134"/>
        <v>68102.910325014425</v>
      </c>
      <c r="BY16" s="192">
        <f t="shared" si="134"/>
        <v>66960.748901301849</v>
      </c>
      <c r="BZ16" s="192">
        <f t="shared" si="134"/>
        <v>65807.165863352144</v>
      </c>
      <c r="CA16" s="192">
        <f t="shared" si="134"/>
        <v>64642.046995022938</v>
      </c>
      <c r="CB16" s="192">
        <f t="shared" si="133"/>
        <v>63465.276938010444</v>
      </c>
      <c r="CC16" s="192">
        <f t="shared" si="133"/>
        <v>62276.73918042783</v>
      </c>
      <c r="CD16" s="192">
        <f t="shared" si="133"/>
        <v>61076.316045269377</v>
      </c>
      <c r="CE16" s="192">
        <f t="shared" si="133"/>
        <v>59863.888678759358</v>
      </c>
      <c r="CF16" s="192">
        <f t="shared" si="133"/>
        <v>58639.337038584228</v>
      </c>
      <c r="CG16" s="192">
        <f t="shared" si="133"/>
        <v>57402.539882007353</v>
      </c>
      <c r="CH16" s="192">
        <f t="shared" si="133"/>
        <v>56153.374753864708</v>
      </c>
      <c r="CI16" s="192">
        <f t="shared" si="133"/>
        <v>54891.717974440631</v>
      </c>
      <c r="CJ16" s="192">
        <f t="shared" si="133"/>
        <v>53617.444627222314</v>
      </c>
      <c r="CK16" s="192">
        <f t="shared" si="133"/>
        <v>52330.428546531817</v>
      </c>
      <c r="CL16" s="192">
        <f t="shared" si="133"/>
        <v>51030.542305034411</v>
      </c>
      <c r="CM16" s="192">
        <f t="shared" ref="CM16:DR16" si="135">+CL14*($B$9/12)</f>
        <v>49717.657201122027</v>
      </c>
      <c r="CN16" s="192">
        <f t="shared" si="135"/>
        <v>48391.643246170526</v>
      </c>
      <c r="CO16" s="192">
        <f t="shared" si="135"/>
        <v>47052.369151669511</v>
      </c>
      <c r="CP16" s="192">
        <f t="shared" si="135"/>
        <v>45699.702316223476</v>
      </c>
      <c r="CQ16" s="192">
        <f t="shared" si="135"/>
        <v>44333.508812422988</v>
      </c>
      <c r="CR16" s="192">
        <f t="shared" si="135"/>
        <v>42953.653373584493</v>
      </c>
      <c r="CS16" s="192">
        <f t="shared" si="135"/>
        <v>41559.999380357622</v>
      </c>
      <c r="CT16" s="192">
        <f t="shared" si="135"/>
        <v>40152.408847198472</v>
      </c>
      <c r="CU16" s="192">
        <f t="shared" si="135"/>
        <v>38730.742408707731</v>
      </c>
      <c r="CV16" s="192">
        <f t="shared" si="135"/>
        <v>37294.859305832091</v>
      </c>
      <c r="CW16" s="192">
        <f t="shared" si="135"/>
        <v>35844.617371927685</v>
      </c>
      <c r="CX16" s="192">
        <f t="shared" si="135"/>
        <v>34379.873018684244</v>
      </c>
      <c r="CY16" s="192">
        <f t="shared" si="135"/>
        <v>32900.481221908361</v>
      </c>
      <c r="CZ16" s="192">
        <f t="shared" si="135"/>
        <v>31406.295507164723</v>
      </c>
      <c r="DA16" s="192">
        <f t="shared" si="135"/>
        <v>29897.167935273646</v>
      </c>
      <c r="DB16" s="192">
        <f t="shared" si="135"/>
        <v>28372.949087663663</v>
      </c>
      <c r="DC16" s="192">
        <f t="shared" si="135"/>
        <v>26833.488051577573</v>
      </c>
      <c r="DD16" s="192">
        <f t="shared" si="135"/>
        <v>25278.632405130626</v>
      </c>
      <c r="DE16" s="192">
        <f t="shared" si="135"/>
        <v>23708.228202219208</v>
      </c>
      <c r="DF16" s="192">
        <f t="shared" si="135"/>
        <v>22122.119957278679</v>
      </c>
      <c r="DG16" s="192">
        <f t="shared" si="135"/>
        <v>20520.150629888743</v>
      </c>
      <c r="DH16" s="192">
        <f t="shared" si="135"/>
        <v>18902.16160922491</v>
      </c>
      <c r="DI16" s="192">
        <f t="shared" si="135"/>
        <v>17267.992698354436</v>
      </c>
      <c r="DJ16" s="192">
        <f t="shared" si="135"/>
        <v>15617.482098375256</v>
      </c>
      <c r="DK16" s="192">
        <f t="shared" si="135"/>
        <v>13950.466392396285</v>
      </c>
      <c r="DL16" s="192">
        <f t="shared" si="135"/>
        <v>12266.780529357526</v>
      </c>
      <c r="DM16" s="192">
        <f t="shared" si="135"/>
        <v>10566.257807688378</v>
      </c>
      <c r="DN16" s="192">
        <f t="shared" si="135"/>
        <v>8848.7298588025405</v>
      </c>
      <c r="DO16" s="192">
        <f t="shared" si="135"/>
        <v>7114.026630427843</v>
      </c>
      <c r="DP16" s="192">
        <f t="shared" si="135"/>
        <v>5361.9763697693998</v>
      </c>
      <c r="DQ16" s="192">
        <f t="shared" si="135"/>
        <v>3592.4056065043715</v>
      </c>
      <c r="DR16" s="192">
        <f t="shared" si="135"/>
        <v>1805.1391356066931</v>
      </c>
      <c r="DS16" s="192">
        <f t="shared" ref="DS16:EX16" si="136">+DR14*($B$9/12)</f>
        <v>3.8126017898321153E-11</v>
      </c>
      <c r="DT16" s="192">
        <f t="shared" si="136"/>
        <v>3.8507278077304362E-11</v>
      </c>
      <c r="DU16" s="192">
        <f t="shared" si="136"/>
        <v>3.8892350858077411E-11</v>
      </c>
      <c r="DV16" s="192">
        <f t="shared" si="136"/>
        <v>3.9281274366658183E-11</v>
      </c>
      <c r="DW16" s="192">
        <f t="shared" si="136"/>
        <v>3.9674087110324766E-11</v>
      </c>
      <c r="DX16" s="192">
        <f t="shared" si="136"/>
        <v>4.0070827981428015E-11</v>
      </c>
      <c r="DY16" s="192">
        <f t="shared" si="136"/>
        <v>4.0471536261242299E-11</v>
      </c>
      <c r="DZ16" s="192">
        <f t="shared" si="136"/>
        <v>4.0876251623854725E-11</v>
      </c>
      <c r="EA16" s="192">
        <f t="shared" si="136"/>
        <v>4.1285014140093271E-11</v>
      </c>
      <c r="EB16" s="192">
        <f t="shared" si="136"/>
        <v>4.1697864281494206E-11</v>
      </c>
      <c r="EC16" s="192">
        <f t="shared" si="136"/>
        <v>4.2114842924309149E-11</v>
      </c>
      <c r="ED16" s="192">
        <f t="shared" si="136"/>
        <v>4.253599135355224E-11</v>
      </c>
      <c r="EE16" s="192">
        <f t="shared" si="136"/>
        <v>4.2961351267087764E-11</v>
      </c>
      <c r="EF16" s="192">
        <f t="shared" si="136"/>
        <v>4.3390964779758638E-11</v>
      </c>
      <c r="EG16" s="192">
        <f t="shared" si="136"/>
        <v>4.3824874427556223E-11</v>
      </c>
      <c r="EH16" s="192">
        <f t="shared" si="136"/>
        <v>4.426312317183179E-11</v>
      </c>
      <c r="EI16" s="192">
        <f t="shared" si="136"/>
        <v>4.4705754403550109E-11</v>
      </c>
      <c r="EJ16" s="192">
        <f t="shared" si="136"/>
        <v>4.5152811947585605E-11</v>
      </c>
      <c r="EK16" s="192">
        <f t="shared" si="136"/>
        <v>4.5604340067061465E-11</v>
      </c>
      <c r="EL16" s="192">
        <f t="shared" si="136"/>
        <v>4.6060383467732084E-11</v>
      </c>
      <c r="EM16" s="192">
        <f t="shared" si="136"/>
        <v>4.6520987302409399E-11</v>
      </c>
      <c r="EN16" s="192">
        <f t="shared" si="136"/>
        <v>4.6986197175433491E-11</v>
      </c>
      <c r="EO16" s="192">
        <f t="shared" si="136"/>
        <v>4.7456059147187836E-11</v>
      </c>
      <c r="EP16" s="192">
        <f t="shared" si="136"/>
        <v>4.7930619738659709E-11</v>
      </c>
      <c r="EQ16" s="192">
        <f t="shared" si="136"/>
        <v>4.8409925936046305E-11</v>
      </c>
      <c r="ER16" s="192">
        <f t="shared" si="136"/>
        <v>4.8894025195406765E-11</v>
      </c>
      <c r="ES16" s="192">
        <f t="shared" si="136"/>
        <v>4.9382965447360828E-11</v>
      </c>
      <c r="ET16" s="192">
        <f t="shared" si="136"/>
        <v>4.9876795101834442E-11</v>
      </c>
      <c r="EU16" s="192">
        <f t="shared" si="136"/>
        <v>5.0375563052852785E-11</v>
      </c>
      <c r="EV16" s="192">
        <f t="shared" si="136"/>
        <v>5.0879318683381309E-11</v>
      </c>
      <c r="EW16" s="192">
        <f t="shared" si="136"/>
        <v>5.1388111870215122E-11</v>
      </c>
      <c r="EX16" s="192">
        <f t="shared" si="136"/>
        <v>5.1901992988917276E-11</v>
      </c>
      <c r="EY16" s="192">
        <f t="shared" ref="EY16:FZ16" si="137">+EX14*($B$9/12)</f>
        <v>5.2421012918806447E-11</v>
      </c>
      <c r="EZ16" s="192">
        <f t="shared" si="137"/>
        <v>5.2945223047994516E-11</v>
      </c>
      <c r="FA16" s="192">
        <f t="shared" si="137"/>
        <v>5.3474675278474458E-11</v>
      </c>
      <c r="FB16" s="192">
        <f t="shared" si="137"/>
        <v>5.4009422031259199E-11</v>
      </c>
      <c r="FC16" s="192">
        <f t="shared" si="137"/>
        <v>5.454951625157179E-11</v>
      </c>
      <c r="FD16" s="192">
        <f t="shared" si="137"/>
        <v>5.5095011414087511E-11</v>
      </c>
      <c r="FE16" s="192">
        <f t="shared" si="137"/>
        <v>5.5645961528228386E-11</v>
      </c>
      <c r="FF16" s="192">
        <f t="shared" si="137"/>
        <v>5.6202421143510672E-11</v>
      </c>
      <c r="FG16" s="192">
        <f t="shared" si="137"/>
        <v>5.6764445354945773E-11</v>
      </c>
      <c r="FH16" s="192">
        <f t="shared" si="137"/>
        <v>5.7332089808495237E-11</v>
      </c>
      <c r="FI16" s="192">
        <f t="shared" si="137"/>
        <v>5.790541070658019E-11</v>
      </c>
      <c r="FJ16" s="192">
        <f t="shared" si="137"/>
        <v>5.8484464813645992E-11</v>
      </c>
      <c r="FK16" s="192">
        <f t="shared" si="137"/>
        <v>5.9069309461782448E-11</v>
      </c>
      <c r="FL16" s="192">
        <f t="shared" si="137"/>
        <v>5.9660002556400278E-11</v>
      </c>
      <c r="FM16" s="192">
        <f t="shared" si="137"/>
        <v>6.0256602581964287E-11</v>
      </c>
      <c r="FN16" s="192">
        <f t="shared" si="137"/>
        <v>6.0859168607783927E-11</v>
      </c>
      <c r="FO16" s="192">
        <f t="shared" si="137"/>
        <v>6.1467760293861762E-11</v>
      </c>
      <c r="FP16" s="192">
        <f t="shared" si="137"/>
        <v>6.2082437896800384E-11</v>
      </c>
      <c r="FQ16" s="192">
        <f t="shared" si="137"/>
        <v>6.270326227576839E-11</v>
      </c>
      <c r="FR16" s="192">
        <f t="shared" si="137"/>
        <v>6.3330294898526069E-11</v>
      </c>
      <c r="FS16" s="192">
        <f t="shared" si="137"/>
        <v>6.3963597847511323E-11</v>
      </c>
      <c r="FT16" s="192">
        <f t="shared" si="137"/>
        <v>6.4603233825986436E-11</v>
      </c>
      <c r="FU16" s="192">
        <f t="shared" si="137"/>
        <v>6.5249266164246298E-11</v>
      </c>
      <c r="FV16" s="192">
        <f t="shared" si="137"/>
        <v>6.590175882588877E-11</v>
      </c>
      <c r="FW16" s="192">
        <f t="shared" si="137"/>
        <v>6.6560776414147654E-11</v>
      </c>
      <c r="FX16" s="192">
        <f t="shared" si="137"/>
        <v>6.722638417828913E-11</v>
      </c>
      <c r="FY16" s="192">
        <f t="shared" si="137"/>
        <v>6.789864802007203E-11</v>
      </c>
      <c r="FZ16" s="192">
        <f t="shared" si="137"/>
        <v>6.8577634500272749E-11</v>
      </c>
    </row>
    <row r="17" spans="1:182" outlineLevel="1" x14ac:dyDescent="0.2">
      <c r="A17" s="24" t="s">
        <v>234</v>
      </c>
      <c r="B17" s="192">
        <f>SUM(C17:DR17)</f>
        <v>12707733.149199998</v>
      </c>
      <c r="C17" s="192">
        <f>+C15-C16</f>
        <v>55241.721204272209</v>
      </c>
      <c r="D17" s="192">
        <f t="shared" ref="D17:E17" si="138">+D15-D16</f>
        <v>55794.13841631492</v>
      </c>
      <c r="E17" s="192">
        <f t="shared" si="138"/>
        <v>56352.079800478066</v>
      </c>
      <c r="F17" s="192">
        <f t="shared" ref="F17:I17" si="139">+F15-F16</f>
        <v>56915.600598482837</v>
      </c>
      <c r="G17" s="192">
        <f t="shared" si="139"/>
        <v>57484.756604467664</v>
      </c>
      <c r="H17" s="192">
        <f t="shared" si="139"/>
        <v>58059.60417051235</v>
      </c>
      <c r="I17" s="192">
        <f t="shared" si="139"/>
        <v>58640.200212217474</v>
      </c>
      <c r="J17" s="192">
        <f t="shared" ref="J17:AA17" si="140">+J15-J16</f>
        <v>59226.602214339655</v>
      </c>
      <c r="K17" s="192">
        <f t="shared" si="140"/>
        <v>59818.868236483046</v>
      </c>
      <c r="L17" s="192">
        <f t="shared" si="140"/>
        <v>60417.056918847869</v>
      </c>
      <c r="M17" s="192">
        <f t="shared" si="140"/>
        <v>61021.227488036355</v>
      </c>
      <c r="N17" s="192">
        <f t="shared" si="140"/>
        <v>61631.439762916722</v>
      </c>
      <c r="O17" s="192">
        <f t="shared" si="140"/>
        <v>62247.754160545897</v>
      </c>
      <c r="P17" s="192">
        <f t="shared" si="140"/>
        <v>62870.231702151345</v>
      </c>
      <c r="Q17" s="192">
        <f t="shared" si="140"/>
        <v>63498.934019172855</v>
      </c>
      <c r="R17" s="192">
        <f t="shared" si="140"/>
        <v>64133.923359364577</v>
      </c>
      <c r="S17" s="192">
        <f t="shared" si="140"/>
        <v>64775.262592958228</v>
      </c>
      <c r="T17" s="192">
        <f t="shared" si="140"/>
        <v>65423.015218887813</v>
      </c>
      <c r="U17" s="192">
        <f t="shared" si="140"/>
        <v>66077.245371076686</v>
      </c>
      <c r="V17" s="192">
        <f t="shared" si="140"/>
        <v>66738.017824787457</v>
      </c>
      <c r="W17" s="192">
        <f t="shared" si="140"/>
        <v>67405.398003035327</v>
      </c>
      <c r="X17" s="192">
        <f t="shared" si="140"/>
        <v>68079.451983065694</v>
      </c>
      <c r="Y17" s="192">
        <f t="shared" si="140"/>
        <v>68760.246502896363</v>
      </c>
      <c r="Z17" s="192">
        <f t="shared" si="140"/>
        <v>69447.848967925325</v>
      </c>
      <c r="AA17" s="192">
        <f t="shared" si="140"/>
        <v>70142.327457604566</v>
      </c>
      <c r="AB17" s="192">
        <f t="shared" ref="AB17:BD17" si="141">+AB15-AB16</f>
        <v>70843.750732180619</v>
      </c>
      <c r="AC17" s="192">
        <f t="shared" si="141"/>
        <v>71552.188239502415</v>
      </c>
      <c r="AD17" s="192">
        <f t="shared" si="141"/>
        <v>72267.710121897442</v>
      </c>
      <c r="AE17" s="192">
        <f t="shared" si="141"/>
        <v>72990.387223116413</v>
      </c>
      <c r="AF17" s="192">
        <f t="shared" si="141"/>
        <v>73720.29109534758</v>
      </c>
      <c r="AG17" s="192">
        <f t="shared" si="141"/>
        <v>74457.494006301073</v>
      </c>
      <c r="AH17" s="192">
        <f t="shared" si="141"/>
        <v>75202.068946364074</v>
      </c>
      <c r="AI17" s="192">
        <f t="shared" si="141"/>
        <v>75954.08963582771</v>
      </c>
      <c r="AJ17" s="192">
        <f t="shared" si="141"/>
        <v>76713.630532185984</v>
      </c>
      <c r="AK17" s="192">
        <f t="shared" si="141"/>
        <v>77480.76683750785</v>
      </c>
      <c r="AL17" s="192">
        <f t="shared" si="141"/>
        <v>78255.574505882934</v>
      </c>
      <c r="AM17" s="192">
        <f t="shared" si="141"/>
        <v>79038.130250941758</v>
      </c>
      <c r="AN17" s="192">
        <f t="shared" si="141"/>
        <v>79828.511553451171</v>
      </c>
      <c r="AO17" s="192">
        <f t="shared" si="141"/>
        <v>80626.796668985684</v>
      </c>
      <c r="AP17" s="192">
        <f t="shared" si="141"/>
        <v>81433.064635675546</v>
      </c>
      <c r="AQ17" s="192">
        <f t="shared" si="141"/>
        <v>82247.395282032303</v>
      </c>
      <c r="AR17" s="192">
        <f t="shared" si="141"/>
        <v>83069.869234852624</v>
      </c>
      <c r="AS17" s="192">
        <f t="shared" si="141"/>
        <v>83900.567927201148</v>
      </c>
      <c r="AT17" s="192">
        <f t="shared" si="141"/>
        <v>84739.573606473146</v>
      </c>
      <c r="AU17" s="192">
        <f t="shared" si="141"/>
        <v>85586.969342537879</v>
      </c>
      <c r="AV17" s="192">
        <f t="shared" si="141"/>
        <v>86442.839035963247</v>
      </c>
      <c r="AW17" s="192">
        <f t="shared" si="141"/>
        <v>87307.267426322884</v>
      </c>
      <c r="AX17" s="192">
        <f t="shared" si="141"/>
        <v>88180.340100586109</v>
      </c>
      <c r="AY17" s="192">
        <f t="shared" si="141"/>
        <v>89062.143501591971</v>
      </c>
      <c r="AZ17" s="192">
        <f t="shared" si="141"/>
        <v>89952.764936607899</v>
      </c>
      <c r="BA17" s="192">
        <f t="shared" si="141"/>
        <v>90852.292585973977</v>
      </c>
      <c r="BB17" s="192">
        <f t="shared" si="141"/>
        <v>91760.815511833716</v>
      </c>
      <c r="BC17" s="192">
        <f t="shared" si="141"/>
        <v>92678.423666952061</v>
      </c>
      <c r="BD17" s="192">
        <f t="shared" si="141"/>
        <v>93605.207903621587</v>
      </c>
      <c r="BE17" s="192">
        <f t="shared" ref="BE17:DP17" si="142">+BE15-BE16</f>
        <v>94541.259982657808</v>
      </c>
      <c r="BF17" s="192">
        <f t="shared" si="142"/>
        <v>95486.672582484389</v>
      </c>
      <c r="BG17" s="192">
        <f t="shared" si="142"/>
        <v>96441.539308309235</v>
      </c>
      <c r="BH17" s="192">
        <f t="shared" si="142"/>
        <v>97405.954701392329</v>
      </c>
      <c r="BI17" s="192">
        <f t="shared" si="142"/>
        <v>98380.014248406253</v>
      </c>
      <c r="BJ17" s="192">
        <f t="shared" si="142"/>
        <v>99363.814390890315</v>
      </c>
      <c r="BK17" s="192">
        <f t="shared" si="142"/>
        <v>100357.45253479922</v>
      </c>
      <c r="BL17" s="192">
        <f t="shared" si="142"/>
        <v>101361.02706014721</v>
      </c>
      <c r="BM17" s="192">
        <f t="shared" si="142"/>
        <v>102374.63733074868</v>
      </c>
      <c r="BN17" s="192">
        <f t="shared" si="142"/>
        <v>103398.38370405618</v>
      </c>
      <c r="BO17" s="192">
        <f t="shared" si="142"/>
        <v>104432.36754109674</v>
      </c>
      <c r="BP17" s="192">
        <f t="shared" si="142"/>
        <v>105476.69121650771</v>
      </c>
      <c r="BQ17" s="192">
        <f t="shared" si="142"/>
        <v>106531.45812867279</v>
      </c>
      <c r="BR17" s="192">
        <f t="shared" si="142"/>
        <v>107596.77270995952</v>
      </c>
      <c r="BS17" s="192">
        <f t="shared" si="142"/>
        <v>108672.74043705911</v>
      </c>
      <c r="BT17" s="192">
        <f t="shared" si="142"/>
        <v>109759.46784142969</v>
      </c>
      <c r="BU17" s="192">
        <f t="shared" si="142"/>
        <v>110857.062519844</v>
      </c>
      <c r="BV17" s="192">
        <f t="shared" si="142"/>
        <v>111965.63314504243</v>
      </c>
      <c r="BW17" s="192">
        <f t="shared" si="142"/>
        <v>113085.28947649286</v>
      </c>
      <c r="BX17" s="192">
        <f t="shared" si="142"/>
        <v>114216.14237125778</v>
      </c>
      <c r="BY17" s="192">
        <f t="shared" si="142"/>
        <v>115358.30379497036</v>
      </c>
      <c r="BZ17" s="192">
        <f t="shared" si="142"/>
        <v>116511.88683292006</v>
      </c>
      <c r="CA17" s="192">
        <f t="shared" si="142"/>
        <v>117677.00570124926</v>
      </c>
      <c r="CB17" s="192">
        <f t="shared" si="142"/>
        <v>118853.77575826176</v>
      </c>
      <c r="CC17" s="192">
        <f t="shared" si="142"/>
        <v>120042.31351584438</v>
      </c>
      <c r="CD17" s="192">
        <f t="shared" si="142"/>
        <v>121242.73665100284</v>
      </c>
      <c r="CE17" s="192">
        <f t="shared" si="142"/>
        <v>122455.16401751284</v>
      </c>
      <c r="CF17" s="192">
        <f t="shared" si="142"/>
        <v>123679.71565768798</v>
      </c>
      <c r="CG17" s="192">
        <f t="shared" si="142"/>
        <v>124916.51281426486</v>
      </c>
      <c r="CH17" s="192">
        <f t="shared" si="142"/>
        <v>126165.67794240749</v>
      </c>
      <c r="CI17" s="192">
        <f t="shared" si="142"/>
        <v>127427.33472183158</v>
      </c>
      <c r="CJ17" s="192">
        <f t="shared" si="142"/>
        <v>128701.60806904989</v>
      </c>
      <c r="CK17" s="192">
        <f t="shared" si="142"/>
        <v>129988.62414974038</v>
      </c>
      <c r="CL17" s="192">
        <f t="shared" si="142"/>
        <v>131288.5103912378</v>
      </c>
      <c r="CM17" s="192">
        <f t="shared" si="142"/>
        <v>132601.39549515018</v>
      </c>
      <c r="CN17" s="192">
        <f t="shared" si="142"/>
        <v>133927.40945010167</v>
      </c>
      <c r="CO17" s="192">
        <f t="shared" si="142"/>
        <v>135266.68354460271</v>
      </c>
      <c r="CP17" s="192">
        <f t="shared" si="142"/>
        <v>136619.35038004874</v>
      </c>
      <c r="CQ17" s="192">
        <f t="shared" si="142"/>
        <v>137985.54388384923</v>
      </c>
      <c r="CR17" s="192">
        <f t="shared" si="142"/>
        <v>139365.39932268771</v>
      </c>
      <c r="CS17" s="192">
        <f t="shared" si="142"/>
        <v>140759.05331591459</v>
      </c>
      <c r="CT17" s="192">
        <f t="shared" si="142"/>
        <v>142166.64384907373</v>
      </c>
      <c r="CU17" s="192">
        <f t="shared" si="142"/>
        <v>143588.31028756447</v>
      </c>
      <c r="CV17" s="192">
        <f t="shared" si="142"/>
        <v>145024.19339044011</v>
      </c>
      <c r="CW17" s="192">
        <f t="shared" si="142"/>
        <v>146474.43532434452</v>
      </c>
      <c r="CX17" s="192">
        <f t="shared" si="142"/>
        <v>147939.17967758796</v>
      </c>
      <c r="CY17" s="192">
        <f t="shared" si="142"/>
        <v>149418.57147436385</v>
      </c>
      <c r="CZ17" s="192">
        <f t="shared" si="142"/>
        <v>150912.75718910748</v>
      </c>
      <c r="DA17" s="192">
        <f t="shared" si="142"/>
        <v>152421.88476099857</v>
      </c>
      <c r="DB17" s="192">
        <f t="shared" si="142"/>
        <v>153946.10360860854</v>
      </c>
      <c r="DC17" s="192">
        <f t="shared" si="142"/>
        <v>155485.56464469462</v>
      </c>
      <c r="DD17" s="192">
        <f t="shared" si="142"/>
        <v>157040.42029114158</v>
      </c>
      <c r="DE17" s="192">
        <f t="shared" si="142"/>
        <v>158610.824494053</v>
      </c>
      <c r="DF17" s="192">
        <f t="shared" si="142"/>
        <v>160196.93273899352</v>
      </c>
      <c r="DG17" s="192">
        <f t="shared" si="142"/>
        <v>161798.90206638345</v>
      </c>
      <c r="DH17" s="192">
        <f t="shared" si="142"/>
        <v>163416.89108704729</v>
      </c>
      <c r="DI17" s="192">
        <f t="shared" si="142"/>
        <v>165051.05999791776</v>
      </c>
      <c r="DJ17" s="192">
        <f t="shared" si="142"/>
        <v>166701.57059789696</v>
      </c>
      <c r="DK17" s="192">
        <f t="shared" si="142"/>
        <v>168368.58630387593</v>
      </c>
      <c r="DL17" s="192">
        <f t="shared" si="142"/>
        <v>170052.27216691468</v>
      </c>
      <c r="DM17" s="192">
        <f t="shared" si="142"/>
        <v>171752.79488858383</v>
      </c>
      <c r="DN17" s="192">
        <f t="shared" si="142"/>
        <v>173470.32283746966</v>
      </c>
      <c r="DO17" s="192">
        <f t="shared" si="142"/>
        <v>175205.02606584437</v>
      </c>
      <c r="DP17" s="192">
        <f t="shared" si="142"/>
        <v>176957.07632650281</v>
      </c>
      <c r="DQ17" s="192">
        <f t="shared" ref="DQ17:DR17" si="143">+DQ15-DQ16</f>
        <v>178726.64708976782</v>
      </c>
      <c r="DR17" s="192">
        <f t="shared" si="143"/>
        <v>180513.9135606655</v>
      </c>
      <c r="DS17" s="192">
        <f t="shared" ref="DS17:EX17" si="144">+DS15-DS16</f>
        <v>-3.8126017898321153E-11</v>
      </c>
      <c r="DT17" s="192">
        <f t="shared" si="144"/>
        <v>-3.8507278077304362E-11</v>
      </c>
      <c r="DU17" s="192">
        <f t="shared" si="144"/>
        <v>-3.8892350858077411E-11</v>
      </c>
      <c r="DV17" s="192">
        <f t="shared" si="144"/>
        <v>-3.9281274366658183E-11</v>
      </c>
      <c r="DW17" s="192">
        <f t="shared" si="144"/>
        <v>-3.9674087110324766E-11</v>
      </c>
      <c r="DX17" s="192">
        <f t="shared" si="144"/>
        <v>-4.0070827981428015E-11</v>
      </c>
      <c r="DY17" s="192">
        <f t="shared" si="144"/>
        <v>-4.0471536261242299E-11</v>
      </c>
      <c r="DZ17" s="192">
        <f t="shared" si="144"/>
        <v>-4.0876251623854725E-11</v>
      </c>
      <c r="EA17" s="192">
        <f t="shared" si="144"/>
        <v>-4.1285014140093271E-11</v>
      </c>
      <c r="EB17" s="192">
        <f t="shared" si="144"/>
        <v>-4.1697864281494206E-11</v>
      </c>
      <c r="EC17" s="192">
        <f t="shared" si="144"/>
        <v>-4.2114842924309149E-11</v>
      </c>
      <c r="ED17" s="192">
        <f t="shared" si="144"/>
        <v>-4.253599135355224E-11</v>
      </c>
      <c r="EE17" s="192">
        <f t="shared" si="144"/>
        <v>-4.2961351267087764E-11</v>
      </c>
      <c r="EF17" s="192">
        <f t="shared" si="144"/>
        <v>-4.3390964779758638E-11</v>
      </c>
      <c r="EG17" s="192">
        <f t="shared" si="144"/>
        <v>-4.3824874427556223E-11</v>
      </c>
      <c r="EH17" s="192">
        <f t="shared" si="144"/>
        <v>-4.426312317183179E-11</v>
      </c>
      <c r="EI17" s="192">
        <f t="shared" si="144"/>
        <v>-4.4705754403550109E-11</v>
      </c>
      <c r="EJ17" s="192">
        <f t="shared" si="144"/>
        <v>-4.5152811947585605E-11</v>
      </c>
      <c r="EK17" s="192">
        <f t="shared" si="144"/>
        <v>-4.5604340067061465E-11</v>
      </c>
      <c r="EL17" s="192">
        <f t="shared" si="144"/>
        <v>-4.6060383467732084E-11</v>
      </c>
      <c r="EM17" s="192">
        <f t="shared" si="144"/>
        <v>-4.6520987302409399E-11</v>
      </c>
      <c r="EN17" s="192">
        <f t="shared" si="144"/>
        <v>-4.6986197175433491E-11</v>
      </c>
      <c r="EO17" s="192">
        <f t="shared" si="144"/>
        <v>-4.7456059147187836E-11</v>
      </c>
      <c r="EP17" s="192">
        <f t="shared" si="144"/>
        <v>-4.7930619738659709E-11</v>
      </c>
      <c r="EQ17" s="192">
        <f t="shared" si="144"/>
        <v>-4.8409925936046305E-11</v>
      </c>
      <c r="ER17" s="192">
        <f t="shared" si="144"/>
        <v>-4.8894025195406765E-11</v>
      </c>
      <c r="ES17" s="192">
        <f t="shared" si="144"/>
        <v>-4.9382965447360828E-11</v>
      </c>
      <c r="ET17" s="192">
        <f t="shared" si="144"/>
        <v>-4.9876795101834442E-11</v>
      </c>
      <c r="EU17" s="192">
        <f t="shared" si="144"/>
        <v>-5.0375563052852785E-11</v>
      </c>
      <c r="EV17" s="192">
        <f t="shared" si="144"/>
        <v>-5.0879318683381309E-11</v>
      </c>
      <c r="EW17" s="192">
        <f t="shared" si="144"/>
        <v>-5.1388111870215122E-11</v>
      </c>
      <c r="EX17" s="192">
        <f t="shared" si="144"/>
        <v>-5.1901992988917276E-11</v>
      </c>
      <c r="EY17" s="192">
        <f t="shared" ref="EY17:FZ17" si="145">+EY15-EY16</f>
        <v>-5.2421012918806447E-11</v>
      </c>
      <c r="EZ17" s="192">
        <f t="shared" si="145"/>
        <v>-5.2945223047994516E-11</v>
      </c>
      <c r="FA17" s="192">
        <f t="shared" si="145"/>
        <v>-5.3474675278474458E-11</v>
      </c>
      <c r="FB17" s="192">
        <f t="shared" si="145"/>
        <v>-5.4009422031259199E-11</v>
      </c>
      <c r="FC17" s="192">
        <f t="shared" si="145"/>
        <v>-5.454951625157179E-11</v>
      </c>
      <c r="FD17" s="192">
        <f t="shared" si="145"/>
        <v>-5.5095011414087511E-11</v>
      </c>
      <c r="FE17" s="192">
        <f t="shared" si="145"/>
        <v>-5.5645961528228386E-11</v>
      </c>
      <c r="FF17" s="192">
        <f t="shared" si="145"/>
        <v>-5.6202421143510672E-11</v>
      </c>
      <c r="FG17" s="192">
        <f t="shared" si="145"/>
        <v>-5.6764445354945773E-11</v>
      </c>
      <c r="FH17" s="192">
        <f t="shared" si="145"/>
        <v>-5.7332089808495237E-11</v>
      </c>
      <c r="FI17" s="192">
        <f t="shared" si="145"/>
        <v>-5.790541070658019E-11</v>
      </c>
      <c r="FJ17" s="192">
        <f t="shared" si="145"/>
        <v>-5.8484464813645992E-11</v>
      </c>
      <c r="FK17" s="192">
        <f t="shared" si="145"/>
        <v>-5.9069309461782448E-11</v>
      </c>
      <c r="FL17" s="192">
        <f t="shared" si="145"/>
        <v>-5.9660002556400278E-11</v>
      </c>
      <c r="FM17" s="192">
        <f t="shared" si="145"/>
        <v>-6.0256602581964287E-11</v>
      </c>
      <c r="FN17" s="192">
        <f t="shared" si="145"/>
        <v>-6.0859168607783927E-11</v>
      </c>
      <c r="FO17" s="192">
        <f t="shared" si="145"/>
        <v>-6.1467760293861762E-11</v>
      </c>
      <c r="FP17" s="192">
        <f t="shared" si="145"/>
        <v>-6.2082437896800384E-11</v>
      </c>
      <c r="FQ17" s="192">
        <f t="shared" si="145"/>
        <v>-6.270326227576839E-11</v>
      </c>
      <c r="FR17" s="192">
        <f t="shared" si="145"/>
        <v>-6.3330294898526069E-11</v>
      </c>
      <c r="FS17" s="192">
        <f t="shared" si="145"/>
        <v>-6.3963597847511323E-11</v>
      </c>
      <c r="FT17" s="192">
        <f t="shared" si="145"/>
        <v>-6.4603233825986436E-11</v>
      </c>
      <c r="FU17" s="192">
        <f t="shared" si="145"/>
        <v>-6.5249266164246298E-11</v>
      </c>
      <c r="FV17" s="192">
        <f t="shared" si="145"/>
        <v>-6.590175882588877E-11</v>
      </c>
      <c r="FW17" s="192">
        <f t="shared" si="145"/>
        <v>-6.6560776414147654E-11</v>
      </c>
      <c r="FX17" s="192">
        <f t="shared" si="145"/>
        <v>-6.722638417828913E-11</v>
      </c>
      <c r="FY17" s="192">
        <f t="shared" si="145"/>
        <v>-6.789864802007203E-11</v>
      </c>
      <c r="FZ17" s="192">
        <f t="shared" si="145"/>
        <v>-6.8577634500272749E-11</v>
      </c>
    </row>
    <row r="18" spans="1:182" x14ac:dyDescent="0.2">
      <c r="B18" s="24" t="s">
        <v>183</v>
      </c>
    </row>
    <row r="20" spans="1:182" x14ac:dyDescent="0.2">
      <c r="A20" s="145" t="s">
        <v>435</v>
      </c>
    </row>
    <row r="21" spans="1:182" outlineLevel="1" x14ac:dyDescent="0.2">
      <c r="A21" s="24" t="s">
        <v>228</v>
      </c>
      <c r="B21" s="166">
        <f>+Inv.Rep.!D58</f>
        <v>195877.59999999998</v>
      </c>
    </row>
    <row r="22" spans="1:182" outlineLevel="1" x14ac:dyDescent="0.2">
      <c r="A22" s="24" t="s">
        <v>229</v>
      </c>
      <c r="B22" s="191">
        <f>+Condiciones!$B$20</f>
        <v>0.12</v>
      </c>
    </row>
    <row r="23" spans="1:182" outlineLevel="1" x14ac:dyDescent="0.2">
      <c r="A23" s="24" t="s">
        <v>230</v>
      </c>
      <c r="B23" s="139">
        <v>108</v>
      </c>
    </row>
    <row r="24" spans="1:182" outlineLevel="1" x14ac:dyDescent="0.2">
      <c r="A24" s="24" t="s">
        <v>231</v>
      </c>
      <c r="B24" s="192">
        <f>PMT(B22/12,B23,-B21)</f>
        <v>2974.2510418335673</v>
      </c>
    </row>
    <row r="25" spans="1:182" outlineLevel="1" x14ac:dyDescent="0.2">
      <c r="A25" s="24" t="s">
        <v>356</v>
      </c>
      <c r="B25" s="139">
        <v>12</v>
      </c>
    </row>
    <row r="26" spans="1:182" outlineLevel="1" x14ac:dyDescent="0.2"/>
    <row r="27" spans="1:182" outlineLevel="1" x14ac:dyDescent="0.2">
      <c r="A27" s="24" t="s">
        <v>232</v>
      </c>
      <c r="B27" s="166">
        <f>+B21</f>
        <v>195877.59999999998</v>
      </c>
      <c r="C27" s="192">
        <f>+IF(C4&lt;$B$25,0,$B$27-C30)</f>
        <v>0</v>
      </c>
      <c r="D27" s="192">
        <f>+IF(C27&gt;0,C27-D30,IF($D$4&lt;B25,0,B27-D30))</f>
        <v>0</v>
      </c>
      <c r="E27" s="192">
        <f t="shared" ref="E27:M27" si="146">+IF(D27&gt;0,D27-E30,IF(E4&lt;$B$25,0,$B$27-E30))</f>
        <v>0</v>
      </c>
      <c r="F27" s="192">
        <f t="shared" si="146"/>
        <v>0</v>
      </c>
      <c r="G27" s="192">
        <f t="shared" si="146"/>
        <v>0</v>
      </c>
      <c r="H27" s="192">
        <f t="shared" si="146"/>
        <v>0</v>
      </c>
      <c r="I27" s="192">
        <f t="shared" si="146"/>
        <v>0</v>
      </c>
      <c r="J27" s="192">
        <f t="shared" si="146"/>
        <v>0</v>
      </c>
      <c r="K27" s="192">
        <f t="shared" si="146"/>
        <v>0</v>
      </c>
      <c r="L27" s="192">
        <f t="shared" si="146"/>
        <v>0</v>
      </c>
      <c r="M27" s="192">
        <f t="shared" si="146"/>
        <v>0</v>
      </c>
      <c r="N27" s="192">
        <f>+IF(M27&gt;0,M27-N30,IF(N4&lt;$B$25,0,$B$27-N30))</f>
        <v>195877.59999999998</v>
      </c>
      <c r="O27" s="192">
        <f>+IF(N27&gt;0,N27-O30,IF(O4&lt;$B$25,0,$B$27-O30))</f>
        <v>194862.12495816642</v>
      </c>
      <c r="P27" s="192">
        <f>+IF(O27&gt;0,O27-P30,IF(P4&lt;$B$25,0,$B$27-P30))</f>
        <v>193836.4951659145</v>
      </c>
      <c r="Q27" s="192">
        <f>+IF(P27&gt;0,P27-Q30,IF(Q4&lt;$B$25,0,$B$27-Q30))</f>
        <v>192800.60907574007</v>
      </c>
      <c r="R27" s="192">
        <f t="shared" ref="R27:CC27" si="147">+IF(Q27&gt;0,Q27-R30,IF(R4&lt;$B$25,0,$B$27-R30))</f>
        <v>191754.3641246639</v>
      </c>
      <c r="S27" s="192">
        <f t="shared" si="147"/>
        <v>190697.65672407698</v>
      </c>
      <c r="T27" s="192">
        <f t="shared" si="147"/>
        <v>189630.38224948419</v>
      </c>
      <c r="U27" s="192">
        <f t="shared" si="147"/>
        <v>188552.43503014545</v>
      </c>
      <c r="V27" s="192">
        <f t="shared" si="147"/>
        <v>187463.70833861333</v>
      </c>
      <c r="W27" s="192">
        <f t="shared" si="147"/>
        <v>186364.09438016589</v>
      </c>
      <c r="X27" s="192">
        <f t="shared" si="147"/>
        <v>185253.48428213398</v>
      </c>
      <c r="Y27" s="192">
        <f t="shared" si="147"/>
        <v>184131.76808312174</v>
      </c>
      <c r="Z27" s="192">
        <f t="shared" si="147"/>
        <v>182998.83472211938</v>
      </c>
      <c r="AA27" s="192">
        <f t="shared" si="147"/>
        <v>181854.57202750701</v>
      </c>
      <c r="AB27" s="192">
        <f t="shared" si="147"/>
        <v>180698.86670594852</v>
      </c>
      <c r="AC27" s="192">
        <f t="shared" si="147"/>
        <v>179531.60433117443</v>
      </c>
      <c r="AD27" s="192">
        <f t="shared" si="147"/>
        <v>178352.66933265261</v>
      </c>
      <c r="AE27" s="192">
        <f t="shared" si="147"/>
        <v>177161.94498414558</v>
      </c>
      <c r="AF27" s="192">
        <f t="shared" si="147"/>
        <v>175959.31339215348</v>
      </c>
      <c r="AG27" s="192">
        <f t="shared" si="147"/>
        <v>174744.65548424143</v>
      </c>
      <c r="AH27" s="192">
        <f t="shared" si="147"/>
        <v>173517.85099725029</v>
      </c>
      <c r="AI27" s="192">
        <f t="shared" si="147"/>
        <v>172278.77846538922</v>
      </c>
      <c r="AJ27" s="192">
        <f t="shared" si="147"/>
        <v>171027.31520820953</v>
      </c>
      <c r="AK27" s="192">
        <f t="shared" si="147"/>
        <v>169763.33731845807</v>
      </c>
      <c r="AL27" s="192">
        <f t="shared" si="147"/>
        <v>168486.71964980909</v>
      </c>
      <c r="AM27" s="192">
        <f t="shared" si="147"/>
        <v>167197.33580447361</v>
      </c>
      <c r="AN27" s="192">
        <f t="shared" si="147"/>
        <v>165895.05812068479</v>
      </c>
      <c r="AO27" s="192">
        <f t="shared" si="147"/>
        <v>164579.75766005807</v>
      </c>
      <c r="AP27" s="192">
        <f t="shared" si="147"/>
        <v>163251.30419482509</v>
      </c>
      <c r="AQ27" s="192">
        <f t="shared" si="147"/>
        <v>161909.56619493978</v>
      </c>
      <c r="AR27" s="192">
        <f t="shared" si="147"/>
        <v>160554.4108150556</v>
      </c>
      <c r="AS27" s="192">
        <f t="shared" si="147"/>
        <v>159185.70388137258</v>
      </c>
      <c r="AT27" s="192">
        <f t="shared" si="147"/>
        <v>157803.30987835274</v>
      </c>
      <c r="AU27" s="192">
        <f t="shared" si="147"/>
        <v>156407.09193530271</v>
      </c>
      <c r="AV27" s="192">
        <f t="shared" si="147"/>
        <v>154996.91181282216</v>
      </c>
      <c r="AW27" s="192">
        <f t="shared" si="147"/>
        <v>153572.62988911683</v>
      </c>
      <c r="AX27" s="192">
        <f t="shared" si="147"/>
        <v>152134.10514617444</v>
      </c>
      <c r="AY27" s="192">
        <f t="shared" si="147"/>
        <v>150681.19515580262</v>
      </c>
      <c r="AZ27" s="192">
        <f t="shared" si="147"/>
        <v>149213.75606552706</v>
      </c>
      <c r="BA27" s="192">
        <f t="shared" si="147"/>
        <v>147731.64258434877</v>
      </c>
      <c r="BB27" s="192">
        <f t="shared" si="147"/>
        <v>146234.70796835868</v>
      </c>
      <c r="BC27" s="192">
        <f t="shared" si="147"/>
        <v>144722.80400620869</v>
      </c>
      <c r="BD27" s="192">
        <f t="shared" si="147"/>
        <v>143195.78100443722</v>
      </c>
      <c r="BE27" s="192">
        <f t="shared" si="147"/>
        <v>141653.48777264802</v>
      </c>
      <c r="BF27" s="192">
        <f t="shared" si="147"/>
        <v>140095.77160854093</v>
      </c>
      <c r="BG27" s="192">
        <f t="shared" si="147"/>
        <v>138522.47828279278</v>
      </c>
      <c r="BH27" s="192">
        <f t="shared" si="147"/>
        <v>136933.45202378713</v>
      </c>
      <c r="BI27" s="192">
        <f t="shared" si="147"/>
        <v>135328.53550219143</v>
      </c>
      <c r="BJ27" s="192">
        <f t="shared" si="147"/>
        <v>133707.56981537977</v>
      </c>
      <c r="BK27" s="192">
        <f t="shared" si="147"/>
        <v>132070.39447170001</v>
      </c>
      <c r="BL27" s="192">
        <f t="shared" si="147"/>
        <v>130416.84737458345</v>
      </c>
      <c r="BM27" s="192">
        <f t="shared" si="147"/>
        <v>128746.76480649572</v>
      </c>
      <c r="BN27" s="192">
        <f t="shared" si="147"/>
        <v>127059.98141272711</v>
      </c>
      <c r="BO27" s="192">
        <f t="shared" si="147"/>
        <v>125356.33018502081</v>
      </c>
      <c r="BP27" s="192">
        <f t="shared" si="147"/>
        <v>123635.64244503745</v>
      </c>
      <c r="BQ27" s="192">
        <f t="shared" si="147"/>
        <v>121897.74782765425</v>
      </c>
      <c r="BR27" s="192">
        <f t="shared" si="147"/>
        <v>120142.47426409723</v>
      </c>
      <c r="BS27" s="192">
        <f t="shared" si="147"/>
        <v>118369.64796490462</v>
      </c>
      <c r="BT27" s="192">
        <f t="shared" si="147"/>
        <v>116579.0934027201</v>
      </c>
      <c r="BU27" s="192">
        <f t="shared" si="147"/>
        <v>114770.63329491373</v>
      </c>
      <c r="BV27" s="192">
        <f t="shared" si="147"/>
        <v>112944.08858602931</v>
      </c>
      <c r="BW27" s="192">
        <f t="shared" si="147"/>
        <v>111099.27843005603</v>
      </c>
      <c r="BX27" s="192">
        <f t="shared" si="147"/>
        <v>109236.02017252303</v>
      </c>
      <c r="BY27" s="192">
        <f t="shared" si="147"/>
        <v>107354.1293324147</v>
      </c>
      <c r="BZ27" s="192">
        <f t="shared" si="147"/>
        <v>105453.41958390527</v>
      </c>
      <c r="CA27" s="192">
        <f t="shared" si="147"/>
        <v>103533.70273791076</v>
      </c>
      <c r="CB27" s="192">
        <f t="shared" si="147"/>
        <v>101594.78872345629</v>
      </c>
      <c r="CC27" s="192">
        <f t="shared" si="147"/>
        <v>99636.485568857286</v>
      </c>
      <c r="CD27" s="192">
        <f t="shared" ref="CD27:EO27" si="148">+IF(CC27&gt;0,CC27-CD30,IF(CD4&lt;$B$25,0,$B$27-CD30))</f>
        <v>97658.599382712287</v>
      </c>
      <c r="CE27" s="192">
        <f t="shared" si="148"/>
        <v>95660.934334705846</v>
      </c>
      <c r="CF27" s="192">
        <f t="shared" si="148"/>
        <v>93643.292636219339</v>
      </c>
      <c r="CG27" s="192">
        <f t="shared" si="148"/>
        <v>91605.474520747972</v>
      </c>
      <c r="CH27" s="192">
        <f t="shared" si="148"/>
        <v>89547.278224121881</v>
      </c>
      <c r="CI27" s="192">
        <f t="shared" si="148"/>
        <v>87468.499964529532</v>
      </c>
      <c r="CJ27" s="192">
        <f t="shared" si="148"/>
        <v>85368.933922341253</v>
      </c>
      <c r="CK27" s="192">
        <f t="shared" si="148"/>
        <v>83248.3722197311</v>
      </c>
      <c r="CL27" s="192">
        <f t="shared" si="148"/>
        <v>81106.604900094841</v>
      </c>
      <c r="CM27" s="192">
        <f t="shared" si="148"/>
        <v>78943.419907262229</v>
      </c>
      <c r="CN27" s="192">
        <f t="shared" si="148"/>
        <v>76758.60306450128</v>
      </c>
      <c r="CO27" s="192">
        <f t="shared" si="148"/>
        <v>74551.938053312726</v>
      </c>
      <c r="CP27" s="192">
        <f t="shared" si="148"/>
        <v>72323.206392012289</v>
      </c>
      <c r="CQ27" s="192">
        <f t="shared" si="148"/>
        <v>70072.187414098851</v>
      </c>
      <c r="CR27" s="192">
        <f t="shared" si="148"/>
        <v>67798.658246406267</v>
      </c>
      <c r="CS27" s="192">
        <f t="shared" si="148"/>
        <v>65502.393787036759</v>
      </c>
      <c r="CT27" s="192">
        <f t="shared" si="148"/>
        <v>63183.166683073563</v>
      </c>
      <c r="CU27" s="192">
        <f t="shared" si="148"/>
        <v>60840.747308070728</v>
      </c>
      <c r="CV27" s="192">
        <f t="shared" si="148"/>
        <v>58474.903739317866</v>
      </c>
      <c r="CW27" s="192">
        <f t="shared" si="148"/>
        <v>56085.40173487748</v>
      </c>
      <c r="CX27" s="192">
        <f t="shared" si="148"/>
        <v>53672.004710392685</v>
      </c>
      <c r="CY27" s="192">
        <f t="shared" si="148"/>
        <v>51234.473715663044</v>
      </c>
      <c r="CZ27" s="192">
        <f t="shared" si="148"/>
        <v>48772.567410986107</v>
      </c>
      <c r="DA27" s="192">
        <f t="shared" si="148"/>
        <v>46286.042043262401</v>
      </c>
      <c r="DB27" s="192">
        <f t="shared" si="148"/>
        <v>43774.651421861461</v>
      </c>
      <c r="DC27" s="192">
        <f t="shared" si="148"/>
        <v>41238.146894246507</v>
      </c>
      <c r="DD27" s="192">
        <f t="shared" si="148"/>
        <v>38676.277321355403</v>
      </c>
      <c r="DE27" s="192">
        <f t="shared" si="148"/>
        <v>36088.789052735388</v>
      </c>
      <c r="DF27" s="192">
        <f t="shared" si="148"/>
        <v>33475.425901429175</v>
      </c>
      <c r="DG27" s="192">
        <f t="shared" si="148"/>
        <v>30835.9291186099</v>
      </c>
      <c r="DH27" s="192">
        <f t="shared" si="148"/>
        <v>28170.037367962432</v>
      </c>
      <c r="DI27" s="192">
        <f t="shared" si="148"/>
        <v>25477.486699808487</v>
      </c>
      <c r="DJ27" s="192">
        <f t="shared" si="148"/>
        <v>22758.010524973004</v>
      </c>
      <c r="DK27" s="192">
        <f t="shared" si="148"/>
        <v>20011.339588389168</v>
      </c>
      <c r="DL27" s="192">
        <f t="shared" si="148"/>
        <v>17237.201942439493</v>
      </c>
      <c r="DM27" s="192">
        <f t="shared" si="148"/>
        <v>14435.322920030321</v>
      </c>
      <c r="DN27" s="192">
        <f t="shared" si="148"/>
        <v>11605.425107397057</v>
      </c>
      <c r="DO27" s="192">
        <f t="shared" si="148"/>
        <v>8747.22831663746</v>
      </c>
      <c r="DP27" s="192">
        <f t="shared" si="148"/>
        <v>5860.4495579702671</v>
      </c>
      <c r="DQ27" s="192">
        <f t="shared" si="148"/>
        <v>2944.8030117164026</v>
      </c>
      <c r="DR27" s="192">
        <f t="shared" si="148"/>
        <v>-9.0949470177292824E-13</v>
      </c>
      <c r="DS27" s="192">
        <f t="shared" si="148"/>
        <v>195877.59999999998</v>
      </c>
      <c r="DT27" s="192">
        <f t="shared" si="148"/>
        <v>197836.37599999999</v>
      </c>
      <c r="DU27" s="192">
        <f t="shared" si="148"/>
        <v>199814.73976</v>
      </c>
      <c r="DV27" s="192">
        <f t="shared" si="148"/>
        <v>201812.88715759999</v>
      </c>
      <c r="DW27" s="192">
        <f t="shared" si="148"/>
        <v>203831.01602917598</v>
      </c>
      <c r="DX27" s="192">
        <f t="shared" si="148"/>
        <v>205869.32618946774</v>
      </c>
      <c r="DY27" s="192">
        <f t="shared" si="148"/>
        <v>207928.01945136243</v>
      </c>
      <c r="DZ27" s="192">
        <f t="shared" si="148"/>
        <v>210007.29964587605</v>
      </c>
      <c r="EA27" s="192">
        <f t="shared" si="148"/>
        <v>212107.37264233481</v>
      </c>
      <c r="EB27" s="192">
        <f t="shared" si="148"/>
        <v>214228.44636875816</v>
      </c>
      <c r="EC27" s="192">
        <f t="shared" si="148"/>
        <v>216370.73083244573</v>
      </c>
      <c r="ED27" s="192">
        <f t="shared" si="148"/>
        <v>218534.43814077019</v>
      </c>
      <c r="EE27" s="192">
        <f t="shared" si="148"/>
        <v>220719.78252217788</v>
      </c>
      <c r="EF27" s="192">
        <f t="shared" si="148"/>
        <v>222926.98034739966</v>
      </c>
      <c r="EG27" s="192">
        <f t="shared" si="148"/>
        <v>225156.25015087365</v>
      </c>
      <c r="EH27" s="192">
        <f t="shared" si="148"/>
        <v>227407.81265238239</v>
      </c>
      <c r="EI27" s="192">
        <f t="shared" si="148"/>
        <v>229681.89077890621</v>
      </c>
      <c r="EJ27" s="192">
        <f t="shared" si="148"/>
        <v>231978.70968669528</v>
      </c>
      <c r="EK27" s="192">
        <f t="shared" si="148"/>
        <v>234298.49678356224</v>
      </c>
      <c r="EL27" s="192">
        <f t="shared" si="148"/>
        <v>236641.48175139786</v>
      </c>
      <c r="EM27" s="192">
        <f t="shared" si="148"/>
        <v>239007.89656891185</v>
      </c>
      <c r="EN27" s="192">
        <f t="shared" si="148"/>
        <v>241397.97553460096</v>
      </c>
      <c r="EO27" s="192">
        <f t="shared" si="148"/>
        <v>243811.95528994699</v>
      </c>
      <c r="EP27" s="192">
        <f t="shared" ref="EP27:FZ27" si="149">+IF(EO27&gt;0,EO27-EP30,IF(EP4&lt;$B$25,0,$B$27-EP30))</f>
        <v>246250.07484284646</v>
      </c>
      <c r="EQ27" s="192">
        <f t="shared" si="149"/>
        <v>248712.57559127492</v>
      </c>
      <c r="ER27" s="192">
        <f t="shared" si="149"/>
        <v>251199.70134718766</v>
      </c>
      <c r="ES27" s="192">
        <f t="shared" si="149"/>
        <v>253711.69836065953</v>
      </c>
      <c r="ET27" s="192">
        <f t="shared" si="149"/>
        <v>256248.81534426613</v>
      </c>
      <c r="EU27" s="192">
        <f t="shared" si="149"/>
        <v>258811.30349770878</v>
      </c>
      <c r="EV27" s="192">
        <f t="shared" si="149"/>
        <v>261399.41653268586</v>
      </c>
      <c r="EW27" s="192">
        <f t="shared" si="149"/>
        <v>264013.41069801274</v>
      </c>
      <c r="EX27" s="192">
        <f t="shared" si="149"/>
        <v>266653.54480499285</v>
      </c>
      <c r="EY27" s="192">
        <f t="shared" si="149"/>
        <v>269320.0802530428</v>
      </c>
      <c r="EZ27" s="192">
        <f t="shared" si="149"/>
        <v>272013.28105557326</v>
      </c>
      <c r="FA27" s="192">
        <f t="shared" si="149"/>
        <v>274733.41386612901</v>
      </c>
      <c r="FB27" s="192">
        <f t="shared" si="149"/>
        <v>277480.74800479028</v>
      </c>
      <c r="FC27" s="192">
        <f t="shared" si="149"/>
        <v>280255.5554848382</v>
      </c>
      <c r="FD27" s="192">
        <f t="shared" si="149"/>
        <v>283058.1110396866</v>
      </c>
      <c r="FE27" s="192">
        <f t="shared" si="149"/>
        <v>285888.69215008349</v>
      </c>
      <c r="FF27" s="192">
        <f t="shared" si="149"/>
        <v>288747.57907158433</v>
      </c>
      <c r="FG27" s="192">
        <f t="shared" si="149"/>
        <v>291635.05486230017</v>
      </c>
      <c r="FH27" s="192">
        <f t="shared" si="149"/>
        <v>294551.40541092318</v>
      </c>
      <c r="FI27" s="192">
        <f t="shared" si="149"/>
        <v>297496.91946503241</v>
      </c>
      <c r="FJ27" s="192">
        <f t="shared" si="149"/>
        <v>300471.88865968271</v>
      </c>
      <c r="FK27" s="192">
        <f t="shared" si="149"/>
        <v>303476.60754627956</v>
      </c>
      <c r="FL27" s="192">
        <f t="shared" si="149"/>
        <v>306511.37362174236</v>
      </c>
      <c r="FM27" s="192">
        <f t="shared" si="149"/>
        <v>309576.48735795979</v>
      </c>
      <c r="FN27" s="192">
        <f t="shared" si="149"/>
        <v>312672.2522315394</v>
      </c>
      <c r="FO27" s="192">
        <f t="shared" si="149"/>
        <v>315798.9747538548</v>
      </c>
      <c r="FP27" s="192">
        <f t="shared" si="149"/>
        <v>318956.96450139332</v>
      </c>
      <c r="FQ27" s="192">
        <f t="shared" si="149"/>
        <v>322146.53414640727</v>
      </c>
      <c r="FR27" s="192">
        <f t="shared" si="149"/>
        <v>325367.99948787136</v>
      </c>
      <c r="FS27" s="192">
        <f t="shared" si="149"/>
        <v>328621.67948275007</v>
      </c>
      <c r="FT27" s="192">
        <f t="shared" si="149"/>
        <v>331907.89627757756</v>
      </c>
      <c r="FU27" s="192">
        <f t="shared" si="149"/>
        <v>335226.97524035332</v>
      </c>
      <c r="FV27" s="192">
        <f t="shared" si="149"/>
        <v>338579.24499275687</v>
      </c>
      <c r="FW27" s="192">
        <f t="shared" si="149"/>
        <v>341965.03744268441</v>
      </c>
      <c r="FX27" s="192">
        <f t="shared" si="149"/>
        <v>345384.68781711126</v>
      </c>
      <c r="FY27" s="192">
        <f t="shared" si="149"/>
        <v>348838.53469528235</v>
      </c>
      <c r="FZ27" s="192">
        <f t="shared" si="149"/>
        <v>352326.92004223517</v>
      </c>
    </row>
    <row r="28" spans="1:182" outlineLevel="1" x14ac:dyDescent="0.2">
      <c r="A28" s="24" t="s">
        <v>231</v>
      </c>
      <c r="B28" s="192">
        <f>SUM(C28:EP28)</f>
        <v>321219.11251802515</v>
      </c>
      <c r="C28" s="192">
        <v>0</v>
      </c>
      <c r="D28" s="192">
        <f>+IF(C27=0,0,IF($D$4&gt;B23+B25,0,B24))</f>
        <v>0</v>
      </c>
      <c r="E28" s="192">
        <f t="shared" ref="E28:BO28" si="150">+IF(D27=0,0,IF(E4&gt;$B$23+$B$25,0,$B$24))</f>
        <v>0</v>
      </c>
      <c r="F28" s="192">
        <f t="shared" si="150"/>
        <v>0</v>
      </c>
      <c r="G28" s="192">
        <f t="shared" si="150"/>
        <v>0</v>
      </c>
      <c r="H28" s="192">
        <f t="shared" si="150"/>
        <v>0</v>
      </c>
      <c r="I28" s="192">
        <f t="shared" si="150"/>
        <v>0</v>
      </c>
      <c r="J28" s="192">
        <f t="shared" si="150"/>
        <v>0</v>
      </c>
      <c r="K28" s="192">
        <f t="shared" si="150"/>
        <v>0</v>
      </c>
      <c r="L28" s="192">
        <f t="shared" si="150"/>
        <v>0</v>
      </c>
      <c r="M28" s="192">
        <f t="shared" si="150"/>
        <v>0</v>
      </c>
      <c r="N28" s="192">
        <f t="shared" si="150"/>
        <v>0</v>
      </c>
      <c r="O28" s="192">
        <f t="shared" si="150"/>
        <v>2974.2510418335673</v>
      </c>
      <c r="P28" s="192">
        <f t="shared" si="150"/>
        <v>2974.2510418335673</v>
      </c>
      <c r="Q28" s="192">
        <f t="shared" si="150"/>
        <v>2974.2510418335673</v>
      </c>
      <c r="R28" s="192">
        <f t="shared" si="150"/>
        <v>2974.2510418335673</v>
      </c>
      <c r="S28" s="192">
        <f t="shared" si="150"/>
        <v>2974.2510418335673</v>
      </c>
      <c r="T28" s="192">
        <f t="shared" si="150"/>
        <v>2974.2510418335673</v>
      </c>
      <c r="U28" s="192">
        <f t="shared" si="150"/>
        <v>2974.2510418335673</v>
      </c>
      <c r="V28" s="192">
        <f t="shared" si="150"/>
        <v>2974.2510418335673</v>
      </c>
      <c r="W28" s="192">
        <f t="shared" si="150"/>
        <v>2974.2510418335673</v>
      </c>
      <c r="X28" s="192">
        <f t="shared" si="150"/>
        <v>2974.2510418335673</v>
      </c>
      <c r="Y28" s="192">
        <f t="shared" si="150"/>
        <v>2974.2510418335673</v>
      </c>
      <c r="Z28" s="192">
        <f t="shared" si="150"/>
        <v>2974.2510418335673</v>
      </c>
      <c r="AA28" s="192">
        <f t="shared" si="150"/>
        <v>2974.2510418335673</v>
      </c>
      <c r="AB28" s="192">
        <f t="shared" si="150"/>
        <v>2974.2510418335673</v>
      </c>
      <c r="AC28" s="192">
        <f t="shared" si="150"/>
        <v>2974.2510418335673</v>
      </c>
      <c r="AD28" s="192">
        <f t="shared" si="150"/>
        <v>2974.2510418335673</v>
      </c>
      <c r="AE28" s="192">
        <f t="shared" si="150"/>
        <v>2974.2510418335673</v>
      </c>
      <c r="AF28" s="192">
        <f t="shared" si="150"/>
        <v>2974.2510418335673</v>
      </c>
      <c r="AG28" s="192">
        <f t="shared" si="150"/>
        <v>2974.2510418335673</v>
      </c>
      <c r="AH28" s="192">
        <f t="shared" si="150"/>
        <v>2974.2510418335673</v>
      </c>
      <c r="AI28" s="192">
        <f t="shared" si="150"/>
        <v>2974.2510418335673</v>
      </c>
      <c r="AJ28" s="192">
        <f t="shared" si="150"/>
        <v>2974.2510418335673</v>
      </c>
      <c r="AK28" s="192">
        <f t="shared" si="150"/>
        <v>2974.2510418335673</v>
      </c>
      <c r="AL28" s="192">
        <f t="shared" si="150"/>
        <v>2974.2510418335673</v>
      </c>
      <c r="AM28" s="192">
        <f t="shared" si="150"/>
        <v>2974.2510418335673</v>
      </c>
      <c r="AN28" s="192">
        <f t="shared" si="150"/>
        <v>2974.2510418335673</v>
      </c>
      <c r="AO28" s="192">
        <f t="shared" si="150"/>
        <v>2974.2510418335673</v>
      </c>
      <c r="AP28" s="192">
        <f t="shared" si="150"/>
        <v>2974.2510418335673</v>
      </c>
      <c r="AQ28" s="192">
        <f t="shared" si="150"/>
        <v>2974.2510418335673</v>
      </c>
      <c r="AR28" s="192">
        <f t="shared" si="150"/>
        <v>2974.2510418335673</v>
      </c>
      <c r="AS28" s="192">
        <f t="shared" si="150"/>
        <v>2974.2510418335673</v>
      </c>
      <c r="AT28" s="192">
        <f t="shared" si="150"/>
        <v>2974.2510418335673</v>
      </c>
      <c r="AU28" s="192">
        <f t="shared" si="150"/>
        <v>2974.2510418335673</v>
      </c>
      <c r="AV28" s="192">
        <f t="shared" si="150"/>
        <v>2974.2510418335673</v>
      </c>
      <c r="AW28" s="192">
        <f t="shared" si="150"/>
        <v>2974.2510418335673</v>
      </c>
      <c r="AX28" s="192">
        <f t="shared" si="150"/>
        <v>2974.2510418335673</v>
      </c>
      <c r="AY28" s="192">
        <f t="shared" si="150"/>
        <v>2974.2510418335673</v>
      </c>
      <c r="AZ28" s="192">
        <f t="shared" si="150"/>
        <v>2974.2510418335673</v>
      </c>
      <c r="BA28" s="192">
        <f t="shared" si="150"/>
        <v>2974.2510418335673</v>
      </c>
      <c r="BB28" s="192">
        <f t="shared" si="150"/>
        <v>2974.2510418335673</v>
      </c>
      <c r="BC28" s="192">
        <f t="shared" si="150"/>
        <v>2974.2510418335673</v>
      </c>
      <c r="BD28" s="192">
        <f t="shared" si="150"/>
        <v>2974.2510418335673</v>
      </c>
      <c r="BE28" s="192">
        <f t="shared" si="150"/>
        <v>2974.2510418335673</v>
      </c>
      <c r="BF28" s="192">
        <f t="shared" si="150"/>
        <v>2974.2510418335673</v>
      </c>
      <c r="BG28" s="192">
        <f t="shared" si="150"/>
        <v>2974.2510418335673</v>
      </c>
      <c r="BH28" s="192">
        <f t="shared" si="150"/>
        <v>2974.2510418335673</v>
      </c>
      <c r="BI28" s="192">
        <f t="shared" si="150"/>
        <v>2974.2510418335673</v>
      </c>
      <c r="BJ28" s="192">
        <f t="shared" si="150"/>
        <v>2974.2510418335673</v>
      </c>
      <c r="BK28" s="192">
        <f t="shared" si="150"/>
        <v>2974.2510418335673</v>
      </c>
      <c r="BL28" s="192">
        <f t="shared" si="150"/>
        <v>2974.2510418335673</v>
      </c>
      <c r="BM28" s="192">
        <f t="shared" si="150"/>
        <v>2974.2510418335673</v>
      </c>
      <c r="BN28" s="192">
        <f t="shared" si="150"/>
        <v>2974.2510418335673</v>
      </c>
      <c r="BO28" s="192">
        <f t="shared" si="150"/>
        <v>2974.2510418335673</v>
      </c>
      <c r="BP28" s="192">
        <f t="shared" ref="BP28:CT28" si="151">+IF(BO27=0,0,IF(BP4&gt;$B$23+$B$25,0,$B$24))</f>
        <v>2974.2510418335673</v>
      </c>
      <c r="BQ28" s="192">
        <f t="shared" si="151"/>
        <v>2974.2510418335673</v>
      </c>
      <c r="BR28" s="192">
        <f t="shared" si="151"/>
        <v>2974.2510418335673</v>
      </c>
      <c r="BS28" s="192">
        <f t="shared" si="151"/>
        <v>2974.2510418335673</v>
      </c>
      <c r="BT28" s="192">
        <f t="shared" si="151"/>
        <v>2974.2510418335673</v>
      </c>
      <c r="BU28" s="192">
        <f t="shared" si="151"/>
        <v>2974.2510418335673</v>
      </c>
      <c r="BV28" s="192">
        <f t="shared" si="151"/>
        <v>2974.2510418335673</v>
      </c>
      <c r="BW28" s="192">
        <f t="shared" si="151"/>
        <v>2974.2510418335673</v>
      </c>
      <c r="BX28" s="192">
        <f t="shared" si="151"/>
        <v>2974.2510418335673</v>
      </c>
      <c r="BY28" s="192">
        <f t="shared" si="151"/>
        <v>2974.2510418335673</v>
      </c>
      <c r="BZ28" s="192">
        <f t="shared" si="151"/>
        <v>2974.2510418335673</v>
      </c>
      <c r="CA28" s="192">
        <f t="shared" si="151"/>
        <v>2974.2510418335673</v>
      </c>
      <c r="CB28" s="192">
        <f t="shared" si="151"/>
        <v>2974.2510418335673</v>
      </c>
      <c r="CC28" s="192">
        <f t="shared" si="151"/>
        <v>2974.2510418335673</v>
      </c>
      <c r="CD28" s="192">
        <f t="shared" si="151"/>
        <v>2974.2510418335673</v>
      </c>
      <c r="CE28" s="192">
        <f t="shared" si="151"/>
        <v>2974.2510418335673</v>
      </c>
      <c r="CF28" s="192">
        <f t="shared" si="151"/>
        <v>2974.2510418335673</v>
      </c>
      <c r="CG28" s="192">
        <f t="shared" si="151"/>
        <v>2974.2510418335673</v>
      </c>
      <c r="CH28" s="192">
        <f t="shared" si="151"/>
        <v>2974.2510418335673</v>
      </c>
      <c r="CI28" s="192">
        <f t="shared" si="151"/>
        <v>2974.2510418335673</v>
      </c>
      <c r="CJ28" s="192">
        <f t="shared" si="151"/>
        <v>2974.2510418335673</v>
      </c>
      <c r="CK28" s="192">
        <f t="shared" si="151"/>
        <v>2974.2510418335673</v>
      </c>
      <c r="CL28" s="192">
        <f t="shared" si="151"/>
        <v>2974.2510418335673</v>
      </c>
      <c r="CM28" s="192">
        <f t="shared" si="151"/>
        <v>2974.2510418335673</v>
      </c>
      <c r="CN28" s="192">
        <f t="shared" si="151"/>
        <v>2974.2510418335673</v>
      </c>
      <c r="CO28" s="192">
        <f t="shared" si="151"/>
        <v>2974.2510418335673</v>
      </c>
      <c r="CP28" s="192">
        <f t="shared" si="151"/>
        <v>2974.2510418335673</v>
      </c>
      <c r="CQ28" s="192">
        <f t="shared" si="151"/>
        <v>2974.2510418335673</v>
      </c>
      <c r="CR28" s="192">
        <f t="shared" si="151"/>
        <v>2974.2510418335673</v>
      </c>
      <c r="CS28" s="192">
        <f t="shared" si="151"/>
        <v>2974.2510418335673</v>
      </c>
      <c r="CT28" s="192">
        <f t="shared" si="151"/>
        <v>2974.2510418335673</v>
      </c>
      <c r="CU28" s="192">
        <f>+IF(CT27=0,0,IF(CU4&gt;$B$23+$B$25,0,$B$24))</f>
        <v>2974.2510418335673</v>
      </c>
      <c r="CV28" s="192">
        <f t="shared" ref="CV28:FG28" si="152">+IF(CU27=0,0,IF(CV4&gt;$B$23+$B$25,0,$B$24))</f>
        <v>2974.2510418335673</v>
      </c>
      <c r="CW28" s="192">
        <f t="shared" si="152"/>
        <v>2974.2510418335673</v>
      </c>
      <c r="CX28" s="192">
        <f t="shared" si="152"/>
        <v>2974.2510418335673</v>
      </c>
      <c r="CY28" s="192">
        <f t="shared" si="152"/>
        <v>2974.2510418335673</v>
      </c>
      <c r="CZ28" s="192">
        <f t="shared" si="152"/>
        <v>2974.2510418335673</v>
      </c>
      <c r="DA28" s="192">
        <f t="shared" si="152"/>
        <v>2974.2510418335673</v>
      </c>
      <c r="DB28" s="192">
        <f t="shared" si="152"/>
        <v>2974.2510418335673</v>
      </c>
      <c r="DC28" s="192">
        <f t="shared" si="152"/>
        <v>2974.2510418335673</v>
      </c>
      <c r="DD28" s="192">
        <f t="shared" si="152"/>
        <v>2974.2510418335673</v>
      </c>
      <c r="DE28" s="192">
        <f t="shared" si="152"/>
        <v>2974.2510418335673</v>
      </c>
      <c r="DF28" s="192">
        <f t="shared" si="152"/>
        <v>2974.2510418335673</v>
      </c>
      <c r="DG28" s="192">
        <f t="shared" si="152"/>
        <v>2974.2510418335673</v>
      </c>
      <c r="DH28" s="192">
        <f t="shared" si="152"/>
        <v>2974.2510418335673</v>
      </c>
      <c r="DI28" s="192">
        <f t="shared" si="152"/>
        <v>2974.2510418335673</v>
      </c>
      <c r="DJ28" s="192">
        <f t="shared" si="152"/>
        <v>2974.2510418335673</v>
      </c>
      <c r="DK28" s="192">
        <f t="shared" si="152"/>
        <v>2974.2510418335673</v>
      </c>
      <c r="DL28" s="192">
        <f t="shared" si="152"/>
        <v>2974.2510418335673</v>
      </c>
      <c r="DM28" s="192">
        <f t="shared" si="152"/>
        <v>2974.2510418335673</v>
      </c>
      <c r="DN28" s="192">
        <f t="shared" si="152"/>
        <v>2974.2510418335673</v>
      </c>
      <c r="DO28" s="192">
        <f t="shared" si="152"/>
        <v>2974.2510418335673</v>
      </c>
      <c r="DP28" s="192">
        <f t="shared" si="152"/>
        <v>2974.2510418335673</v>
      </c>
      <c r="DQ28" s="192">
        <f t="shared" si="152"/>
        <v>2974.2510418335673</v>
      </c>
      <c r="DR28" s="192">
        <f t="shared" si="152"/>
        <v>2974.2510418335673</v>
      </c>
      <c r="DS28" s="192">
        <f>+IF(DR27=0,0,IF(DS4&gt;$B$23+$B$25,0,$B$24))</f>
        <v>0</v>
      </c>
      <c r="DT28" s="192">
        <f t="shared" si="152"/>
        <v>0</v>
      </c>
      <c r="DU28" s="192">
        <f t="shared" si="152"/>
        <v>0</v>
      </c>
      <c r="DV28" s="192">
        <f t="shared" si="152"/>
        <v>0</v>
      </c>
      <c r="DW28" s="192">
        <f t="shared" si="152"/>
        <v>0</v>
      </c>
      <c r="DX28" s="192">
        <f t="shared" si="152"/>
        <v>0</v>
      </c>
      <c r="DY28" s="192">
        <f t="shared" si="152"/>
        <v>0</v>
      </c>
      <c r="DZ28" s="192">
        <f t="shared" si="152"/>
        <v>0</v>
      </c>
      <c r="EA28" s="192">
        <f t="shared" si="152"/>
        <v>0</v>
      </c>
      <c r="EB28" s="192">
        <f t="shared" si="152"/>
        <v>0</v>
      </c>
      <c r="EC28" s="192">
        <f t="shared" si="152"/>
        <v>0</v>
      </c>
      <c r="ED28" s="192">
        <f t="shared" si="152"/>
        <v>0</v>
      </c>
      <c r="EE28" s="192">
        <f t="shared" si="152"/>
        <v>0</v>
      </c>
      <c r="EF28" s="192">
        <f t="shared" si="152"/>
        <v>0</v>
      </c>
      <c r="EG28" s="192">
        <f t="shared" si="152"/>
        <v>0</v>
      </c>
      <c r="EH28" s="192">
        <f t="shared" si="152"/>
        <v>0</v>
      </c>
      <c r="EI28" s="192">
        <f t="shared" si="152"/>
        <v>0</v>
      </c>
      <c r="EJ28" s="192">
        <f t="shared" si="152"/>
        <v>0</v>
      </c>
      <c r="EK28" s="192">
        <f t="shared" si="152"/>
        <v>0</v>
      </c>
      <c r="EL28" s="192">
        <f t="shared" si="152"/>
        <v>0</v>
      </c>
      <c r="EM28" s="192">
        <f t="shared" si="152"/>
        <v>0</v>
      </c>
      <c r="EN28" s="192">
        <f t="shared" si="152"/>
        <v>0</v>
      </c>
      <c r="EO28" s="192">
        <f t="shared" si="152"/>
        <v>0</v>
      </c>
      <c r="EP28" s="192">
        <f t="shared" si="152"/>
        <v>0</v>
      </c>
      <c r="EQ28" s="192">
        <f t="shared" si="152"/>
        <v>0</v>
      </c>
      <c r="ER28" s="192">
        <f t="shared" si="152"/>
        <v>0</v>
      </c>
      <c r="ES28" s="192">
        <f t="shared" si="152"/>
        <v>0</v>
      </c>
      <c r="ET28" s="192">
        <f t="shared" si="152"/>
        <v>0</v>
      </c>
      <c r="EU28" s="192">
        <f t="shared" si="152"/>
        <v>0</v>
      </c>
      <c r="EV28" s="192">
        <f t="shared" si="152"/>
        <v>0</v>
      </c>
      <c r="EW28" s="192">
        <f t="shared" si="152"/>
        <v>0</v>
      </c>
      <c r="EX28" s="192">
        <f t="shared" si="152"/>
        <v>0</v>
      </c>
      <c r="EY28" s="192">
        <f t="shared" si="152"/>
        <v>0</v>
      </c>
      <c r="EZ28" s="192">
        <f t="shared" si="152"/>
        <v>0</v>
      </c>
      <c r="FA28" s="192">
        <f t="shared" si="152"/>
        <v>0</v>
      </c>
      <c r="FB28" s="192">
        <f t="shared" si="152"/>
        <v>0</v>
      </c>
      <c r="FC28" s="192">
        <f t="shared" si="152"/>
        <v>0</v>
      </c>
      <c r="FD28" s="192">
        <f t="shared" si="152"/>
        <v>0</v>
      </c>
      <c r="FE28" s="192">
        <f t="shared" si="152"/>
        <v>0</v>
      </c>
      <c r="FF28" s="192">
        <f t="shared" si="152"/>
        <v>0</v>
      </c>
      <c r="FG28" s="192">
        <f t="shared" si="152"/>
        <v>0</v>
      </c>
      <c r="FH28" s="192">
        <f t="shared" ref="FH28:FZ28" si="153">+IF(FG27=0,0,IF(FH4&gt;$B$23+$B$25,0,$B$24))</f>
        <v>0</v>
      </c>
      <c r="FI28" s="192">
        <f t="shared" si="153"/>
        <v>0</v>
      </c>
      <c r="FJ28" s="192">
        <f t="shared" si="153"/>
        <v>0</v>
      </c>
      <c r="FK28" s="192">
        <f t="shared" si="153"/>
        <v>0</v>
      </c>
      <c r="FL28" s="192">
        <f t="shared" si="153"/>
        <v>0</v>
      </c>
      <c r="FM28" s="192">
        <f t="shared" si="153"/>
        <v>0</v>
      </c>
      <c r="FN28" s="192">
        <f t="shared" si="153"/>
        <v>0</v>
      </c>
      <c r="FO28" s="192">
        <f t="shared" si="153"/>
        <v>0</v>
      </c>
      <c r="FP28" s="192">
        <f t="shared" si="153"/>
        <v>0</v>
      </c>
      <c r="FQ28" s="192">
        <f t="shared" si="153"/>
        <v>0</v>
      </c>
      <c r="FR28" s="192">
        <f t="shared" si="153"/>
        <v>0</v>
      </c>
      <c r="FS28" s="192">
        <f t="shared" si="153"/>
        <v>0</v>
      </c>
      <c r="FT28" s="192">
        <f t="shared" si="153"/>
        <v>0</v>
      </c>
      <c r="FU28" s="192">
        <f t="shared" si="153"/>
        <v>0</v>
      </c>
      <c r="FV28" s="192">
        <f t="shared" si="153"/>
        <v>0</v>
      </c>
      <c r="FW28" s="192">
        <f t="shared" si="153"/>
        <v>0</v>
      </c>
      <c r="FX28" s="192">
        <f t="shared" si="153"/>
        <v>0</v>
      </c>
      <c r="FY28" s="192">
        <f t="shared" si="153"/>
        <v>0</v>
      </c>
      <c r="FZ28" s="192">
        <f t="shared" si="153"/>
        <v>0</v>
      </c>
    </row>
    <row r="29" spans="1:182" outlineLevel="1" x14ac:dyDescent="0.2">
      <c r="A29" s="24" t="s">
        <v>233</v>
      </c>
      <c r="B29" s="192">
        <f>SUM(C29:DR29)</f>
        <v>125341.51251802532</v>
      </c>
      <c r="C29" s="192">
        <v>0</v>
      </c>
      <c r="D29" s="192">
        <f>+C27*(B22/12)</f>
        <v>0</v>
      </c>
      <c r="E29" s="192">
        <f t="shared" ref="E29:BP29" si="154">+D27*($B$22/12)</f>
        <v>0</v>
      </c>
      <c r="F29" s="192">
        <f t="shared" si="154"/>
        <v>0</v>
      </c>
      <c r="G29" s="192">
        <f t="shared" si="154"/>
        <v>0</v>
      </c>
      <c r="H29" s="192">
        <f t="shared" si="154"/>
        <v>0</v>
      </c>
      <c r="I29" s="192">
        <f t="shared" si="154"/>
        <v>0</v>
      </c>
      <c r="J29" s="192">
        <f t="shared" si="154"/>
        <v>0</v>
      </c>
      <c r="K29" s="192">
        <f t="shared" si="154"/>
        <v>0</v>
      </c>
      <c r="L29" s="192">
        <f t="shared" si="154"/>
        <v>0</v>
      </c>
      <c r="M29" s="192">
        <f t="shared" si="154"/>
        <v>0</v>
      </c>
      <c r="N29" s="192">
        <f t="shared" si="154"/>
        <v>0</v>
      </c>
      <c r="O29" s="192">
        <f t="shared" si="154"/>
        <v>1958.7759999999998</v>
      </c>
      <c r="P29" s="192">
        <f t="shared" si="154"/>
        <v>1948.6212495816642</v>
      </c>
      <c r="Q29" s="192">
        <f t="shared" si="154"/>
        <v>1938.3649516591449</v>
      </c>
      <c r="R29" s="192">
        <f t="shared" si="154"/>
        <v>1928.0060907574007</v>
      </c>
      <c r="S29" s="192">
        <f t="shared" si="154"/>
        <v>1917.543641246639</v>
      </c>
      <c r="T29" s="192">
        <f t="shared" si="154"/>
        <v>1906.9765672407698</v>
      </c>
      <c r="U29" s="192">
        <f t="shared" si="154"/>
        <v>1896.3038224948418</v>
      </c>
      <c r="V29" s="192">
        <f t="shared" si="154"/>
        <v>1885.5243503014547</v>
      </c>
      <c r="W29" s="192">
        <f t="shared" si="154"/>
        <v>1874.6370833861333</v>
      </c>
      <c r="X29" s="192">
        <f t="shared" si="154"/>
        <v>1863.640943801659</v>
      </c>
      <c r="Y29" s="192">
        <f t="shared" si="154"/>
        <v>1852.5348428213399</v>
      </c>
      <c r="Z29" s="192">
        <f t="shared" si="154"/>
        <v>1841.3176808312176</v>
      </c>
      <c r="AA29" s="192">
        <f t="shared" si="154"/>
        <v>1829.9883472211939</v>
      </c>
      <c r="AB29" s="192">
        <f t="shared" si="154"/>
        <v>1818.5457202750702</v>
      </c>
      <c r="AC29" s="192">
        <f t="shared" si="154"/>
        <v>1806.9886670594851</v>
      </c>
      <c r="AD29" s="192">
        <f t="shared" si="154"/>
        <v>1795.3160433117444</v>
      </c>
      <c r="AE29" s="192">
        <f t="shared" si="154"/>
        <v>1783.5266933265261</v>
      </c>
      <c r="AF29" s="192">
        <f t="shared" si="154"/>
        <v>1771.6194498414559</v>
      </c>
      <c r="AG29" s="192">
        <f t="shared" si="154"/>
        <v>1759.5931339215349</v>
      </c>
      <c r="AH29" s="192">
        <f t="shared" si="154"/>
        <v>1747.4465548424143</v>
      </c>
      <c r="AI29" s="192">
        <f t="shared" si="154"/>
        <v>1735.178509972503</v>
      </c>
      <c r="AJ29" s="192">
        <f t="shared" si="154"/>
        <v>1722.7877846538922</v>
      </c>
      <c r="AK29" s="192">
        <f t="shared" si="154"/>
        <v>1710.2731520820953</v>
      </c>
      <c r="AL29" s="192">
        <f t="shared" si="154"/>
        <v>1697.6333731845807</v>
      </c>
      <c r="AM29" s="192">
        <f t="shared" si="154"/>
        <v>1684.8671964980911</v>
      </c>
      <c r="AN29" s="192">
        <f t="shared" si="154"/>
        <v>1671.9733580447362</v>
      </c>
      <c r="AO29" s="192">
        <f t="shared" si="154"/>
        <v>1658.9505812068478</v>
      </c>
      <c r="AP29" s="192">
        <f t="shared" si="154"/>
        <v>1645.7975766005807</v>
      </c>
      <c r="AQ29" s="192">
        <f t="shared" si="154"/>
        <v>1632.5130419482509</v>
      </c>
      <c r="AR29" s="192">
        <f t="shared" si="154"/>
        <v>1619.0956619493977</v>
      </c>
      <c r="AS29" s="192">
        <f t="shared" si="154"/>
        <v>1605.544108150556</v>
      </c>
      <c r="AT29" s="192">
        <f t="shared" si="154"/>
        <v>1591.8570388137259</v>
      </c>
      <c r="AU29" s="192">
        <f t="shared" si="154"/>
        <v>1578.0330987835275</v>
      </c>
      <c r="AV29" s="192">
        <f t="shared" si="154"/>
        <v>1564.0709193530272</v>
      </c>
      <c r="AW29" s="192">
        <f t="shared" si="154"/>
        <v>1549.9691181282217</v>
      </c>
      <c r="AX29" s="192">
        <f t="shared" si="154"/>
        <v>1535.7262988911682</v>
      </c>
      <c r="AY29" s="192">
        <f t="shared" si="154"/>
        <v>1521.3410514617444</v>
      </c>
      <c r="AZ29" s="192">
        <f t="shared" si="154"/>
        <v>1506.8119515580263</v>
      </c>
      <c r="BA29" s="192">
        <f t="shared" si="154"/>
        <v>1492.1375606552706</v>
      </c>
      <c r="BB29" s="192">
        <f t="shared" si="154"/>
        <v>1477.3164258434877</v>
      </c>
      <c r="BC29" s="192">
        <f t="shared" si="154"/>
        <v>1462.3470796835868</v>
      </c>
      <c r="BD29" s="192">
        <f t="shared" si="154"/>
        <v>1447.2280400620871</v>
      </c>
      <c r="BE29" s="192">
        <f t="shared" si="154"/>
        <v>1431.9578100443721</v>
      </c>
      <c r="BF29" s="192">
        <f t="shared" si="154"/>
        <v>1416.5348777264803</v>
      </c>
      <c r="BG29" s="192">
        <f t="shared" si="154"/>
        <v>1400.9577160854094</v>
      </c>
      <c r="BH29" s="192">
        <f t="shared" si="154"/>
        <v>1385.2247828279278</v>
      </c>
      <c r="BI29" s="192">
        <f t="shared" si="154"/>
        <v>1369.3345202378714</v>
      </c>
      <c r="BJ29" s="192">
        <f t="shared" si="154"/>
        <v>1353.2853550219143</v>
      </c>
      <c r="BK29" s="192">
        <f t="shared" si="154"/>
        <v>1337.0756981537977</v>
      </c>
      <c r="BL29" s="192">
        <f t="shared" si="154"/>
        <v>1320.7039447170002</v>
      </c>
      <c r="BM29" s="192">
        <f t="shared" si="154"/>
        <v>1304.1684737458345</v>
      </c>
      <c r="BN29" s="192">
        <f t="shared" si="154"/>
        <v>1287.4676480649573</v>
      </c>
      <c r="BO29" s="192">
        <f t="shared" si="154"/>
        <v>1270.5998141272712</v>
      </c>
      <c r="BP29" s="192">
        <f t="shared" si="154"/>
        <v>1253.5633018502081</v>
      </c>
      <c r="BQ29" s="192">
        <f t="shared" ref="BQ29:EB29" si="155">+BP27*($B$22/12)</f>
        <v>1236.3564244503746</v>
      </c>
      <c r="BR29" s="192">
        <f t="shared" si="155"/>
        <v>1218.9774782765426</v>
      </c>
      <c r="BS29" s="192">
        <f t="shared" si="155"/>
        <v>1201.4247426409722</v>
      </c>
      <c r="BT29" s="192">
        <f t="shared" si="155"/>
        <v>1183.6964796490463</v>
      </c>
      <c r="BU29" s="192">
        <f t="shared" si="155"/>
        <v>1165.790934027201</v>
      </c>
      <c r="BV29" s="192">
        <f t="shared" si="155"/>
        <v>1147.7063329491373</v>
      </c>
      <c r="BW29" s="192">
        <f t="shared" si="155"/>
        <v>1129.4408858602931</v>
      </c>
      <c r="BX29" s="192">
        <f t="shared" si="155"/>
        <v>1110.9927843005603</v>
      </c>
      <c r="BY29" s="192">
        <f t="shared" si="155"/>
        <v>1092.3602017252304</v>
      </c>
      <c r="BZ29" s="192">
        <f t="shared" si="155"/>
        <v>1073.5412933241471</v>
      </c>
      <c r="CA29" s="192">
        <f t="shared" si="155"/>
        <v>1054.5341958390527</v>
      </c>
      <c r="CB29" s="192">
        <f t="shared" si="155"/>
        <v>1035.3370273791077</v>
      </c>
      <c r="CC29" s="192">
        <f t="shared" si="155"/>
        <v>1015.9478872345629</v>
      </c>
      <c r="CD29" s="192">
        <f t="shared" si="155"/>
        <v>996.3648556885729</v>
      </c>
      <c r="CE29" s="192">
        <f t="shared" si="155"/>
        <v>976.58599382712293</v>
      </c>
      <c r="CF29" s="192">
        <f t="shared" si="155"/>
        <v>956.60934334705848</v>
      </c>
      <c r="CG29" s="192">
        <f t="shared" si="155"/>
        <v>936.43292636219337</v>
      </c>
      <c r="CH29" s="192">
        <f t="shared" si="155"/>
        <v>916.05474520747975</v>
      </c>
      <c r="CI29" s="192">
        <f t="shared" si="155"/>
        <v>895.47278224121885</v>
      </c>
      <c r="CJ29" s="192">
        <f t="shared" si="155"/>
        <v>874.68499964529531</v>
      </c>
      <c r="CK29" s="192">
        <f t="shared" si="155"/>
        <v>853.6893392234125</v>
      </c>
      <c r="CL29" s="192">
        <f t="shared" si="155"/>
        <v>832.48372219731107</v>
      </c>
      <c r="CM29" s="192">
        <f t="shared" si="155"/>
        <v>811.0660490009484</v>
      </c>
      <c r="CN29" s="192">
        <f t="shared" si="155"/>
        <v>789.43419907262228</v>
      </c>
      <c r="CO29" s="192">
        <f t="shared" si="155"/>
        <v>767.58603064501278</v>
      </c>
      <c r="CP29" s="192">
        <f t="shared" si="155"/>
        <v>745.51938053312722</v>
      </c>
      <c r="CQ29" s="192">
        <f t="shared" si="155"/>
        <v>723.23206392012287</v>
      </c>
      <c r="CR29" s="192">
        <f t="shared" si="155"/>
        <v>700.72187414098858</v>
      </c>
      <c r="CS29" s="192">
        <f t="shared" si="155"/>
        <v>677.98658246406274</v>
      </c>
      <c r="CT29" s="192">
        <f t="shared" si="155"/>
        <v>655.0239378703676</v>
      </c>
      <c r="CU29" s="192">
        <f t="shared" si="155"/>
        <v>631.83166683073568</v>
      </c>
      <c r="CV29" s="192">
        <f t="shared" si="155"/>
        <v>608.40747308070729</v>
      </c>
      <c r="CW29" s="192">
        <f t="shared" si="155"/>
        <v>584.7490373931787</v>
      </c>
      <c r="CX29" s="192">
        <f t="shared" si="155"/>
        <v>560.85401734877485</v>
      </c>
      <c r="CY29" s="192">
        <f t="shared" si="155"/>
        <v>536.72004710392685</v>
      </c>
      <c r="CZ29" s="192">
        <f t="shared" si="155"/>
        <v>512.34473715663046</v>
      </c>
      <c r="DA29" s="192">
        <f t="shared" si="155"/>
        <v>487.72567410986107</v>
      </c>
      <c r="DB29" s="192">
        <f t="shared" si="155"/>
        <v>462.86042043262404</v>
      </c>
      <c r="DC29" s="192">
        <f t="shared" si="155"/>
        <v>437.74651421861461</v>
      </c>
      <c r="DD29" s="192">
        <f t="shared" si="155"/>
        <v>412.38146894246506</v>
      </c>
      <c r="DE29" s="192">
        <f t="shared" si="155"/>
        <v>386.76277321355406</v>
      </c>
      <c r="DF29" s="192">
        <f t="shared" si="155"/>
        <v>360.88789052735387</v>
      </c>
      <c r="DG29" s="192">
        <f t="shared" si="155"/>
        <v>334.75425901429173</v>
      </c>
      <c r="DH29" s="192">
        <f t="shared" si="155"/>
        <v>308.35929118609903</v>
      </c>
      <c r="DI29" s="192">
        <f t="shared" si="155"/>
        <v>281.70037367962431</v>
      </c>
      <c r="DJ29" s="192">
        <f t="shared" si="155"/>
        <v>254.77486699808489</v>
      </c>
      <c r="DK29" s="192">
        <f t="shared" si="155"/>
        <v>227.58010524973005</v>
      </c>
      <c r="DL29" s="192">
        <f t="shared" si="155"/>
        <v>200.11339588389168</v>
      </c>
      <c r="DM29" s="192">
        <f t="shared" si="155"/>
        <v>172.37201942439492</v>
      </c>
      <c r="DN29" s="192">
        <f t="shared" si="155"/>
        <v>144.35322920030322</v>
      </c>
      <c r="DO29" s="192">
        <f t="shared" si="155"/>
        <v>116.05425107397058</v>
      </c>
      <c r="DP29" s="192">
        <f t="shared" si="155"/>
        <v>87.472283166374595</v>
      </c>
      <c r="DQ29" s="192">
        <f t="shared" si="155"/>
        <v>58.604495579702672</v>
      </c>
      <c r="DR29" s="192">
        <f t="shared" si="155"/>
        <v>29.448030117164027</v>
      </c>
      <c r="DS29" s="192">
        <f t="shared" si="155"/>
        <v>-9.0949470177292826E-15</v>
      </c>
      <c r="DT29" s="192">
        <f t="shared" si="155"/>
        <v>1958.7759999999998</v>
      </c>
      <c r="DU29" s="192">
        <f t="shared" si="155"/>
        <v>1978.36376</v>
      </c>
      <c r="DV29" s="192">
        <f t="shared" si="155"/>
        <v>1998.1473976</v>
      </c>
      <c r="DW29" s="192">
        <f t="shared" si="155"/>
        <v>2018.1288715759999</v>
      </c>
      <c r="DX29" s="192">
        <f t="shared" si="155"/>
        <v>2038.3101602917598</v>
      </c>
      <c r="DY29" s="192">
        <f t="shared" si="155"/>
        <v>2058.6932618946776</v>
      </c>
      <c r="DZ29" s="192">
        <f t="shared" si="155"/>
        <v>2079.2801945136243</v>
      </c>
      <c r="EA29" s="192">
        <f t="shared" si="155"/>
        <v>2100.0729964587604</v>
      </c>
      <c r="EB29" s="192">
        <f t="shared" si="155"/>
        <v>2121.073726423348</v>
      </c>
      <c r="EC29" s="192">
        <f t="shared" ref="EC29:FZ29" si="156">+EB27*($B$22/12)</f>
        <v>2142.2844636875816</v>
      </c>
      <c r="ED29" s="192">
        <f t="shared" si="156"/>
        <v>2163.7073083244572</v>
      </c>
      <c r="EE29" s="192">
        <f t="shared" si="156"/>
        <v>2185.3443814077018</v>
      </c>
      <c r="EF29" s="192">
        <f t="shared" si="156"/>
        <v>2207.1978252217787</v>
      </c>
      <c r="EG29" s="192">
        <f t="shared" si="156"/>
        <v>2229.2698034739965</v>
      </c>
      <c r="EH29" s="192">
        <f t="shared" si="156"/>
        <v>2251.5625015087367</v>
      </c>
      <c r="EI29" s="192">
        <f t="shared" si="156"/>
        <v>2274.0781265238238</v>
      </c>
      <c r="EJ29" s="192">
        <f t="shared" si="156"/>
        <v>2296.818907789062</v>
      </c>
      <c r="EK29" s="192">
        <f t="shared" si="156"/>
        <v>2319.7870968669527</v>
      </c>
      <c r="EL29" s="192">
        <f t="shared" si="156"/>
        <v>2342.9849678356222</v>
      </c>
      <c r="EM29" s="192">
        <f t="shared" si="156"/>
        <v>2366.4148175139785</v>
      </c>
      <c r="EN29" s="192">
        <f t="shared" si="156"/>
        <v>2390.0789656891184</v>
      </c>
      <c r="EO29" s="192">
        <f t="shared" si="156"/>
        <v>2413.9797553460098</v>
      </c>
      <c r="EP29" s="192">
        <f t="shared" si="156"/>
        <v>2438.1195528994699</v>
      </c>
      <c r="EQ29" s="192">
        <f t="shared" si="156"/>
        <v>2462.5007484284647</v>
      </c>
      <c r="ER29" s="192">
        <f t="shared" si="156"/>
        <v>2487.1257559127494</v>
      </c>
      <c r="ES29" s="192">
        <f t="shared" si="156"/>
        <v>2511.9970134718765</v>
      </c>
      <c r="ET29" s="192">
        <f t="shared" si="156"/>
        <v>2537.1169836065956</v>
      </c>
      <c r="EU29" s="192">
        <f t="shared" si="156"/>
        <v>2562.4881534426613</v>
      </c>
      <c r="EV29" s="192">
        <f t="shared" si="156"/>
        <v>2588.1130349770879</v>
      </c>
      <c r="EW29" s="192">
        <f t="shared" si="156"/>
        <v>2613.9941653268588</v>
      </c>
      <c r="EX29" s="192">
        <f t="shared" si="156"/>
        <v>2640.1341069801274</v>
      </c>
      <c r="EY29" s="192">
        <f t="shared" si="156"/>
        <v>2666.5354480499286</v>
      </c>
      <c r="EZ29" s="192">
        <f t="shared" si="156"/>
        <v>2693.2008025304281</v>
      </c>
      <c r="FA29" s="192">
        <f t="shared" si="156"/>
        <v>2720.1328105557327</v>
      </c>
      <c r="FB29" s="192">
        <f t="shared" si="156"/>
        <v>2747.3341386612901</v>
      </c>
      <c r="FC29" s="192">
        <f t="shared" si="156"/>
        <v>2774.807480047903</v>
      </c>
      <c r="FD29" s="192">
        <f t="shared" si="156"/>
        <v>2802.5555548483821</v>
      </c>
      <c r="FE29" s="192">
        <f t="shared" si="156"/>
        <v>2830.5811103968658</v>
      </c>
      <c r="FF29" s="192">
        <f t="shared" si="156"/>
        <v>2858.8869215008349</v>
      </c>
      <c r="FG29" s="192">
        <f t="shared" si="156"/>
        <v>2887.4757907158432</v>
      </c>
      <c r="FH29" s="192">
        <f t="shared" si="156"/>
        <v>2916.3505486230019</v>
      </c>
      <c r="FI29" s="192">
        <f t="shared" si="156"/>
        <v>2945.5140541092319</v>
      </c>
      <c r="FJ29" s="192">
        <f t="shared" si="156"/>
        <v>2974.969194650324</v>
      </c>
      <c r="FK29" s="192">
        <f t="shared" si="156"/>
        <v>3004.7188865968269</v>
      </c>
      <c r="FL29" s="192">
        <f t="shared" si="156"/>
        <v>3034.7660754627955</v>
      </c>
      <c r="FM29" s="192">
        <f t="shared" si="156"/>
        <v>3065.1137362174236</v>
      </c>
      <c r="FN29" s="192">
        <f t="shared" si="156"/>
        <v>3095.7648735795979</v>
      </c>
      <c r="FO29" s="192">
        <f t="shared" si="156"/>
        <v>3126.7225223153941</v>
      </c>
      <c r="FP29" s="192">
        <f t="shared" si="156"/>
        <v>3157.9897475385478</v>
      </c>
      <c r="FQ29" s="192">
        <f t="shared" si="156"/>
        <v>3189.569645013933</v>
      </c>
      <c r="FR29" s="192">
        <f t="shared" si="156"/>
        <v>3221.4653414640729</v>
      </c>
      <c r="FS29" s="192">
        <f t="shared" si="156"/>
        <v>3253.6799948787138</v>
      </c>
      <c r="FT29" s="192">
        <f t="shared" si="156"/>
        <v>3286.216794827501</v>
      </c>
      <c r="FU29" s="192">
        <f t="shared" si="156"/>
        <v>3319.0789627757758</v>
      </c>
      <c r="FV29" s="192">
        <f t="shared" si="156"/>
        <v>3352.2697524035334</v>
      </c>
      <c r="FW29" s="192">
        <f t="shared" si="156"/>
        <v>3385.7924499275687</v>
      </c>
      <c r="FX29" s="192">
        <f t="shared" si="156"/>
        <v>3419.6503744268443</v>
      </c>
      <c r="FY29" s="192">
        <f t="shared" si="156"/>
        <v>3453.8468781711126</v>
      </c>
      <c r="FZ29" s="192">
        <f t="shared" si="156"/>
        <v>3488.3853469528235</v>
      </c>
    </row>
    <row r="30" spans="1:182" outlineLevel="1" x14ac:dyDescent="0.2">
      <c r="A30" s="24" t="s">
        <v>234</v>
      </c>
      <c r="B30" s="192">
        <f>SUM(C30:DR30)</f>
        <v>195877.59999999989</v>
      </c>
      <c r="C30" s="192">
        <f t="shared" ref="C30:AH30" si="157">+C28-C29</f>
        <v>0</v>
      </c>
      <c r="D30" s="192">
        <f t="shared" si="157"/>
        <v>0</v>
      </c>
      <c r="E30" s="192">
        <f t="shared" si="157"/>
        <v>0</v>
      </c>
      <c r="F30" s="192">
        <f t="shared" si="157"/>
        <v>0</v>
      </c>
      <c r="G30" s="192">
        <f t="shared" si="157"/>
        <v>0</v>
      </c>
      <c r="H30" s="192">
        <f t="shared" si="157"/>
        <v>0</v>
      </c>
      <c r="I30" s="192">
        <f t="shared" si="157"/>
        <v>0</v>
      </c>
      <c r="J30" s="192">
        <f t="shared" si="157"/>
        <v>0</v>
      </c>
      <c r="K30" s="192">
        <f t="shared" si="157"/>
        <v>0</v>
      </c>
      <c r="L30" s="192">
        <f t="shared" si="157"/>
        <v>0</v>
      </c>
      <c r="M30" s="192">
        <f t="shared" si="157"/>
        <v>0</v>
      </c>
      <c r="N30" s="192">
        <f t="shared" si="157"/>
        <v>0</v>
      </c>
      <c r="O30" s="192">
        <f t="shared" si="157"/>
        <v>1015.4750418335675</v>
      </c>
      <c r="P30" s="192">
        <f t="shared" si="157"/>
        <v>1025.6297922519032</v>
      </c>
      <c r="Q30" s="192">
        <f t="shared" si="157"/>
        <v>1035.8860901744224</v>
      </c>
      <c r="R30" s="192">
        <f t="shared" si="157"/>
        <v>1046.2449510761667</v>
      </c>
      <c r="S30" s="192">
        <f t="shared" si="157"/>
        <v>1056.7074005869283</v>
      </c>
      <c r="T30" s="192">
        <f t="shared" si="157"/>
        <v>1067.2744745927976</v>
      </c>
      <c r="U30" s="192">
        <f t="shared" si="157"/>
        <v>1077.9472193387255</v>
      </c>
      <c r="V30" s="192">
        <f t="shared" si="157"/>
        <v>1088.7266915321127</v>
      </c>
      <c r="W30" s="192">
        <f t="shared" si="157"/>
        <v>1099.613958447434</v>
      </c>
      <c r="X30" s="192">
        <f t="shared" si="157"/>
        <v>1110.6100980319084</v>
      </c>
      <c r="Y30" s="192">
        <f t="shared" si="157"/>
        <v>1121.7161990122274</v>
      </c>
      <c r="Z30" s="192">
        <f t="shared" si="157"/>
        <v>1132.9333610023498</v>
      </c>
      <c r="AA30" s="192">
        <f t="shared" si="157"/>
        <v>1144.2626946123735</v>
      </c>
      <c r="AB30" s="192">
        <f t="shared" si="157"/>
        <v>1155.7053215584972</v>
      </c>
      <c r="AC30" s="192">
        <f t="shared" si="157"/>
        <v>1167.2623747740822</v>
      </c>
      <c r="AD30" s="192">
        <f t="shared" si="157"/>
        <v>1178.934998521823</v>
      </c>
      <c r="AE30" s="192">
        <f t="shared" si="157"/>
        <v>1190.7243485070412</v>
      </c>
      <c r="AF30" s="192">
        <f t="shared" si="157"/>
        <v>1202.6315919921115</v>
      </c>
      <c r="AG30" s="192">
        <f t="shared" si="157"/>
        <v>1214.6579079120324</v>
      </c>
      <c r="AH30" s="192">
        <f t="shared" si="157"/>
        <v>1226.804486991153</v>
      </c>
      <c r="AI30" s="192">
        <f t="shared" ref="AI30:BN30" si="158">+AI28-AI29</f>
        <v>1239.0725318610644</v>
      </c>
      <c r="AJ30" s="192">
        <f t="shared" si="158"/>
        <v>1251.4632571796751</v>
      </c>
      <c r="AK30" s="192">
        <f t="shared" si="158"/>
        <v>1263.977889751472</v>
      </c>
      <c r="AL30" s="192">
        <f t="shared" si="158"/>
        <v>1276.6176686489866</v>
      </c>
      <c r="AM30" s="192">
        <f t="shared" si="158"/>
        <v>1289.3838453354763</v>
      </c>
      <c r="AN30" s="192">
        <f t="shared" si="158"/>
        <v>1302.2776837888312</v>
      </c>
      <c r="AO30" s="192">
        <f t="shared" si="158"/>
        <v>1315.3004606267195</v>
      </c>
      <c r="AP30" s="192">
        <f t="shared" si="158"/>
        <v>1328.4534652329867</v>
      </c>
      <c r="AQ30" s="192">
        <f t="shared" si="158"/>
        <v>1341.7379998853164</v>
      </c>
      <c r="AR30" s="192">
        <f t="shared" si="158"/>
        <v>1355.1553798841696</v>
      </c>
      <c r="AS30" s="192">
        <f t="shared" si="158"/>
        <v>1368.7069336830114</v>
      </c>
      <c r="AT30" s="192">
        <f t="shared" si="158"/>
        <v>1382.3940030198414</v>
      </c>
      <c r="AU30" s="192">
        <f t="shared" si="158"/>
        <v>1396.2179430500398</v>
      </c>
      <c r="AV30" s="192">
        <f t="shared" si="158"/>
        <v>1410.1801224805401</v>
      </c>
      <c r="AW30" s="192">
        <f t="shared" si="158"/>
        <v>1424.2819237053457</v>
      </c>
      <c r="AX30" s="192">
        <f t="shared" si="158"/>
        <v>1438.5247429423991</v>
      </c>
      <c r="AY30" s="192">
        <f t="shared" si="158"/>
        <v>1452.9099903718229</v>
      </c>
      <c r="AZ30" s="192">
        <f t="shared" si="158"/>
        <v>1467.439090275541</v>
      </c>
      <c r="BA30" s="192">
        <f t="shared" si="158"/>
        <v>1482.1134811782968</v>
      </c>
      <c r="BB30" s="192">
        <f t="shared" si="158"/>
        <v>1496.9346159900797</v>
      </c>
      <c r="BC30" s="192">
        <f t="shared" si="158"/>
        <v>1511.9039621499805</v>
      </c>
      <c r="BD30" s="192">
        <f t="shared" si="158"/>
        <v>1527.0230017714803</v>
      </c>
      <c r="BE30" s="192">
        <f t="shared" si="158"/>
        <v>1542.2932317891953</v>
      </c>
      <c r="BF30" s="192">
        <f t="shared" si="158"/>
        <v>1557.716164107087</v>
      </c>
      <c r="BG30" s="192">
        <f t="shared" si="158"/>
        <v>1573.2933257481579</v>
      </c>
      <c r="BH30" s="192">
        <f t="shared" si="158"/>
        <v>1589.0262590056395</v>
      </c>
      <c r="BI30" s="192">
        <f t="shared" si="158"/>
        <v>1604.9165215956959</v>
      </c>
      <c r="BJ30" s="192">
        <f t="shared" si="158"/>
        <v>1620.9656868116531</v>
      </c>
      <c r="BK30" s="192">
        <f t="shared" si="158"/>
        <v>1637.1753436797696</v>
      </c>
      <c r="BL30" s="192">
        <f t="shared" si="158"/>
        <v>1653.5470971165671</v>
      </c>
      <c r="BM30" s="192">
        <f t="shared" si="158"/>
        <v>1670.0825680877329</v>
      </c>
      <c r="BN30" s="192">
        <f t="shared" si="158"/>
        <v>1686.78339376861</v>
      </c>
      <c r="BO30" s="192">
        <f t="shared" ref="BO30:CT30" si="159">+BO28-BO29</f>
        <v>1703.6512277062961</v>
      </c>
      <c r="BP30" s="192">
        <f t="shared" si="159"/>
        <v>1720.6877399833593</v>
      </c>
      <c r="BQ30" s="192">
        <f t="shared" si="159"/>
        <v>1737.8946173831928</v>
      </c>
      <c r="BR30" s="192">
        <f t="shared" si="159"/>
        <v>1755.2735635570248</v>
      </c>
      <c r="BS30" s="192">
        <f t="shared" si="159"/>
        <v>1772.8262991925951</v>
      </c>
      <c r="BT30" s="192">
        <f t="shared" si="159"/>
        <v>1790.554562184521</v>
      </c>
      <c r="BU30" s="192">
        <f t="shared" si="159"/>
        <v>1808.4601078063663</v>
      </c>
      <c r="BV30" s="192">
        <f t="shared" si="159"/>
        <v>1826.5447088844301</v>
      </c>
      <c r="BW30" s="192">
        <f t="shared" si="159"/>
        <v>1844.8101559732743</v>
      </c>
      <c r="BX30" s="192">
        <f t="shared" si="159"/>
        <v>1863.2582575330071</v>
      </c>
      <c r="BY30" s="192">
        <f t="shared" si="159"/>
        <v>1881.890840108337</v>
      </c>
      <c r="BZ30" s="192">
        <f t="shared" si="159"/>
        <v>1900.7097485094203</v>
      </c>
      <c r="CA30" s="192">
        <f t="shared" si="159"/>
        <v>1919.7168459945146</v>
      </c>
      <c r="CB30" s="192">
        <f t="shared" si="159"/>
        <v>1938.9140144544597</v>
      </c>
      <c r="CC30" s="192">
        <f t="shared" si="159"/>
        <v>1958.3031545990043</v>
      </c>
      <c r="CD30" s="192">
        <f t="shared" si="159"/>
        <v>1977.8861861449946</v>
      </c>
      <c r="CE30" s="192">
        <f t="shared" si="159"/>
        <v>1997.6650480064445</v>
      </c>
      <c r="CF30" s="192">
        <f t="shared" si="159"/>
        <v>2017.6416984865089</v>
      </c>
      <c r="CG30" s="192">
        <f t="shared" si="159"/>
        <v>2037.8181154713739</v>
      </c>
      <c r="CH30" s="192">
        <f t="shared" si="159"/>
        <v>2058.1962966260876</v>
      </c>
      <c r="CI30" s="192">
        <f t="shared" si="159"/>
        <v>2078.7782595923486</v>
      </c>
      <c r="CJ30" s="192">
        <f t="shared" si="159"/>
        <v>2099.5660421882721</v>
      </c>
      <c r="CK30" s="192">
        <f t="shared" si="159"/>
        <v>2120.561702610155</v>
      </c>
      <c r="CL30" s="192">
        <f t="shared" si="159"/>
        <v>2141.7673196362562</v>
      </c>
      <c r="CM30" s="192">
        <f t="shared" si="159"/>
        <v>2163.1849928326192</v>
      </c>
      <c r="CN30" s="192">
        <f t="shared" si="159"/>
        <v>2184.8168427609453</v>
      </c>
      <c r="CO30" s="192">
        <f t="shared" si="159"/>
        <v>2206.6650111885547</v>
      </c>
      <c r="CP30" s="192">
        <f t="shared" si="159"/>
        <v>2228.73166130044</v>
      </c>
      <c r="CQ30" s="192">
        <f t="shared" si="159"/>
        <v>2251.0189779134444</v>
      </c>
      <c r="CR30" s="192">
        <f t="shared" si="159"/>
        <v>2273.529167692579</v>
      </c>
      <c r="CS30" s="192">
        <f t="shared" si="159"/>
        <v>2296.2644593695045</v>
      </c>
      <c r="CT30" s="192">
        <f t="shared" si="159"/>
        <v>2319.2271039631996</v>
      </c>
      <c r="CU30" s="192">
        <f t="shared" ref="CU30:DZ30" si="160">+CU28-CU29</f>
        <v>2342.4193750028317</v>
      </c>
      <c r="CV30" s="192">
        <f t="shared" si="160"/>
        <v>2365.8435687528599</v>
      </c>
      <c r="CW30" s="192">
        <f t="shared" si="160"/>
        <v>2389.5020044403886</v>
      </c>
      <c r="CX30" s="192">
        <f t="shared" si="160"/>
        <v>2413.3970244847924</v>
      </c>
      <c r="CY30" s="192">
        <f t="shared" si="160"/>
        <v>2437.5309947296405</v>
      </c>
      <c r="CZ30" s="192">
        <f t="shared" si="160"/>
        <v>2461.906304676937</v>
      </c>
      <c r="DA30" s="192">
        <f t="shared" si="160"/>
        <v>2486.525367723706</v>
      </c>
      <c r="DB30" s="192">
        <f t="shared" si="160"/>
        <v>2511.3906214009435</v>
      </c>
      <c r="DC30" s="192">
        <f t="shared" si="160"/>
        <v>2536.5045276149526</v>
      </c>
      <c r="DD30" s="192">
        <f t="shared" si="160"/>
        <v>2561.8695728911025</v>
      </c>
      <c r="DE30" s="192">
        <f t="shared" si="160"/>
        <v>2587.4882686200135</v>
      </c>
      <c r="DF30" s="192">
        <f t="shared" si="160"/>
        <v>2613.3631513062137</v>
      </c>
      <c r="DG30" s="192">
        <f t="shared" si="160"/>
        <v>2639.4967828192757</v>
      </c>
      <c r="DH30" s="192">
        <f t="shared" si="160"/>
        <v>2665.8917506474681</v>
      </c>
      <c r="DI30" s="192">
        <f t="shared" si="160"/>
        <v>2692.5506681539432</v>
      </c>
      <c r="DJ30" s="192">
        <f t="shared" si="160"/>
        <v>2719.4761748354827</v>
      </c>
      <c r="DK30" s="192">
        <f t="shared" si="160"/>
        <v>2746.6709365838374</v>
      </c>
      <c r="DL30" s="192">
        <f t="shared" si="160"/>
        <v>2774.1376459496755</v>
      </c>
      <c r="DM30" s="192">
        <f t="shared" si="160"/>
        <v>2801.8790224091726</v>
      </c>
      <c r="DN30" s="192">
        <f t="shared" si="160"/>
        <v>2829.897812633264</v>
      </c>
      <c r="DO30" s="192">
        <f t="shared" si="160"/>
        <v>2858.1967907595968</v>
      </c>
      <c r="DP30" s="192">
        <f t="shared" si="160"/>
        <v>2886.778758667193</v>
      </c>
      <c r="DQ30" s="192">
        <f t="shared" si="160"/>
        <v>2915.6465462538645</v>
      </c>
      <c r="DR30" s="192">
        <f t="shared" si="160"/>
        <v>2944.8030117164035</v>
      </c>
      <c r="DS30" s="192">
        <f t="shared" si="160"/>
        <v>9.0949470177292826E-15</v>
      </c>
      <c r="DT30" s="192">
        <f t="shared" si="160"/>
        <v>-1958.7759999999998</v>
      </c>
      <c r="DU30" s="192">
        <f t="shared" si="160"/>
        <v>-1978.36376</v>
      </c>
      <c r="DV30" s="192">
        <f t="shared" si="160"/>
        <v>-1998.1473976</v>
      </c>
      <c r="DW30" s="192">
        <f t="shared" si="160"/>
        <v>-2018.1288715759999</v>
      </c>
      <c r="DX30" s="192">
        <f t="shared" si="160"/>
        <v>-2038.3101602917598</v>
      </c>
      <c r="DY30" s="192">
        <f t="shared" si="160"/>
        <v>-2058.6932618946776</v>
      </c>
      <c r="DZ30" s="192">
        <f t="shared" si="160"/>
        <v>-2079.2801945136243</v>
      </c>
      <c r="EA30" s="192">
        <f t="shared" ref="EA30:FF30" si="161">+EA28-EA29</f>
        <v>-2100.0729964587604</v>
      </c>
      <c r="EB30" s="192">
        <f t="shared" si="161"/>
        <v>-2121.073726423348</v>
      </c>
      <c r="EC30" s="192">
        <f t="shared" si="161"/>
        <v>-2142.2844636875816</v>
      </c>
      <c r="ED30" s="192">
        <f t="shared" si="161"/>
        <v>-2163.7073083244572</v>
      </c>
      <c r="EE30" s="192">
        <f t="shared" si="161"/>
        <v>-2185.3443814077018</v>
      </c>
      <c r="EF30" s="192">
        <f t="shared" si="161"/>
        <v>-2207.1978252217787</v>
      </c>
      <c r="EG30" s="192">
        <f t="shared" si="161"/>
        <v>-2229.2698034739965</v>
      </c>
      <c r="EH30" s="192">
        <f t="shared" si="161"/>
        <v>-2251.5625015087367</v>
      </c>
      <c r="EI30" s="192">
        <f t="shared" si="161"/>
        <v>-2274.0781265238238</v>
      </c>
      <c r="EJ30" s="192">
        <f t="shared" si="161"/>
        <v>-2296.818907789062</v>
      </c>
      <c r="EK30" s="192">
        <f t="shared" si="161"/>
        <v>-2319.7870968669527</v>
      </c>
      <c r="EL30" s="192">
        <f t="shared" si="161"/>
        <v>-2342.9849678356222</v>
      </c>
      <c r="EM30" s="192">
        <f t="shared" si="161"/>
        <v>-2366.4148175139785</v>
      </c>
      <c r="EN30" s="192">
        <f t="shared" si="161"/>
        <v>-2390.0789656891184</v>
      </c>
      <c r="EO30" s="192">
        <f t="shared" si="161"/>
        <v>-2413.9797553460098</v>
      </c>
      <c r="EP30" s="192">
        <f t="shared" si="161"/>
        <v>-2438.1195528994699</v>
      </c>
      <c r="EQ30" s="192">
        <f t="shared" si="161"/>
        <v>-2462.5007484284647</v>
      </c>
      <c r="ER30" s="192">
        <f t="shared" si="161"/>
        <v>-2487.1257559127494</v>
      </c>
      <c r="ES30" s="192">
        <f t="shared" si="161"/>
        <v>-2511.9970134718765</v>
      </c>
      <c r="ET30" s="192">
        <f t="shared" si="161"/>
        <v>-2537.1169836065956</v>
      </c>
      <c r="EU30" s="192">
        <f t="shared" si="161"/>
        <v>-2562.4881534426613</v>
      </c>
      <c r="EV30" s="192">
        <f t="shared" si="161"/>
        <v>-2588.1130349770879</v>
      </c>
      <c r="EW30" s="192">
        <f t="shared" si="161"/>
        <v>-2613.9941653268588</v>
      </c>
      <c r="EX30" s="192">
        <f t="shared" si="161"/>
        <v>-2640.1341069801274</v>
      </c>
      <c r="EY30" s="192">
        <f t="shared" si="161"/>
        <v>-2666.5354480499286</v>
      </c>
      <c r="EZ30" s="192">
        <f t="shared" si="161"/>
        <v>-2693.2008025304281</v>
      </c>
      <c r="FA30" s="192">
        <f t="shared" si="161"/>
        <v>-2720.1328105557327</v>
      </c>
      <c r="FB30" s="192">
        <f t="shared" si="161"/>
        <v>-2747.3341386612901</v>
      </c>
      <c r="FC30" s="192">
        <f t="shared" si="161"/>
        <v>-2774.807480047903</v>
      </c>
      <c r="FD30" s="192">
        <f t="shared" si="161"/>
        <v>-2802.5555548483821</v>
      </c>
      <c r="FE30" s="192">
        <f t="shared" si="161"/>
        <v>-2830.5811103968658</v>
      </c>
      <c r="FF30" s="192">
        <f t="shared" si="161"/>
        <v>-2858.8869215008349</v>
      </c>
      <c r="FG30" s="192">
        <f t="shared" ref="FG30:FZ30" si="162">+FG28-FG29</f>
        <v>-2887.4757907158432</v>
      </c>
      <c r="FH30" s="192">
        <f t="shared" si="162"/>
        <v>-2916.3505486230019</v>
      </c>
      <c r="FI30" s="192">
        <f t="shared" si="162"/>
        <v>-2945.5140541092319</v>
      </c>
      <c r="FJ30" s="192">
        <f t="shared" si="162"/>
        <v>-2974.969194650324</v>
      </c>
      <c r="FK30" s="192">
        <f t="shared" si="162"/>
        <v>-3004.7188865968269</v>
      </c>
      <c r="FL30" s="192">
        <f t="shared" si="162"/>
        <v>-3034.7660754627955</v>
      </c>
      <c r="FM30" s="192">
        <f t="shared" si="162"/>
        <v>-3065.1137362174236</v>
      </c>
      <c r="FN30" s="192">
        <f t="shared" si="162"/>
        <v>-3095.7648735795979</v>
      </c>
      <c r="FO30" s="192">
        <f t="shared" si="162"/>
        <v>-3126.7225223153941</v>
      </c>
      <c r="FP30" s="192">
        <f t="shared" si="162"/>
        <v>-3157.9897475385478</v>
      </c>
      <c r="FQ30" s="192">
        <f t="shared" si="162"/>
        <v>-3189.569645013933</v>
      </c>
      <c r="FR30" s="192">
        <f t="shared" si="162"/>
        <v>-3221.4653414640729</v>
      </c>
      <c r="FS30" s="192">
        <f t="shared" si="162"/>
        <v>-3253.6799948787138</v>
      </c>
      <c r="FT30" s="192">
        <f t="shared" si="162"/>
        <v>-3286.216794827501</v>
      </c>
      <c r="FU30" s="192">
        <f t="shared" si="162"/>
        <v>-3319.0789627757758</v>
      </c>
      <c r="FV30" s="192">
        <f t="shared" si="162"/>
        <v>-3352.2697524035334</v>
      </c>
      <c r="FW30" s="192">
        <f t="shared" si="162"/>
        <v>-3385.7924499275687</v>
      </c>
      <c r="FX30" s="192">
        <f t="shared" si="162"/>
        <v>-3419.6503744268443</v>
      </c>
      <c r="FY30" s="192">
        <f t="shared" si="162"/>
        <v>-3453.8468781711126</v>
      </c>
      <c r="FZ30" s="192">
        <f t="shared" si="162"/>
        <v>-3488.3853469528235</v>
      </c>
    </row>
    <row r="33" spans="1:182" x14ac:dyDescent="0.2">
      <c r="A33" s="145" t="s">
        <v>436</v>
      </c>
    </row>
    <row r="34" spans="1:182" outlineLevel="1" x14ac:dyDescent="0.2">
      <c r="A34" s="24" t="s">
        <v>228</v>
      </c>
      <c r="B34" s="166">
        <f>+Inv.Rep.!E58</f>
        <v>233712.70400000006</v>
      </c>
    </row>
    <row r="35" spans="1:182" outlineLevel="1" x14ac:dyDescent="0.2">
      <c r="A35" s="24" t="s">
        <v>229</v>
      </c>
      <c r="B35" s="191">
        <f>+Condiciones!$B$20</f>
        <v>0.12</v>
      </c>
    </row>
    <row r="36" spans="1:182" outlineLevel="1" x14ac:dyDescent="0.2">
      <c r="A36" s="24" t="s">
        <v>230</v>
      </c>
      <c r="B36" s="139">
        <v>96</v>
      </c>
    </row>
    <row r="37" spans="1:182" outlineLevel="1" x14ac:dyDescent="0.2">
      <c r="A37" s="24" t="s">
        <v>231</v>
      </c>
      <c r="B37" s="192">
        <f>PMT(B35/12,B36,-B34)</f>
        <v>3798.4955172926016</v>
      </c>
    </row>
    <row r="38" spans="1:182" outlineLevel="1" x14ac:dyDescent="0.2">
      <c r="A38" s="24" t="s">
        <v>356</v>
      </c>
      <c r="B38" s="139">
        <v>24</v>
      </c>
    </row>
    <row r="39" spans="1:182" outlineLevel="1" x14ac:dyDescent="0.2"/>
    <row r="40" spans="1:182" outlineLevel="1" x14ac:dyDescent="0.2">
      <c r="A40" s="24" t="s">
        <v>232</v>
      </c>
      <c r="B40" s="166">
        <f>+B34</f>
        <v>233712.70400000006</v>
      </c>
      <c r="C40" s="192">
        <v>0</v>
      </c>
      <c r="D40" s="192">
        <f>+IF(C40&gt;0,C40-D43,IF(D4&lt;$B$38,0,$B$40-D43))</f>
        <v>0</v>
      </c>
      <c r="E40" s="192">
        <f t="shared" ref="E40:BP40" si="163">+IF(D40&gt;0,D40-E43,IF(E4&lt;$B$38,0,$B$40-E43))</f>
        <v>0</v>
      </c>
      <c r="F40" s="192">
        <f t="shared" si="163"/>
        <v>0</v>
      </c>
      <c r="G40" s="192">
        <f t="shared" si="163"/>
        <v>0</v>
      </c>
      <c r="H40" s="192">
        <f t="shared" si="163"/>
        <v>0</v>
      </c>
      <c r="I40" s="192">
        <f t="shared" si="163"/>
        <v>0</v>
      </c>
      <c r="J40" s="192">
        <f t="shared" si="163"/>
        <v>0</v>
      </c>
      <c r="K40" s="192">
        <f t="shared" si="163"/>
        <v>0</v>
      </c>
      <c r="L40" s="192">
        <f t="shared" si="163"/>
        <v>0</v>
      </c>
      <c r="M40" s="192">
        <f t="shared" si="163"/>
        <v>0</v>
      </c>
      <c r="N40" s="192">
        <f t="shared" si="163"/>
        <v>0</v>
      </c>
      <c r="O40" s="192">
        <f t="shared" si="163"/>
        <v>0</v>
      </c>
      <c r="P40" s="192">
        <f t="shared" si="163"/>
        <v>0</v>
      </c>
      <c r="Q40" s="192">
        <f t="shared" si="163"/>
        <v>0</v>
      </c>
      <c r="R40" s="192">
        <f t="shared" si="163"/>
        <v>0</v>
      </c>
      <c r="S40" s="192">
        <f t="shared" si="163"/>
        <v>0</v>
      </c>
      <c r="T40" s="192">
        <f t="shared" si="163"/>
        <v>0</v>
      </c>
      <c r="U40" s="192">
        <f t="shared" si="163"/>
        <v>0</v>
      </c>
      <c r="V40" s="192">
        <f t="shared" si="163"/>
        <v>0</v>
      </c>
      <c r="W40" s="192">
        <f t="shared" si="163"/>
        <v>0</v>
      </c>
      <c r="X40" s="192">
        <f t="shared" si="163"/>
        <v>0</v>
      </c>
      <c r="Y40" s="192">
        <f t="shared" si="163"/>
        <v>0</v>
      </c>
      <c r="Z40" s="192">
        <f t="shared" si="163"/>
        <v>233712.70400000006</v>
      </c>
      <c r="AA40" s="192">
        <f t="shared" si="163"/>
        <v>232251.33552270746</v>
      </c>
      <c r="AB40" s="192">
        <f t="shared" si="163"/>
        <v>230775.35336064195</v>
      </c>
      <c r="AC40" s="192">
        <f t="shared" si="163"/>
        <v>229284.61137695576</v>
      </c>
      <c r="AD40" s="192">
        <f t="shared" si="163"/>
        <v>227778.96197343271</v>
      </c>
      <c r="AE40" s="192">
        <f t="shared" si="163"/>
        <v>226258.25607587444</v>
      </c>
      <c r="AF40" s="192">
        <f t="shared" si="163"/>
        <v>224722.34311934057</v>
      </c>
      <c r="AG40" s="192">
        <f t="shared" si="163"/>
        <v>223171.07103324137</v>
      </c>
      <c r="AH40" s="192">
        <f t="shared" si="163"/>
        <v>221604.2862262812</v>
      </c>
      <c r="AI40" s="192">
        <f t="shared" si="163"/>
        <v>220021.83357125139</v>
      </c>
      <c r="AJ40" s="192">
        <f t="shared" si="163"/>
        <v>218423.55638967131</v>
      </c>
      <c r="AK40" s="192">
        <f t="shared" si="163"/>
        <v>216809.29643627541</v>
      </c>
      <c r="AL40" s="192">
        <f t="shared" si="163"/>
        <v>215178.89388334556</v>
      </c>
      <c r="AM40" s="192">
        <f t="shared" si="163"/>
        <v>213532.18730488641</v>
      </c>
      <c r="AN40" s="192">
        <f t="shared" si="163"/>
        <v>211869.01366064267</v>
      </c>
      <c r="AO40" s="192">
        <f t="shared" si="163"/>
        <v>210189.20827995648</v>
      </c>
      <c r="AP40" s="192">
        <f t="shared" si="163"/>
        <v>208492.60484546344</v>
      </c>
      <c r="AQ40" s="192">
        <f t="shared" si="163"/>
        <v>206779.03537662548</v>
      </c>
      <c r="AR40" s="192">
        <f t="shared" si="163"/>
        <v>205048.33021309914</v>
      </c>
      <c r="AS40" s="192">
        <f t="shared" si="163"/>
        <v>203300.31799793753</v>
      </c>
      <c r="AT40" s="192">
        <f t="shared" si="163"/>
        <v>201534.82566062431</v>
      </c>
      <c r="AU40" s="192">
        <f t="shared" si="163"/>
        <v>199751.67839993795</v>
      </c>
      <c r="AV40" s="192">
        <f t="shared" si="163"/>
        <v>197950.69966664474</v>
      </c>
      <c r="AW40" s="192">
        <f t="shared" si="163"/>
        <v>196131.71114601858</v>
      </c>
      <c r="AX40" s="192">
        <f t="shared" si="163"/>
        <v>194294.53274018617</v>
      </c>
      <c r="AY40" s="192">
        <f t="shared" si="163"/>
        <v>192438.98255029542</v>
      </c>
      <c r="AZ40" s="192">
        <f t="shared" si="163"/>
        <v>190564.87685850577</v>
      </c>
      <c r="BA40" s="192">
        <f t="shared" si="163"/>
        <v>188672.03010979822</v>
      </c>
      <c r="BB40" s="192">
        <f t="shared" si="163"/>
        <v>186760.25489360359</v>
      </c>
      <c r="BC40" s="192">
        <f t="shared" si="163"/>
        <v>184829.36192524701</v>
      </c>
      <c r="BD40" s="192">
        <f t="shared" si="163"/>
        <v>182879.16002720688</v>
      </c>
      <c r="BE40" s="192">
        <f t="shared" si="163"/>
        <v>180909.45611018635</v>
      </c>
      <c r="BF40" s="192">
        <f t="shared" si="163"/>
        <v>178920.05515399561</v>
      </c>
      <c r="BG40" s="192">
        <f t="shared" si="163"/>
        <v>176910.76018824297</v>
      </c>
      <c r="BH40" s="192">
        <f t="shared" si="163"/>
        <v>174881.37227283281</v>
      </c>
      <c r="BI40" s="192">
        <f t="shared" si="163"/>
        <v>172831.69047826855</v>
      </c>
      <c r="BJ40" s="192">
        <f t="shared" si="163"/>
        <v>170761.51186575863</v>
      </c>
      <c r="BK40" s="192">
        <f t="shared" si="163"/>
        <v>168670.6314671236</v>
      </c>
      <c r="BL40" s="192">
        <f t="shared" si="163"/>
        <v>166558.84226450225</v>
      </c>
      <c r="BM40" s="192">
        <f t="shared" si="163"/>
        <v>164425.93516985467</v>
      </c>
      <c r="BN40" s="192">
        <f t="shared" si="163"/>
        <v>162271.69900426062</v>
      </c>
      <c r="BO40" s="192">
        <f t="shared" si="163"/>
        <v>160095.92047701063</v>
      </c>
      <c r="BP40" s="192">
        <f t="shared" si="163"/>
        <v>157898.38416448815</v>
      </c>
      <c r="BQ40" s="192">
        <f t="shared" ref="BQ40:EB40" si="164">+IF(BP40&gt;0,BP40-BQ43,IF(BQ4&lt;$B$38,0,$B$40-BQ43))</f>
        <v>155678.87248884042</v>
      </c>
      <c r="BR40" s="192">
        <f t="shared" si="164"/>
        <v>153437.16569643622</v>
      </c>
      <c r="BS40" s="192">
        <f t="shared" si="164"/>
        <v>151173.04183610799</v>
      </c>
      <c r="BT40" s="192">
        <f t="shared" si="164"/>
        <v>148886.27673717646</v>
      </c>
      <c r="BU40" s="192">
        <f t="shared" si="164"/>
        <v>146576.64398725564</v>
      </c>
      <c r="BV40" s="192">
        <f t="shared" si="164"/>
        <v>144243.91490983558</v>
      </c>
      <c r="BW40" s="192">
        <f t="shared" si="164"/>
        <v>141887.85854164133</v>
      </c>
      <c r="BX40" s="192">
        <f t="shared" si="164"/>
        <v>139508.24160976513</v>
      </c>
      <c r="BY40" s="192">
        <f t="shared" si="164"/>
        <v>137104.82850857018</v>
      </c>
      <c r="BZ40" s="192">
        <f t="shared" si="164"/>
        <v>134677.38127636327</v>
      </c>
      <c r="CA40" s="192">
        <f t="shared" si="164"/>
        <v>132225.65957183432</v>
      </c>
      <c r="CB40" s="192">
        <f t="shared" si="164"/>
        <v>129749.42065026006</v>
      </c>
      <c r="CC40" s="192">
        <f t="shared" si="164"/>
        <v>127248.41933947006</v>
      </c>
      <c r="CD40" s="192">
        <f t="shared" si="164"/>
        <v>124722.40801557216</v>
      </c>
      <c r="CE40" s="192">
        <f t="shared" si="164"/>
        <v>122171.13657843528</v>
      </c>
      <c r="CF40" s="192">
        <f t="shared" si="164"/>
        <v>119594.35242692703</v>
      </c>
      <c r="CG40" s="192">
        <f t="shared" si="164"/>
        <v>116991.8004339037</v>
      </c>
      <c r="CH40" s="192">
        <f t="shared" si="164"/>
        <v>114363.22292095014</v>
      </c>
      <c r="CI40" s="192">
        <f t="shared" si="164"/>
        <v>111708.35963286704</v>
      </c>
      <c r="CJ40" s="192">
        <f t="shared" si="164"/>
        <v>109026.94771190311</v>
      </c>
      <c r="CK40" s="192">
        <f t="shared" si="164"/>
        <v>106318.72167172954</v>
      </c>
      <c r="CL40" s="192">
        <f t="shared" si="164"/>
        <v>103583.41337115424</v>
      </c>
      <c r="CM40" s="192">
        <f t="shared" si="164"/>
        <v>100820.75198757318</v>
      </c>
      <c r="CN40" s="192">
        <f t="shared" si="164"/>
        <v>98030.463990156306</v>
      </c>
      <c r="CO40" s="192">
        <f t="shared" si="164"/>
        <v>95212.273112765266</v>
      </c>
      <c r="CP40" s="192">
        <f t="shared" si="164"/>
        <v>92365.900326600313</v>
      </c>
      <c r="CQ40" s="192">
        <f t="shared" si="164"/>
        <v>89491.063812573717</v>
      </c>
      <c r="CR40" s="192">
        <f t="shared" si="164"/>
        <v>86587.478933406848</v>
      </c>
      <c r="CS40" s="192">
        <f t="shared" si="164"/>
        <v>83654.858205448312</v>
      </c>
      <c r="CT40" s="192">
        <f t="shared" si="164"/>
        <v>80692.911270210199</v>
      </c>
      <c r="CU40" s="192">
        <f t="shared" si="164"/>
        <v>77701.3448656197</v>
      </c>
      <c r="CV40" s="192">
        <f t="shared" si="164"/>
        <v>74679.862796983289</v>
      </c>
      <c r="CW40" s="192">
        <f t="shared" si="164"/>
        <v>71628.165907660514</v>
      </c>
      <c r="CX40" s="192">
        <f t="shared" si="164"/>
        <v>68545.952049444517</v>
      </c>
      <c r="CY40" s="192">
        <f t="shared" si="164"/>
        <v>65432.91605264636</v>
      </c>
      <c r="CZ40" s="192">
        <f t="shared" si="164"/>
        <v>62288.749695880222</v>
      </c>
      <c r="DA40" s="192">
        <f t="shared" si="164"/>
        <v>59113.141675546423</v>
      </c>
      <c r="DB40" s="192">
        <f t="shared" si="164"/>
        <v>55905.777575009284</v>
      </c>
      <c r="DC40" s="192">
        <f t="shared" si="164"/>
        <v>52666.339833466773</v>
      </c>
      <c r="DD40" s="192">
        <f t="shared" si="164"/>
        <v>49394.507714508836</v>
      </c>
      <c r="DE40" s="192">
        <f t="shared" si="164"/>
        <v>46089.957274361324</v>
      </c>
      <c r="DF40" s="192">
        <f t="shared" si="164"/>
        <v>42752.361329812338</v>
      </c>
      <c r="DG40" s="192">
        <f t="shared" si="164"/>
        <v>39381.389425817863</v>
      </c>
      <c r="DH40" s="192">
        <f t="shared" si="164"/>
        <v>35976.707802783436</v>
      </c>
      <c r="DI40" s="192">
        <f t="shared" si="164"/>
        <v>32537.979363518669</v>
      </c>
      <c r="DJ40" s="192">
        <f t="shared" si="164"/>
        <v>29064.863639861254</v>
      </c>
      <c r="DK40" s="192">
        <f t="shared" si="164"/>
        <v>25557.016758967264</v>
      </c>
      <c r="DL40" s="192">
        <f t="shared" si="164"/>
        <v>22014.091409264336</v>
      </c>
      <c r="DM40" s="192">
        <f t="shared" si="164"/>
        <v>18435.736806064378</v>
      </c>
      <c r="DN40" s="192">
        <f t="shared" si="164"/>
        <v>14821.598656832421</v>
      </c>
      <c r="DO40" s="192">
        <f t="shared" si="164"/>
        <v>11171.319126108143</v>
      </c>
      <c r="DP40" s="192">
        <f t="shared" si="164"/>
        <v>7484.536800076623</v>
      </c>
      <c r="DQ40" s="192">
        <f t="shared" si="164"/>
        <v>3760.8866507847874</v>
      </c>
      <c r="DR40" s="192">
        <f t="shared" si="164"/>
        <v>3.3651303965598345E-11</v>
      </c>
      <c r="DS40" s="192">
        <f t="shared" si="164"/>
        <v>3.3987817005254326E-11</v>
      </c>
      <c r="DT40" s="192">
        <f t="shared" si="164"/>
        <v>3.4327695175306869E-11</v>
      </c>
      <c r="DU40" s="192">
        <f t="shared" si="164"/>
        <v>3.4670972127059938E-11</v>
      </c>
      <c r="DV40" s="192">
        <f t="shared" si="164"/>
        <v>3.501768184833054E-11</v>
      </c>
      <c r="DW40" s="192">
        <f t="shared" si="164"/>
        <v>3.5367858666813848E-11</v>
      </c>
      <c r="DX40" s="192">
        <f t="shared" si="164"/>
        <v>3.5721537253481985E-11</v>
      </c>
      <c r="DY40" s="192">
        <f t="shared" si="164"/>
        <v>3.6078752626016805E-11</v>
      </c>
      <c r="DZ40" s="192">
        <f t="shared" si="164"/>
        <v>3.643954015227697E-11</v>
      </c>
      <c r="EA40" s="192">
        <f t="shared" si="164"/>
        <v>3.6803935553799742E-11</v>
      </c>
      <c r="EB40" s="192">
        <f t="shared" si="164"/>
        <v>3.7171974909337737E-11</v>
      </c>
      <c r="EC40" s="192">
        <f t="shared" ref="EC40:FZ40" si="165">+IF(EB40&gt;0,EB40-EC43,IF(EC4&lt;$B$38,0,$B$40-EC43))</f>
        <v>3.7543694658431115E-11</v>
      </c>
      <c r="ED40" s="192">
        <f t="shared" si="165"/>
        <v>3.7919131605015428E-11</v>
      </c>
      <c r="EE40" s="192">
        <f t="shared" si="165"/>
        <v>3.829832292106558E-11</v>
      </c>
      <c r="EF40" s="192">
        <f t="shared" si="165"/>
        <v>3.8681306150276235E-11</v>
      </c>
      <c r="EG40" s="192">
        <f t="shared" si="165"/>
        <v>3.9068119211778994E-11</v>
      </c>
      <c r="EH40" s="192">
        <f t="shared" si="165"/>
        <v>3.9458800403896787E-11</v>
      </c>
      <c r="EI40" s="192">
        <f t="shared" si="165"/>
        <v>3.9853388407935752E-11</v>
      </c>
      <c r="EJ40" s="192">
        <f t="shared" si="165"/>
        <v>4.0251922292015107E-11</v>
      </c>
      <c r="EK40" s="192">
        <f t="shared" si="165"/>
        <v>4.0654441514935261E-11</v>
      </c>
      <c r="EL40" s="192">
        <f t="shared" si="165"/>
        <v>4.1060985930084613E-11</v>
      </c>
      <c r="EM40" s="192">
        <f t="shared" si="165"/>
        <v>4.147159578938546E-11</v>
      </c>
      <c r="EN40" s="192">
        <f t="shared" si="165"/>
        <v>4.1886311747279315E-11</v>
      </c>
      <c r="EO40" s="192">
        <f t="shared" si="165"/>
        <v>4.2305174864752106E-11</v>
      </c>
      <c r="EP40" s="192">
        <f t="shared" si="165"/>
        <v>4.2728226613399629E-11</v>
      </c>
      <c r="EQ40" s="192">
        <f t="shared" si="165"/>
        <v>4.3155508879533624E-11</v>
      </c>
      <c r="ER40" s="192">
        <f t="shared" si="165"/>
        <v>4.358706396832896E-11</v>
      </c>
      <c r="ES40" s="192">
        <f t="shared" si="165"/>
        <v>4.4022934608012247E-11</v>
      </c>
      <c r="ET40" s="192">
        <f t="shared" si="165"/>
        <v>4.4463163954092373E-11</v>
      </c>
      <c r="EU40" s="192">
        <f t="shared" si="165"/>
        <v>4.4907795593633298E-11</v>
      </c>
      <c r="EV40" s="192">
        <f t="shared" si="165"/>
        <v>4.5356873549569632E-11</v>
      </c>
      <c r="EW40" s="192">
        <f t="shared" si="165"/>
        <v>4.5810442285065326E-11</v>
      </c>
      <c r="EX40" s="192">
        <f t="shared" si="165"/>
        <v>4.626854670791598E-11</v>
      </c>
      <c r="EY40" s="192">
        <f t="shared" si="165"/>
        <v>4.6731232174995141E-11</v>
      </c>
      <c r="EZ40" s="192">
        <f t="shared" si="165"/>
        <v>4.7198544496745095E-11</v>
      </c>
      <c r="FA40" s="192">
        <f t="shared" si="165"/>
        <v>4.7670529941712548E-11</v>
      </c>
      <c r="FB40" s="192">
        <f t="shared" si="165"/>
        <v>4.8147235241129672E-11</v>
      </c>
      <c r="FC40" s="192">
        <f t="shared" si="165"/>
        <v>4.8628707593540968E-11</v>
      </c>
      <c r="FD40" s="192">
        <f t="shared" si="165"/>
        <v>4.9114994669476379E-11</v>
      </c>
      <c r="FE40" s="192">
        <f t="shared" si="165"/>
        <v>4.9606144616171143E-11</v>
      </c>
      <c r="FF40" s="192">
        <f t="shared" si="165"/>
        <v>5.0102206062332855E-11</v>
      </c>
      <c r="FG40" s="192">
        <f t="shared" si="165"/>
        <v>5.0603228122956185E-11</v>
      </c>
      <c r="FH40" s="192">
        <f t="shared" si="165"/>
        <v>5.1109260404185745E-11</v>
      </c>
      <c r="FI40" s="192">
        <f t="shared" si="165"/>
        <v>5.1620353008227606E-11</v>
      </c>
      <c r="FJ40" s="192">
        <f t="shared" si="165"/>
        <v>5.2136556538309881E-11</v>
      </c>
      <c r="FK40" s="192">
        <f t="shared" si="165"/>
        <v>5.2657922103692982E-11</v>
      </c>
      <c r="FL40" s="192">
        <f t="shared" si="165"/>
        <v>5.318450132472991E-11</v>
      </c>
      <c r="FM40" s="192">
        <f t="shared" si="165"/>
        <v>5.371634633797721E-11</v>
      </c>
      <c r="FN40" s="192">
        <f t="shared" si="165"/>
        <v>5.425350980135698E-11</v>
      </c>
      <c r="FO40" s="192">
        <f t="shared" si="165"/>
        <v>5.479604489937055E-11</v>
      </c>
      <c r="FP40" s="192">
        <f t="shared" si="165"/>
        <v>5.5344005348364257E-11</v>
      </c>
      <c r="FQ40" s="192">
        <f t="shared" si="165"/>
        <v>5.5897445401847896E-11</v>
      </c>
      <c r="FR40" s="192">
        <f t="shared" si="165"/>
        <v>5.6456419855866376E-11</v>
      </c>
      <c r="FS40" s="192">
        <f t="shared" si="165"/>
        <v>5.702098405442504E-11</v>
      </c>
      <c r="FT40" s="192">
        <f t="shared" si="165"/>
        <v>5.7591193894969287E-11</v>
      </c>
      <c r="FU40" s="192">
        <f t="shared" si="165"/>
        <v>5.8167105833918981E-11</v>
      </c>
      <c r="FV40" s="192">
        <f t="shared" si="165"/>
        <v>5.8748776892258177E-11</v>
      </c>
      <c r="FW40" s="192">
        <f t="shared" si="165"/>
        <v>5.9336264661180754E-11</v>
      </c>
      <c r="FX40" s="192">
        <f t="shared" si="165"/>
        <v>5.9929627307792566E-11</v>
      </c>
      <c r="FY40" s="192">
        <f t="shared" si="165"/>
        <v>6.0528923580870488E-11</v>
      </c>
      <c r="FZ40" s="192">
        <f t="shared" si="165"/>
        <v>6.1134212816679194E-11</v>
      </c>
    </row>
    <row r="41" spans="1:182" outlineLevel="1" x14ac:dyDescent="0.2">
      <c r="A41" s="24" t="s">
        <v>231</v>
      </c>
      <c r="B41" s="192">
        <f>SUM(C41:EP41)</f>
        <v>364655.56966008962</v>
      </c>
      <c r="C41" s="192">
        <v>0</v>
      </c>
      <c r="D41" s="192">
        <f>+IF(C40=0,0,IF(D4&gt;$B$36+$B$38,0,$B$37))</f>
        <v>0</v>
      </c>
      <c r="E41" s="192">
        <f t="shared" ref="E41:BP41" si="166">+IF(D40=0,0,IF(E4&gt;$B$36+$B$38,0,$B$37))</f>
        <v>0</v>
      </c>
      <c r="F41" s="192">
        <f t="shared" si="166"/>
        <v>0</v>
      </c>
      <c r="G41" s="192">
        <f t="shared" si="166"/>
        <v>0</v>
      </c>
      <c r="H41" s="192">
        <f t="shared" si="166"/>
        <v>0</v>
      </c>
      <c r="I41" s="192">
        <f t="shared" si="166"/>
        <v>0</v>
      </c>
      <c r="J41" s="192">
        <f t="shared" si="166"/>
        <v>0</v>
      </c>
      <c r="K41" s="192">
        <f t="shared" si="166"/>
        <v>0</v>
      </c>
      <c r="L41" s="192">
        <f t="shared" si="166"/>
        <v>0</v>
      </c>
      <c r="M41" s="192">
        <f t="shared" si="166"/>
        <v>0</v>
      </c>
      <c r="N41" s="192">
        <f t="shared" si="166"/>
        <v>0</v>
      </c>
      <c r="O41" s="192">
        <f t="shared" si="166"/>
        <v>0</v>
      </c>
      <c r="P41" s="192">
        <f t="shared" si="166"/>
        <v>0</v>
      </c>
      <c r="Q41" s="192">
        <f t="shared" si="166"/>
        <v>0</v>
      </c>
      <c r="R41" s="192">
        <f t="shared" si="166"/>
        <v>0</v>
      </c>
      <c r="S41" s="192">
        <f t="shared" si="166"/>
        <v>0</v>
      </c>
      <c r="T41" s="192">
        <f t="shared" si="166"/>
        <v>0</v>
      </c>
      <c r="U41" s="192">
        <f t="shared" si="166"/>
        <v>0</v>
      </c>
      <c r="V41" s="192">
        <f t="shared" si="166"/>
        <v>0</v>
      </c>
      <c r="W41" s="192">
        <f t="shared" si="166"/>
        <v>0</v>
      </c>
      <c r="X41" s="192">
        <f t="shared" si="166"/>
        <v>0</v>
      </c>
      <c r="Y41" s="192">
        <f t="shared" si="166"/>
        <v>0</v>
      </c>
      <c r="Z41" s="192">
        <f t="shared" si="166"/>
        <v>0</v>
      </c>
      <c r="AA41" s="192">
        <f t="shared" si="166"/>
        <v>3798.4955172926016</v>
      </c>
      <c r="AB41" s="192">
        <f t="shared" si="166"/>
        <v>3798.4955172926016</v>
      </c>
      <c r="AC41" s="192">
        <f t="shared" si="166"/>
        <v>3798.4955172926016</v>
      </c>
      <c r="AD41" s="192">
        <f t="shared" si="166"/>
        <v>3798.4955172926016</v>
      </c>
      <c r="AE41" s="192">
        <f t="shared" si="166"/>
        <v>3798.4955172926016</v>
      </c>
      <c r="AF41" s="192">
        <f t="shared" si="166"/>
        <v>3798.4955172926016</v>
      </c>
      <c r="AG41" s="192">
        <f t="shared" si="166"/>
        <v>3798.4955172926016</v>
      </c>
      <c r="AH41" s="192">
        <f t="shared" si="166"/>
        <v>3798.4955172926016</v>
      </c>
      <c r="AI41" s="192">
        <f t="shared" si="166"/>
        <v>3798.4955172926016</v>
      </c>
      <c r="AJ41" s="192">
        <f t="shared" si="166"/>
        <v>3798.4955172926016</v>
      </c>
      <c r="AK41" s="192">
        <f t="shared" si="166"/>
        <v>3798.4955172926016</v>
      </c>
      <c r="AL41" s="192">
        <f t="shared" si="166"/>
        <v>3798.4955172926016</v>
      </c>
      <c r="AM41" s="192">
        <f t="shared" si="166"/>
        <v>3798.4955172926016</v>
      </c>
      <c r="AN41" s="192">
        <f t="shared" si="166"/>
        <v>3798.4955172926016</v>
      </c>
      <c r="AO41" s="192">
        <f t="shared" si="166"/>
        <v>3798.4955172926016</v>
      </c>
      <c r="AP41" s="192">
        <f t="shared" si="166"/>
        <v>3798.4955172926016</v>
      </c>
      <c r="AQ41" s="192">
        <f t="shared" si="166"/>
        <v>3798.4955172926016</v>
      </c>
      <c r="AR41" s="192">
        <f t="shared" si="166"/>
        <v>3798.4955172926016</v>
      </c>
      <c r="AS41" s="192">
        <f t="shared" si="166"/>
        <v>3798.4955172926016</v>
      </c>
      <c r="AT41" s="192">
        <f t="shared" si="166"/>
        <v>3798.4955172926016</v>
      </c>
      <c r="AU41" s="192">
        <f t="shared" si="166"/>
        <v>3798.4955172926016</v>
      </c>
      <c r="AV41" s="192">
        <f t="shared" si="166"/>
        <v>3798.4955172926016</v>
      </c>
      <c r="AW41" s="192">
        <f t="shared" si="166"/>
        <v>3798.4955172926016</v>
      </c>
      <c r="AX41" s="192">
        <f t="shared" si="166"/>
        <v>3798.4955172926016</v>
      </c>
      <c r="AY41" s="192">
        <f t="shared" si="166"/>
        <v>3798.4955172926016</v>
      </c>
      <c r="AZ41" s="192">
        <f t="shared" si="166"/>
        <v>3798.4955172926016</v>
      </c>
      <c r="BA41" s="192">
        <f t="shared" si="166"/>
        <v>3798.4955172926016</v>
      </c>
      <c r="BB41" s="192">
        <f t="shared" si="166"/>
        <v>3798.4955172926016</v>
      </c>
      <c r="BC41" s="192">
        <f t="shared" si="166"/>
        <v>3798.4955172926016</v>
      </c>
      <c r="BD41" s="192">
        <f t="shared" si="166"/>
        <v>3798.4955172926016</v>
      </c>
      <c r="BE41" s="192">
        <f t="shared" si="166"/>
        <v>3798.4955172926016</v>
      </c>
      <c r="BF41" s="192">
        <f t="shared" si="166"/>
        <v>3798.4955172926016</v>
      </c>
      <c r="BG41" s="192">
        <f t="shared" si="166"/>
        <v>3798.4955172926016</v>
      </c>
      <c r="BH41" s="192">
        <f t="shared" si="166"/>
        <v>3798.4955172926016</v>
      </c>
      <c r="BI41" s="192">
        <f t="shared" si="166"/>
        <v>3798.4955172926016</v>
      </c>
      <c r="BJ41" s="192">
        <f t="shared" si="166"/>
        <v>3798.4955172926016</v>
      </c>
      <c r="BK41" s="192">
        <f t="shared" si="166"/>
        <v>3798.4955172926016</v>
      </c>
      <c r="BL41" s="192">
        <f t="shared" si="166"/>
        <v>3798.4955172926016</v>
      </c>
      <c r="BM41" s="192">
        <f t="shared" si="166"/>
        <v>3798.4955172926016</v>
      </c>
      <c r="BN41" s="192">
        <f t="shared" si="166"/>
        <v>3798.4955172926016</v>
      </c>
      <c r="BO41" s="192">
        <f t="shared" si="166"/>
        <v>3798.4955172926016</v>
      </c>
      <c r="BP41" s="192">
        <f t="shared" si="166"/>
        <v>3798.4955172926016</v>
      </c>
      <c r="BQ41" s="192">
        <f t="shared" ref="BQ41:EB41" si="167">+IF(BP40=0,0,IF(BQ4&gt;$B$36+$B$38,0,$B$37))</f>
        <v>3798.4955172926016</v>
      </c>
      <c r="BR41" s="192">
        <f t="shared" si="167"/>
        <v>3798.4955172926016</v>
      </c>
      <c r="BS41" s="192">
        <f t="shared" si="167"/>
        <v>3798.4955172926016</v>
      </c>
      <c r="BT41" s="192">
        <f t="shared" si="167"/>
        <v>3798.4955172926016</v>
      </c>
      <c r="BU41" s="192">
        <f t="shared" si="167"/>
        <v>3798.4955172926016</v>
      </c>
      <c r="BV41" s="192">
        <f t="shared" si="167"/>
        <v>3798.4955172926016</v>
      </c>
      <c r="BW41" s="192">
        <f t="shared" si="167"/>
        <v>3798.4955172926016</v>
      </c>
      <c r="BX41" s="192">
        <f t="shared" si="167"/>
        <v>3798.4955172926016</v>
      </c>
      <c r="BY41" s="192">
        <f t="shared" si="167"/>
        <v>3798.4955172926016</v>
      </c>
      <c r="BZ41" s="192">
        <f t="shared" si="167"/>
        <v>3798.4955172926016</v>
      </c>
      <c r="CA41" s="192">
        <f t="shared" si="167"/>
        <v>3798.4955172926016</v>
      </c>
      <c r="CB41" s="192">
        <f t="shared" si="167"/>
        <v>3798.4955172926016</v>
      </c>
      <c r="CC41" s="192">
        <f t="shared" si="167"/>
        <v>3798.4955172926016</v>
      </c>
      <c r="CD41" s="192">
        <f t="shared" si="167"/>
        <v>3798.4955172926016</v>
      </c>
      <c r="CE41" s="192">
        <f t="shared" si="167"/>
        <v>3798.4955172926016</v>
      </c>
      <c r="CF41" s="192">
        <f t="shared" si="167"/>
        <v>3798.4955172926016</v>
      </c>
      <c r="CG41" s="192">
        <f t="shared" si="167"/>
        <v>3798.4955172926016</v>
      </c>
      <c r="CH41" s="192">
        <f t="shared" si="167"/>
        <v>3798.4955172926016</v>
      </c>
      <c r="CI41" s="192">
        <f t="shared" si="167"/>
        <v>3798.4955172926016</v>
      </c>
      <c r="CJ41" s="192">
        <f t="shared" si="167"/>
        <v>3798.4955172926016</v>
      </c>
      <c r="CK41" s="192">
        <f t="shared" si="167"/>
        <v>3798.4955172926016</v>
      </c>
      <c r="CL41" s="192">
        <f t="shared" si="167"/>
        <v>3798.4955172926016</v>
      </c>
      <c r="CM41" s="192">
        <f t="shared" si="167"/>
        <v>3798.4955172926016</v>
      </c>
      <c r="CN41" s="192">
        <f t="shared" si="167"/>
        <v>3798.4955172926016</v>
      </c>
      <c r="CO41" s="192">
        <f t="shared" si="167"/>
        <v>3798.4955172926016</v>
      </c>
      <c r="CP41" s="192">
        <f t="shared" si="167"/>
        <v>3798.4955172926016</v>
      </c>
      <c r="CQ41" s="192">
        <f t="shared" si="167"/>
        <v>3798.4955172926016</v>
      </c>
      <c r="CR41" s="192">
        <f t="shared" si="167"/>
        <v>3798.4955172926016</v>
      </c>
      <c r="CS41" s="192">
        <f t="shared" si="167"/>
        <v>3798.4955172926016</v>
      </c>
      <c r="CT41" s="192">
        <f t="shared" si="167"/>
        <v>3798.4955172926016</v>
      </c>
      <c r="CU41" s="192">
        <f t="shared" si="167"/>
        <v>3798.4955172926016</v>
      </c>
      <c r="CV41" s="192">
        <f t="shared" si="167"/>
        <v>3798.4955172926016</v>
      </c>
      <c r="CW41" s="192">
        <f t="shared" si="167"/>
        <v>3798.4955172926016</v>
      </c>
      <c r="CX41" s="192">
        <f t="shared" si="167"/>
        <v>3798.4955172926016</v>
      </c>
      <c r="CY41" s="192">
        <f t="shared" si="167"/>
        <v>3798.4955172926016</v>
      </c>
      <c r="CZ41" s="192">
        <f t="shared" si="167"/>
        <v>3798.4955172926016</v>
      </c>
      <c r="DA41" s="192">
        <f t="shared" si="167"/>
        <v>3798.4955172926016</v>
      </c>
      <c r="DB41" s="192">
        <f t="shared" si="167"/>
        <v>3798.4955172926016</v>
      </c>
      <c r="DC41" s="192">
        <f t="shared" si="167"/>
        <v>3798.4955172926016</v>
      </c>
      <c r="DD41" s="192">
        <f t="shared" si="167"/>
        <v>3798.4955172926016</v>
      </c>
      <c r="DE41" s="192">
        <f t="shared" si="167"/>
        <v>3798.4955172926016</v>
      </c>
      <c r="DF41" s="192">
        <f t="shared" si="167"/>
        <v>3798.4955172926016</v>
      </c>
      <c r="DG41" s="192">
        <f t="shared" si="167"/>
        <v>3798.4955172926016</v>
      </c>
      <c r="DH41" s="192">
        <f t="shared" si="167"/>
        <v>3798.4955172926016</v>
      </c>
      <c r="DI41" s="192">
        <f t="shared" si="167"/>
        <v>3798.4955172926016</v>
      </c>
      <c r="DJ41" s="192">
        <f t="shared" si="167"/>
        <v>3798.4955172926016</v>
      </c>
      <c r="DK41" s="192">
        <f t="shared" si="167"/>
        <v>3798.4955172926016</v>
      </c>
      <c r="DL41" s="192">
        <f t="shared" si="167"/>
        <v>3798.4955172926016</v>
      </c>
      <c r="DM41" s="192">
        <f t="shared" si="167"/>
        <v>3798.4955172926016</v>
      </c>
      <c r="DN41" s="192">
        <f t="shared" si="167"/>
        <v>3798.4955172926016</v>
      </c>
      <c r="DO41" s="192">
        <f t="shared" si="167"/>
        <v>3798.4955172926016</v>
      </c>
      <c r="DP41" s="192">
        <f t="shared" si="167"/>
        <v>3798.4955172926016</v>
      </c>
      <c r="DQ41" s="192">
        <f t="shared" si="167"/>
        <v>3798.4955172926016</v>
      </c>
      <c r="DR41" s="192">
        <f t="shared" si="167"/>
        <v>3798.4955172926016</v>
      </c>
      <c r="DS41" s="192">
        <f t="shared" si="167"/>
        <v>0</v>
      </c>
      <c r="DT41" s="192">
        <f t="shared" si="167"/>
        <v>0</v>
      </c>
      <c r="DU41" s="192">
        <f t="shared" si="167"/>
        <v>0</v>
      </c>
      <c r="DV41" s="192">
        <f t="shared" si="167"/>
        <v>0</v>
      </c>
      <c r="DW41" s="192">
        <f t="shared" si="167"/>
        <v>0</v>
      </c>
      <c r="DX41" s="192">
        <f t="shared" si="167"/>
        <v>0</v>
      </c>
      <c r="DY41" s="192">
        <f t="shared" si="167"/>
        <v>0</v>
      </c>
      <c r="DZ41" s="192">
        <f t="shared" si="167"/>
        <v>0</v>
      </c>
      <c r="EA41" s="192">
        <f t="shared" si="167"/>
        <v>0</v>
      </c>
      <c r="EB41" s="192">
        <f t="shared" si="167"/>
        <v>0</v>
      </c>
      <c r="EC41" s="192">
        <f t="shared" ref="EC41:FZ41" si="168">+IF(EB40=0,0,IF(EC4&gt;$B$36+$B$38,0,$B$37))</f>
        <v>0</v>
      </c>
      <c r="ED41" s="192">
        <f t="shared" si="168"/>
        <v>0</v>
      </c>
      <c r="EE41" s="192">
        <f t="shared" si="168"/>
        <v>0</v>
      </c>
      <c r="EF41" s="192">
        <f t="shared" si="168"/>
        <v>0</v>
      </c>
      <c r="EG41" s="192">
        <f t="shared" si="168"/>
        <v>0</v>
      </c>
      <c r="EH41" s="192">
        <f t="shared" si="168"/>
        <v>0</v>
      </c>
      <c r="EI41" s="192">
        <f t="shared" si="168"/>
        <v>0</v>
      </c>
      <c r="EJ41" s="192">
        <f t="shared" si="168"/>
        <v>0</v>
      </c>
      <c r="EK41" s="192">
        <f t="shared" si="168"/>
        <v>0</v>
      </c>
      <c r="EL41" s="192">
        <f t="shared" si="168"/>
        <v>0</v>
      </c>
      <c r="EM41" s="192">
        <f t="shared" si="168"/>
        <v>0</v>
      </c>
      <c r="EN41" s="192">
        <f t="shared" si="168"/>
        <v>0</v>
      </c>
      <c r="EO41" s="192">
        <f t="shared" si="168"/>
        <v>0</v>
      </c>
      <c r="EP41" s="192">
        <f t="shared" si="168"/>
        <v>0</v>
      </c>
      <c r="EQ41" s="192">
        <f t="shared" si="168"/>
        <v>0</v>
      </c>
      <c r="ER41" s="192">
        <f t="shared" si="168"/>
        <v>0</v>
      </c>
      <c r="ES41" s="192">
        <f t="shared" si="168"/>
        <v>0</v>
      </c>
      <c r="ET41" s="192">
        <f t="shared" si="168"/>
        <v>0</v>
      </c>
      <c r="EU41" s="192">
        <f t="shared" si="168"/>
        <v>0</v>
      </c>
      <c r="EV41" s="192">
        <f t="shared" si="168"/>
        <v>0</v>
      </c>
      <c r="EW41" s="192">
        <f t="shared" si="168"/>
        <v>0</v>
      </c>
      <c r="EX41" s="192">
        <f t="shared" si="168"/>
        <v>0</v>
      </c>
      <c r="EY41" s="192">
        <f t="shared" si="168"/>
        <v>0</v>
      </c>
      <c r="EZ41" s="192">
        <f t="shared" si="168"/>
        <v>0</v>
      </c>
      <c r="FA41" s="192">
        <f t="shared" si="168"/>
        <v>0</v>
      </c>
      <c r="FB41" s="192">
        <f t="shared" si="168"/>
        <v>0</v>
      </c>
      <c r="FC41" s="192">
        <f t="shared" si="168"/>
        <v>0</v>
      </c>
      <c r="FD41" s="192">
        <f t="shared" si="168"/>
        <v>0</v>
      </c>
      <c r="FE41" s="192">
        <f t="shared" si="168"/>
        <v>0</v>
      </c>
      <c r="FF41" s="192">
        <f t="shared" si="168"/>
        <v>0</v>
      </c>
      <c r="FG41" s="192">
        <f t="shared" si="168"/>
        <v>0</v>
      </c>
      <c r="FH41" s="192">
        <f t="shared" si="168"/>
        <v>0</v>
      </c>
      <c r="FI41" s="192">
        <f t="shared" si="168"/>
        <v>0</v>
      </c>
      <c r="FJ41" s="192">
        <f t="shared" si="168"/>
        <v>0</v>
      </c>
      <c r="FK41" s="192">
        <f t="shared" si="168"/>
        <v>0</v>
      </c>
      <c r="FL41" s="192">
        <f t="shared" si="168"/>
        <v>0</v>
      </c>
      <c r="FM41" s="192">
        <f t="shared" si="168"/>
        <v>0</v>
      </c>
      <c r="FN41" s="192">
        <f t="shared" si="168"/>
        <v>0</v>
      </c>
      <c r="FO41" s="192">
        <f t="shared" si="168"/>
        <v>0</v>
      </c>
      <c r="FP41" s="192">
        <f t="shared" si="168"/>
        <v>0</v>
      </c>
      <c r="FQ41" s="192">
        <f t="shared" si="168"/>
        <v>0</v>
      </c>
      <c r="FR41" s="192">
        <f t="shared" si="168"/>
        <v>0</v>
      </c>
      <c r="FS41" s="192">
        <f t="shared" si="168"/>
        <v>0</v>
      </c>
      <c r="FT41" s="192">
        <f t="shared" si="168"/>
        <v>0</v>
      </c>
      <c r="FU41" s="192">
        <f t="shared" si="168"/>
        <v>0</v>
      </c>
      <c r="FV41" s="192">
        <f t="shared" si="168"/>
        <v>0</v>
      </c>
      <c r="FW41" s="192">
        <f t="shared" si="168"/>
        <v>0</v>
      </c>
      <c r="FX41" s="192">
        <f t="shared" si="168"/>
        <v>0</v>
      </c>
      <c r="FY41" s="192">
        <f t="shared" si="168"/>
        <v>0</v>
      </c>
      <c r="FZ41" s="192">
        <f t="shared" si="168"/>
        <v>0</v>
      </c>
    </row>
    <row r="42" spans="1:182" outlineLevel="1" x14ac:dyDescent="0.2">
      <c r="A42" s="24" t="s">
        <v>233</v>
      </c>
      <c r="B42" s="192">
        <f>SUM(C42:DR42)</f>
        <v>130942.86566008975</v>
      </c>
      <c r="C42" s="192">
        <v>0</v>
      </c>
      <c r="D42" s="192">
        <f>+C40*($B$35/12)</f>
        <v>0</v>
      </c>
      <c r="E42" s="192">
        <f t="shared" ref="E42:BP42" si="169">+D40*($B$35/12)</f>
        <v>0</v>
      </c>
      <c r="F42" s="192">
        <f t="shared" si="169"/>
        <v>0</v>
      </c>
      <c r="G42" s="192">
        <f t="shared" si="169"/>
        <v>0</v>
      </c>
      <c r="H42" s="192">
        <f t="shared" si="169"/>
        <v>0</v>
      </c>
      <c r="I42" s="192">
        <f t="shared" si="169"/>
        <v>0</v>
      </c>
      <c r="J42" s="192">
        <f t="shared" si="169"/>
        <v>0</v>
      </c>
      <c r="K42" s="192">
        <f t="shared" si="169"/>
        <v>0</v>
      </c>
      <c r="L42" s="192">
        <f t="shared" si="169"/>
        <v>0</v>
      </c>
      <c r="M42" s="192">
        <f t="shared" si="169"/>
        <v>0</v>
      </c>
      <c r="N42" s="192">
        <f t="shared" si="169"/>
        <v>0</v>
      </c>
      <c r="O42" s="192">
        <f t="shared" si="169"/>
        <v>0</v>
      </c>
      <c r="P42" s="192">
        <f t="shared" si="169"/>
        <v>0</v>
      </c>
      <c r="Q42" s="192">
        <f t="shared" si="169"/>
        <v>0</v>
      </c>
      <c r="R42" s="192">
        <f t="shared" si="169"/>
        <v>0</v>
      </c>
      <c r="S42" s="192">
        <f t="shared" si="169"/>
        <v>0</v>
      </c>
      <c r="T42" s="192">
        <f t="shared" si="169"/>
        <v>0</v>
      </c>
      <c r="U42" s="192">
        <f t="shared" si="169"/>
        <v>0</v>
      </c>
      <c r="V42" s="192">
        <f t="shared" si="169"/>
        <v>0</v>
      </c>
      <c r="W42" s="192">
        <f t="shared" si="169"/>
        <v>0</v>
      </c>
      <c r="X42" s="192">
        <f t="shared" si="169"/>
        <v>0</v>
      </c>
      <c r="Y42" s="192">
        <f t="shared" si="169"/>
        <v>0</v>
      </c>
      <c r="Z42" s="192">
        <f t="shared" si="169"/>
        <v>0</v>
      </c>
      <c r="AA42" s="192">
        <f t="shared" si="169"/>
        <v>2337.1270400000008</v>
      </c>
      <c r="AB42" s="192">
        <f t="shared" si="169"/>
        <v>2322.5133552270745</v>
      </c>
      <c r="AC42" s="192">
        <f t="shared" si="169"/>
        <v>2307.7535336064198</v>
      </c>
      <c r="AD42" s="192">
        <f t="shared" si="169"/>
        <v>2292.8461137695576</v>
      </c>
      <c r="AE42" s="192">
        <f t="shared" si="169"/>
        <v>2277.7896197343271</v>
      </c>
      <c r="AF42" s="192">
        <f t="shared" si="169"/>
        <v>2262.5825607587444</v>
      </c>
      <c r="AG42" s="192">
        <f t="shared" si="169"/>
        <v>2247.2234311934058</v>
      </c>
      <c r="AH42" s="192">
        <f t="shared" si="169"/>
        <v>2231.7107103324138</v>
      </c>
      <c r="AI42" s="192">
        <f t="shared" si="169"/>
        <v>2216.0428622628119</v>
      </c>
      <c r="AJ42" s="192">
        <f t="shared" si="169"/>
        <v>2200.2183357125141</v>
      </c>
      <c r="AK42" s="192">
        <f t="shared" si="169"/>
        <v>2184.2355638967133</v>
      </c>
      <c r="AL42" s="192">
        <f t="shared" si="169"/>
        <v>2168.0929643627542</v>
      </c>
      <c r="AM42" s="192">
        <f t="shared" si="169"/>
        <v>2151.7889388334556</v>
      </c>
      <c r="AN42" s="192">
        <f t="shared" si="169"/>
        <v>2135.3218730488643</v>
      </c>
      <c r="AO42" s="192">
        <f t="shared" si="169"/>
        <v>2118.6901366064267</v>
      </c>
      <c r="AP42" s="192">
        <f t="shared" si="169"/>
        <v>2101.8920827995648</v>
      </c>
      <c r="AQ42" s="192">
        <f t="shared" si="169"/>
        <v>2084.9260484546344</v>
      </c>
      <c r="AR42" s="192">
        <f t="shared" si="169"/>
        <v>2067.7903537662551</v>
      </c>
      <c r="AS42" s="192">
        <f t="shared" si="169"/>
        <v>2050.4833021309914</v>
      </c>
      <c r="AT42" s="192">
        <f t="shared" si="169"/>
        <v>2033.0031799793753</v>
      </c>
      <c r="AU42" s="192">
        <f t="shared" si="169"/>
        <v>2015.3482566062432</v>
      </c>
      <c r="AV42" s="192">
        <f t="shared" si="169"/>
        <v>1997.5167839993796</v>
      </c>
      <c r="AW42" s="192">
        <f t="shared" si="169"/>
        <v>1979.5069966664473</v>
      </c>
      <c r="AX42" s="192">
        <f t="shared" si="169"/>
        <v>1961.317111460186</v>
      </c>
      <c r="AY42" s="192">
        <f t="shared" si="169"/>
        <v>1942.9453274018617</v>
      </c>
      <c r="AZ42" s="192">
        <f t="shared" si="169"/>
        <v>1924.3898255029542</v>
      </c>
      <c r="BA42" s="192">
        <f t="shared" si="169"/>
        <v>1905.6487685850577</v>
      </c>
      <c r="BB42" s="192">
        <f t="shared" si="169"/>
        <v>1886.7203010979822</v>
      </c>
      <c r="BC42" s="192">
        <f t="shared" si="169"/>
        <v>1867.6025489360359</v>
      </c>
      <c r="BD42" s="192">
        <f t="shared" si="169"/>
        <v>1848.2936192524701</v>
      </c>
      <c r="BE42" s="192">
        <f t="shared" si="169"/>
        <v>1828.7916002720688</v>
      </c>
      <c r="BF42" s="192">
        <f t="shared" si="169"/>
        <v>1809.0945611018635</v>
      </c>
      <c r="BG42" s="192">
        <f t="shared" si="169"/>
        <v>1789.200551539956</v>
      </c>
      <c r="BH42" s="192">
        <f t="shared" si="169"/>
        <v>1769.1076018824297</v>
      </c>
      <c r="BI42" s="192">
        <f t="shared" si="169"/>
        <v>1748.8137227283282</v>
      </c>
      <c r="BJ42" s="192">
        <f t="shared" si="169"/>
        <v>1728.3169047826855</v>
      </c>
      <c r="BK42" s="192">
        <f t="shared" si="169"/>
        <v>1707.6151186575862</v>
      </c>
      <c r="BL42" s="192">
        <f t="shared" si="169"/>
        <v>1686.706314671236</v>
      </c>
      <c r="BM42" s="192">
        <f t="shared" si="169"/>
        <v>1665.5884226450225</v>
      </c>
      <c r="BN42" s="192">
        <f t="shared" si="169"/>
        <v>1644.2593516985467</v>
      </c>
      <c r="BO42" s="192">
        <f t="shared" si="169"/>
        <v>1622.7169900426063</v>
      </c>
      <c r="BP42" s="192">
        <f t="shared" si="169"/>
        <v>1600.9592047701062</v>
      </c>
      <c r="BQ42" s="192">
        <f t="shared" ref="BQ42:EB42" si="170">+BP40*($B$35/12)</f>
        <v>1578.9838416448815</v>
      </c>
      <c r="BR42" s="192">
        <f t="shared" si="170"/>
        <v>1556.7887248884042</v>
      </c>
      <c r="BS42" s="192">
        <f t="shared" si="170"/>
        <v>1534.3716569643623</v>
      </c>
      <c r="BT42" s="192">
        <f t="shared" si="170"/>
        <v>1511.73041836108</v>
      </c>
      <c r="BU42" s="192">
        <f t="shared" si="170"/>
        <v>1488.8627673717647</v>
      </c>
      <c r="BV42" s="192">
        <f t="shared" si="170"/>
        <v>1465.7664398725565</v>
      </c>
      <c r="BW42" s="192">
        <f t="shared" si="170"/>
        <v>1442.439149098356</v>
      </c>
      <c r="BX42" s="192">
        <f t="shared" si="170"/>
        <v>1418.8785854164132</v>
      </c>
      <c r="BY42" s="192">
        <f t="shared" si="170"/>
        <v>1395.0824160976513</v>
      </c>
      <c r="BZ42" s="192">
        <f t="shared" si="170"/>
        <v>1371.0482850857018</v>
      </c>
      <c r="CA42" s="192">
        <f t="shared" si="170"/>
        <v>1346.7738127636328</v>
      </c>
      <c r="CB42" s="192">
        <f t="shared" si="170"/>
        <v>1322.2565957183431</v>
      </c>
      <c r="CC42" s="192">
        <f t="shared" si="170"/>
        <v>1297.4942065026005</v>
      </c>
      <c r="CD42" s="192">
        <f t="shared" si="170"/>
        <v>1272.4841933947007</v>
      </c>
      <c r="CE42" s="192">
        <f t="shared" si="170"/>
        <v>1247.2240801557216</v>
      </c>
      <c r="CF42" s="192">
        <f t="shared" si="170"/>
        <v>1221.7113657843529</v>
      </c>
      <c r="CG42" s="192">
        <f t="shared" si="170"/>
        <v>1195.9435242692703</v>
      </c>
      <c r="CH42" s="192">
        <f t="shared" si="170"/>
        <v>1169.918004339037</v>
      </c>
      <c r="CI42" s="192">
        <f t="shared" si="170"/>
        <v>1143.6322292095015</v>
      </c>
      <c r="CJ42" s="192">
        <f t="shared" si="170"/>
        <v>1117.0835963286704</v>
      </c>
      <c r="CK42" s="192">
        <f t="shared" si="170"/>
        <v>1090.2694771190311</v>
      </c>
      <c r="CL42" s="192">
        <f t="shared" si="170"/>
        <v>1063.1872167172953</v>
      </c>
      <c r="CM42" s="192">
        <f t="shared" si="170"/>
        <v>1035.8341337115423</v>
      </c>
      <c r="CN42" s="192">
        <f t="shared" si="170"/>
        <v>1008.2075198757318</v>
      </c>
      <c r="CO42" s="192">
        <f t="shared" si="170"/>
        <v>980.30463990156306</v>
      </c>
      <c r="CP42" s="192">
        <f t="shared" si="170"/>
        <v>952.12273112765263</v>
      </c>
      <c r="CQ42" s="192">
        <f t="shared" si="170"/>
        <v>923.6590032660032</v>
      </c>
      <c r="CR42" s="192">
        <f t="shared" si="170"/>
        <v>894.91063812573714</v>
      </c>
      <c r="CS42" s="192">
        <f t="shared" si="170"/>
        <v>865.87478933406851</v>
      </c>
      <c r="CT42" s="192">
        <f t="shared" si="170"/>
        <v>836.54858205448318</v>
      </c>
      <c r="CU42" s="192">
        <f t="shared" si="170"/>
        <v>806.92911270210197</v>
      </c>
      <c r="CV42" s="192">
        <f t="shared" si="170"/>
        <v>777.01344865619706</v>
      </c>
      <c r="CW42" s="192">
        <f t="shared" si="170"/>
        <v>746.79862796983286</v>
      </c>
      <c r="CX42" s="192">
        <f t="shared" si="170"/>
        <v>716.28165907660514</v>
      </c>
      <c r="CY42" s="192">
        <f t="shared" si="170"/>
        <v>685.4595204944452</v>
      </c>
      <c r="CZ42" s="192">
        <f t="shared" si="170"/>
        <v>654.32916052646362</v>
      </c>
      <c r="DA42" s="192">
        <f t="shared" si="170"/>
        <v>622.88749695880222</v>
      </c>
      <c r="DB42" s="192">
        <f t="shared" si="170"/>
        <v>591.13141675546422</v>
      </c>
      <c r="DC42" s="192">
        <f t="shared" si="170"/>
        <v>559.0577757500929</v>
      </c>
      <c r="DD42" s="192">
        <f t="shared" si="170"/>
        <v>526.6633983346677</v>
      </c>
      <c r="DE42" s="192">
        <f t="shared" si="170"/>
        <v>493.94507714508836</v>
      </c>
      <c r="DF42" s="192">
        <f t="shared" si="170"/>
        <v>460.89957274361325</v>
      </c>
      <c r="DG42" s="192">
        <f t="shared" si="170"/>
        <v>427.52361329812339</v>
      </c>
      <c r="DH42" s="192">
        <f t="shared" si="170"/>
        <v>393.81389425817861</v>
      </c>
      <c r="DI42" s="192">
        <f t="shared" si="170"/>
        <v>359.76707802783437</v>
      </c>
      <c r="DJ42" s="192">
        <f t="shared" si="170"/>
        <v>325.37979363518667</v>
      </c>
      <c r="DK42" s="192">
        <f t="shared" si="170"/>
        <v>290.64863639861255</v>
      </c>
      <c r="DL42" s="192">
        <f t="shared" si="170"/>
        <v>255.57016758967265</v>
      </c>
      <c r="DM42" s="192">
        <f t="shared" si="170"/>
        <v>220.14091409264336</v>
      </c>
      <c r="DN42" s="192">
        <f t="shared" si="170"/>
        <v>184.35736806064378</v>
      </c>
      <c r="DO42" s="192">
        <f t="shared" si="170"/>
        <v>148.21598656832421</v>
      </c>
      <c r="DP42" s="192">
        <f t="shared" si="170"/>
        <v>111.71319126108143</v>
      </c>
      <c r="DQ42" s="192">
        <f t="shared" si="170"/>
        <v>74.845368000766229</v>
      </c>
      <c r="DR42" s="192">
        <f t="shared" si="170"/>
        <v>37.608866507847878</v>
      </c>
      <c r="DS42" s="192">
        <f t="shared" si="170"/>
        <v>3.3651303965598344E-13</v>
      </c>
      <c r="DT42" s="192">
        <f t="shared" si="170"/>
        <v>3.3987817005254326E-13</v>
      </c>
      <c r="DU42" s="192">
        <f t="shared" si="170"/>
        <v>3.4327695175306869E-13</v>
      </c>
      <c r="DV42" s="192">
        <f t="shared" si="170"/>
        <v>3.467097212705994E-13</v>
      </c>
      <c r="DW42" s="192">
        <f t="shared" si="170"/>
        <v>3.501768184833054E-13</v>
      </c>
      <c r="DX42" s="192">
        <f t="shared" si="170"/>
        <v>3.5367858666813848E-13</v>
      </c>
      <c r="DY42" s="192">
        <f t="shared" si="170"/>
        <v>3.5721537253481984E-13</v>
      </c>
      <c r="DZ42" s="192">
        <f t="shared" si="170"/>
        <v>3.6078752626016807E-13</v>
      </c>
      <c r="EA42" s="192">
        <f t="shared" si="170"/>
        <v>3.643954015227697E-13</v>
      </c>
      <c r="EB42" s="192">
        <f t="shared" si="170"/>
        <v>3.6803935553799742E-13</v>
      </c>
      <c r="EC42" s="192">
        <f t="shared" ref="EC42:FZ42" si="171">+EB40*($B$35/12)</f>
        <v>3.717197490933774E-13</v>
      </c>
      <c r="ED42" s="192">
        <f t="shared" si="171"/>
        <v>3.7543694658431116E-13</v>
      </c>
      <c r="EE42" s="192">
        <f t="shared" si="171"/>
        <v>3.791913160501543E-13</v>
      </c>
      <c r="EF42" s="192">
        <f t="shared" si="171"/>
        <v>3.8298322921065582E-13</v>
      </c>
      <c r="EG42" s="192">
        <f t="shared" si="171"/>
        <v>3.8681306150276238E-13</v>
      </c>
      <c r="EH42" s="192">
        <f t="shared" si="171"/>
        <v>3.9068119211778993E-13</v>
      </c>
      <c r="EI42" s="192">
        <f t="shared" si="171"/>
        <v>3.9458800403896788E-13</v>
      </c>
      <c r="EJ42" s="192">
        <f t="shared" si="171"/>
        <v>3.9853388407935754E-13</v>
      </c>
      <c r="EK42" s="192">
        <f t="shared" si="171"/>
        <v>4.0251922292015108E-13</v>
      </c>
      <c r="EL42" s="192">
        <f t="shared" si="171"/>
        <v>4.065444151493526E-13</v>
      </c>
      <c r="EM42" s="192">
        <f t="shared" si="171"/>
        <v>4.1060985930084614E-13</v>
      </c>
      <c r="EN42" s="192">
        <f t="shared" si="171"/>
        <v>4.1471595789385462E-13</v>
      </c>
      <c r="EO42" s="192">
        <f t="shared" si="171"/>
        <v>4.1886311747279318E-13</v>
      </c>
      <c r="EP42" s="192">
        <f t="shared" si="171"/>
        <v>4.2305174864752108E-13</v>
      </c>
      <c r="EQ42" s="192">
        <f t="shared" si="171"/>
        <v>4.272822661339963E-13</v>
      </c>
      <c r="ER42" s="192">
        <f t="shared" si="171"/>
        <v>4.3155508879533624E-13</v>
      </c>
      <c r="ES42" s="192">
        <f t="shared" si="171"/>
        <v>4.3587063968328961E-13</v>
      </c>
      <c r="ET42" s="192">
        <f t="shared" si="171"/>
        <v>4.4022934608012246E-13</v>
      </c>
      <c r="EU42" s="192">
        <f t="shared" si="171"/>
        <v>4.4463163954092375E-13</v>
      </c>
      <c r="EV42" s="192">
        <f t="shared" si="171"/>
        <v>4.4907795593633297E-13</v>
      </c>
      <c r="EW42" s="192">
        <f t="shared" si="171"/>
        <v>4.5356873549569632E-13</v>
      </c>
      <c r="EX42" s="192">
        <f t="shared" si="171"/>
        <v>4.5810442285065324E-13</v>
      </c>
      <c r="EY42" s="192">
        <f t="shared" si="171"/>
        <v>4.6268546707915982E-13</v>
      </c>
      <c r="EZ42" s="192">
        <f t="shared" si="171"/>
        <v>4.6731232174995142E-13</v>
      </c>
      <c r="FA42" s="192">
        <f t="shared" si="171"/>
        <v>4.7198544496745091E-13</v>
      </c>
      <c r="FB42" s="192">
        <f t="shared" si="171"/>
        <v>4.7670529941712545E-13</v>
      </c>
      <c r="FC42" s="192">
        <f t="shared" si="171"/>
        <v>4.8147235241129673E-13</v>
      </c>
      <c r="FD42" s="192">
        <f t="shared" si="171"/>
        <v>4.8628707593540967E-13</v>
      </c>
      <c r="FE42" s="192">
        <f t="shared" si="171"/>
        <v>4.9114994669476384E-13</v>
      </c>
      <c r="FF42" s="192">
        <f t="shared" si="171"/>
        <v>4.9606144616171145E-13</v>
      </c>
      <c r="FG42" s="192">
        <f t="shared" si="171"/>
        <v>5.0102206062332853E-13</v>
      </c>
      <c r="FH42" s="192">
        <f t="shared" si="171"/>
        <v>5.0603228122956183E-13</v>
      </c>
      <c r="FI42" s="192">
        <f t="shared" si="171"/>
        <v>5.110926040418575E-13</v>
      </c>
      <c r="FJ42" s="192">
        <f t="shared" si="171"/>
        <v>5.1620353008227612E-13</v>
      </c>
      <c r="FK42" s="192">
        <f t="shared" si="171"/>
        <v>5.2136556538309884E-13</v>
      </c>
      <c r="FL42" s="192">
        <f t="shared" si="171"/>
        <v>5.2657922103692984E-13</v>
      </c>
      <c r="FM42" s="192">
        <f t="shared" si="171"/>
        <v>5.3184501324729907E-13</v>
      </c>
      <c r="FN42" s="192">
        <f t="shared" si="171"/>
        <v>5.371634633797721E-13</v>
      </c>
      <c r="FO42" s="192">
        <f t="shared" si="171"/>
        <v>5.4253509801356981E-13</v>
      </c>
      <c r="FP42" s="192">
        <f t="shared" si="171"/>
        <v>5.4796044899370548E-13</v>
      </c>
      <c r="FQ42" s="192">
        <f t="shared" si="171"/>
        <v>5.5344005348364262E-13</v>
      </c>
      <c r="FR42" s="192">
        <f t="shared" si="171"/>
        <v>5.5897445401847899E-13</v>
      </c>
      <c r="FS42" s="192">
        <f t="shared" si="171"/>
        <v>5.645641985586638E-13</v>
      </c>
      <c r="FT42" s="192">
        <f t="shared" si="171"/>
        <v>5.7020984054425039E-13</v>
      </c>
      <c r="FU42" s="192">
        <f t="shared" si="171"/>
        <v>5.7591193894969292E-13</v>
      </c>
      <c r="FV42" s="192">
        <f t="shared" si="171"/>
        <v>5.8167105833918983E-13</v>
      </c>
      <c r="FW42" s="192">
        <f t="shared" si="171"/>
        <v>5.8748776892258174E-13</v>
      </c>
      <c r="FX42" s="192">
        <f t="shared" si="171"/>
        <v>5.9336264661180755E-13</v>
      </c>
      <c r="FY42" s="192">
        <f t="shared" si="171"/>
        <v>5.9929627307792564E-13</v>
      </c>
      <c r="FZ42" s="192">
        <f t="shared" si="171"/>
        <v>6.0528923580870484E-13</v>
      </c>
    </row>
    <row r="43" spans="1:182" outlineLevel="1" x14ac:dyDescent="0.2">
      <c r="A43" s="24" t="s">
        <v>234</v>
      </c>
      <c r="B43" s="192">
        <f>SUM(C43:DR43)</f>
        <v>233712.70399999997</v>
      </c>
      <c r="C43" s="192">
        <v>0</v>
      </c>
      <c r="D43" s="192">
        <f t="shared" ref="D43:AI43" si="172">+D41-D42</f>
        <v>0</v>
      </c>
      <c r="E43" s="192">
        <f t="shared" si="172"/>
        <v>0</v>
      </c>
      <c r="F43" s="192">
        <f t="shared" si="172"/>
        <v>0</v>
      </c>
      <c r="G43" s="192">
        <f t="shared" si="172"/>
        <v>0</v>
      </c>
      <c r="H43" s="192">
        <f t="shared" si="172"/>
        <v>0</v>
      </c>
      <c r="I43" s="192">
        <f t="shared" si="172"/>
        <v>0</v>
      </c>
      <c r="J43" s="192">
        <f t="shared" si="172"/>
        <v>0</v>
      </c>
      <c r="K43" s="192">
        <f t="shared" si="172"/>
        <v>0</v>
      </c>
      <c r="L43" s="192">
        <f t="shared" si="172"/>
        <v>0</v>
      </c>
      <c r="M43" s="192">
        <f t="shared" si="172"/>
        <v>0</v>
      </c>
      <c r="N43" s="192">
        <f t="shared" si="172"/>
        <v>0</v>
      </c>
      <c r="O43" s="192">
        <f t="shared" si="172"/>
        <v>0</v>
      </c>
      <c r="P43" s="192">
        <f t="shared" si="172"/>
        <v>0</v>
      </c>
      <c r="Q43" s="192">
        <f t="shared" si="172"/>
        <v>0</v>
      </c>
      <c r="R43" s="192">
        <f t="shared" si="172"/>
        <v>0</v>
      </c>
      <c r="S43" s="192">
        <f t="shared" si="172"/>
        <v>0</v>
      </c>
      <c r="T43" s="192">
        <f t="shared" si="172"/>
        <v>0</v>
      </c>
      <c r="U43" s="192">
        <f t="shared" si="172"/>
        <v>0</v>
      </c>
      <c r="V43" s="192">
        <f t="shared" si="172"/>
        <v>0</v>
      </c>
      <c r="W43" s="192">
        <f t="shared" si="172"/>
        <v>0</v>
      </c>
      <c r="X43" s="192">
        <f t="shared" si="172"/>
        <v>0</v>
      </c>
      <c r="Y43" s="192">
        <f t="shared" si="172"/>
        <v>0</v>
      </c>
      <c r="Z43" s="192">
        <f t="shared" si="172"/>
        <v>0</v>
      </c>
      <c r="AA43" s="192">
        <f t="shared" si="172"/>
        <v>1461.3684772926008</v>
      </c>
      <c r="AB43" s="192">
        <f t="shared" si="172"/>
        <v>1475.9821620655271</v>
      </c>
      <c r="AC43" s="192">
        <f t="shared" si="172"/>
        <v>1490.7419836861818</v>
      </c>
      <c r="AD43" s="192">
        <f t="shared" si="172"/>
        <v>1505.6494035230439</v>
      </c>
      <c r="AE43" s="192">
        <f t="shared" si="172"/>
        <v>1520.7058975582745</v>
      </c>
      <c r="AF43" s="192">
        <f t="shared" si="172"/>
        <v>1535.9129565338571</v>
      </c>
      <c r="AG43" s="192">
        <f t="shared" si="172"/>
        <v>1551.2720860991958</v>
      </c>
      <c r="AH43" s="192">
        <f t="shared" si="172"/>
        <v>1566.7848069601878</v>
      </c>
      <c r="AI43" s="192">
        <f t="shared" si="172"/>
        <v>1582.4526550297896</v>
      </c>
      <c r="AJ43" s="192">
        <f t="shared" ref="AJ43:BO43" si="173">+AJ41-AJ42</f>
        <v>1598.2771815800875</v>
      </c>
      <c r="AK43" s="192">
        <f t="shared" si="173"/>
        <v>1614.2599533958883</v>
      </c>
      <c r="AL43" s="192">
        <f t="shared" si="173"/>
        <v>1630.4025529298474</v>
      </c>
      <c r="AM43" s="192">
        <f t="shared" si="173"/>
        <v>1646.7065784591459</v>
      </c>
      <c r="AN43" s="192">
        <f t="shared" si="173"/>
        <v>1663.1736442437373</v>
      </c>
      <c r="AO43" s="192">
        <f t="shared" si="173"/>
        <v>1679.8053806861749</v>
      </c>
      <c r="AP43" s="192">
        <f t="shared" si="173"/>
        <v>1696.6034344930367</v>
      </c>
      <c r="AQ43" s="192">
        <f t="shared" si="173"/>
        <v>1713.5694688379672</v>
      </c>
      <c r="AR43" s="192">
        <f t="shared" si="173"/>
        <v>1730.7051635263465</v>
      </c>
      <c r="AS43" s="192">
        <f t="shared" si="173"/>
        <v>1748.0122151616101</v>
      </c>
      <c r="AT43" s="192">
        <f t="shared" si="173"/>
        <v>1765.4923373132262</v>
      </c>
      <c r="AU43" s="192">
        <f t="shared" si="173"/>
        <v>1783.1472606863583</v>
      </c>
      <c r="AV43" s="192">
        <f t="shared" si="173"/>
        <v>1800.9787332932219</v>
      </c>
      <c r="AW43" s="192">
        <f t="shared" si="173"/>
        <v>1818.9885206261542</v>
      </c>
      <c r="AX43" s="192">
        <f t="shared" si="173"/>
        <v>1837.1784058324156</v>
      </c>
      <c r="AY43" s="192">
        <f t="shared" si="173"/>
        <v>1855.5501898907398</v>
      </c>
      <c r="AZ43" s="192">
        <f t="shared" si="173"/>
        <v>1874.1056917896474</v>
      </c>
      <c r="BA43" s="192">
        <f t="shared" si="173"/>
        <v>1892.8467487075438</v>
      </c>
      <c r="BB43" s="192">
        <f t="shared" si="173"/>
        <v>1911.7752161946194</v>
      </c>
      <c r="BC43" s="192">
        <f t="shared" si="173"/>
        <v>1930.8929683565657</v>
      </c>
      <c r="BD43" s="192">
        <f t="shared" si="173"/>
        <v>1950.2018980401315</v>
      </c>
      <c r="BE43" s="192">
        <f t="shared" si="173"/>
        <v>1969.7039170205328</v>
      </c>
      <c r="BF43" s="192">
        <f t="shared" si="173"/>
        <v>1989.400956190738</v>
      </c>
      <c r="BG43" s="192">
        <f t="shared" si="173"/>
        <v>2009.2949657526456</v>
      </c>
      <c r="BH43" s="192">
        <f t="shared" si="173"/>
        <v>2029.3879154101719</v>
      </c>
      <c r="BI43" s="192">
        <f t="shared" si="173"/>
        <v>2049.6817945642733</v>
      </c>
      <c r="BJ43" s="192">
        <f t="shared" si="173"/>
        <v>2070.1786125099161</v>
      </c>
      <c r="BK43" s="192">
        <f t="shared" si="173"/>
        <v>2090.8803986350154</v>
      </c>
      <c r="BL43" s="192">
        <f t="shared" si="173"/>
        <v>2111.7892026213658</v>
      </c>
      <c r="BM43" s="192">
        <f t="shared" si="173"/>
        <v>2132.907094647579</v>
      </c>
      <c r="BN43" s="192">
        <f t="shared" si="173"/>
        <v>2154.2361655940549</v>
      </c>
      <c r="BO43" s="192">
        <f t="shared" si="173"/>
        <v>2175.778527249995</v>
      </c>
      <c r="BP43" s="192">
        <f t="shared" ref="BP43:CU43" si="174">+BP41-BP42</f>
        <v>2197.5363125224953</v>
      </c>
      <c r="BQ43" s="192">
        <f t="shared" si="174"/>
        <v>2219.51167564772</v>
      </c>
      <c r="BR43" s="192">
        <f t="shared" si="174"/>
        <v>2241.7067924041976</v>
      </c>
      <c r="BS43" s="192">
        <f t="shared" si="174"/>
        <v>2264.1238603282391</v>
      </c>
      <c r="BT43" s="192">
        <f t="shared" si="174"/>
        <v>2286.7650989315216</v>
      </c>
      <c r="BU43" s="192">
        <f t="shared" si="174"/>
        <v>2309.6327499208369</v>
      </c>
      <c r="BV43" s="192">
        <f t="shared" si="174"/>
        <v>2332.7290774200451</v>
      </c>
      <c r="BW43" s="192">
        <f t="shared" si="174"/>
        <v>2356.0563681942458</v>
      </c>
      <c r="BX43" s="192">
        <f t="shared" si="174"/>
        <v>2379.6169318761886</v>
      </c>
      <c r="BY43" s="192">
        <f t="shared" si="174"/>
        <v>2403.4131011949503</v>
      </c>
      <c r="BZ43" s="192">
        <f t="shared" si="174"/>
        <v>2427.4472322068996</v>
      </c>
      <c r="CA43" s="192">
        <f t="shared" si="174"/>
        <v>2451.721704528969</v>
      </c>
      <c r="CB43" s="192">
        <f t="shared" si="174"/>
        <v>2476.2389215742587</v>
      </c>
      <c r="CC43" s="192">
        <f t="shared" si="174"/>
        <v>2501.0013107900013</v>
      </c>
      <c r="CD43" s="192">
        <f t="shared" si="174"/>
        <v>2526.0113238979011</v>
      </c>
      <c r="CE43" s="192">
        <f t="shared" si="174"/>
        <v>2551.2714371368802</v>
      </c>
      <c r="CF43" s="192">
        <f t="shared" si="174"/>
        <v>2576.7841515082487</v>
      </c>
      <c r="CG43" s="192">
        <f t="shared" si="174"/>
        <v>2602.5519930233313</v>
      </c>
      <c r="CH43" s="192">
        <f t="shared" si="174"/>
        <v>2628.5775129535646</v>
      </c>
      <c r="CI43" s="192">
        <f t="shared" si="174"/>
        <v>2654.8632880831001</v>
      </c>
      <c r="CJ43" s="192">
        <f t="shared" si="174"/>
        <v>2681.4119209639312</v>
      </c>
      <c r="CK43" s="192">
        <f t="shared" si="174"/>
        <v>2708.2260401735703</v>
      </c>
      <c r="CL43" s="192">
        <f t="shared" si="174"/>
        <v>2735.308300575306</v>
      </c>
      <c r="CM43" s="192">
        <f t="shared" si="174"/>
        <v>2762.6613835810595</v>
      </c>
      <c r="CN43" s="192">
        <f t="shared" si="174"/>
        <v>2790.28799741687</v>
      </c>
      <c r="CO43" s="192">
        <f t="shared" si="174"/>
        <v>2818.1908773910386</v>
      </c>
      <c r="CP43" s="192">
        <f t="shared" si="174"/>
        <v>2846.372786164949</v>
      </c>
      <c r="CQ43" s="192">
        <f t="shared" si="174"/>
        <v>2874.8365140265983</v>
      </c>
      <c r="CR43" s="192">
        <f t="shared" si="174"/>
        <v>2903.5848791668645</v>
      </c>
      <c r="CS43" s="192">
        <f t="shared" si="174"/>
        <v>2932.6207279585333</v>
      </c>
      <c r="CT43" s="192">
        <f t="shared" si="174"/>
        <v>2961.9469352381184</v>
      </c>
      <c r="CU43" s="192">
        <f t="shared" si="174"/>
        <v>2991.5664045904996</v>
      </c>
      <c r="CV43" s="192">
        <f t="shared" ref="CV43:EA43" si="175">+CV41-CV42</f>
        <v>3021.4820686364046</v>
      </c>
      <c r="CW43" s="192">
        <f t="shared" si="175"/>
        <v>3051.6968893227686</v>
      </c>
      <c r="CX43" s="192">
        <f t="shared" si="175"/>
        <v>3082.2138582159964</v>
      </c>
      <c r="CY43" s="192">
        <f t="shared" si="175"/>
        <v>3113.0359967981562</v>
      </c>
      <c r="CZ43" s="192">
        <f t="shared" si="175"/>
        <v>3144.1663567661381</v>
      </c>
      <c r="DA43" s="192">
        <f t="shared" si="175"/>
        <v>3175.6080203337992</v>
      </c>
      <c r="DB43" s="192">
        <f t="shared" si="175"/>
        <v>3207.3641005371373</v>
      </c>
      <c r="DC43" s="192">
        <f t="shared" si="175"/>
        <v>3239.4377415425088</v>
      </c>
      <c r="DD43" s="192">
        <f t="shared" si="175"/>
        <v>3271.8321189579337</v>
      </c>
      <c r="DE43" s="192">
        <f t="shared" si="175"/>
        <v>3304.5504401475132</v>
      </c>
      <c r="DF43" s="192">
        <f t="shared" si="175"/>
        <v>3337.5959445489884</v>
      </c>
      <c r="DG43" s="192">
        <f t="shared" si="175"/>
        <v>3370.971903994478</v>
      </c>
      <c r="DH43" s="192">
        <f t="shared" si="175"/>
        <v>3404.681623034423</v>
      </c>
      <c r="DI43" s="192">
        <f t="shared" si="175"/>
        <v>3438.7284392647671</v>
      </c>
      <c r="DJ43" s="192">
        <f t="shared" si="175"/>
        <v>3473.1157236574149</v>
      </c>
      <c r="DK43" s="192">
        <f t="shared" si="175"/>
        <v>3507.8468808939888</v>
      </c>
      <c r="DL43" s="192">
        <f t="shared" si="175"/>
        <v>3542.925349702929</v>
      </c>
      <c r="DM43" s="192">
        <f t="shared" si="175"/>
        <v>3578.3546031999581</v>
      </c>
      <c r="DN43" s="192">
        <f t="shared" si="175"/>
        <v>3614.1381492319579</v>
      </c>
      <c r="DO43" s="192">
        <f t="shared" si="175"/>
        <v>3650.2795307242773</v>
      </c>
      <c r="DP43" s="192">
        <f t="shared" si="175"/>
        <v>3686.7823260315199</v>
      </c>
      <c r="DQ43" s="192">
        <f t="shared" si="175"/>
        <v>3723.6501492918355</v>
      </c>
      <c r="DR43" s="192">
        <f t="shared" si="175"/>
        <v>3760.8866507847538</v>
      </c>
      <c r="DS43" s="192">
        <f t="shared" si="175"/>
        <v>-3.3651303965598344E-13</v>
      </c>
      <c r="DT43" s="192">
        <f t="shared" si="175"/>
        <v>-3.3987817005254326E-13</v>
      </c>
      <c r="DU43" s="192">
        <f t="shared" si="175"/>
        <v>-3.4327695175306869E-13</v>
      </c>
      <c r="DV43" s="192">
        <f t="shared" si="175"/>
        <v>-3.467097212705994E-13</v>
      </c>
      <c r="DW43" s="192">
        <f t="shared" si="175"/>
        <v>-3.501768184833054E-13</v>
      </c>
      <c r="DX43" s="192">
        <f t="shared" si="175"/>
        <v>-3.5367858666813848E-13</v>
      </c>
      <c r="DY43" s="192">
        <f t="shared" si="175"/>
        <v>-3.5721537253481984E-13</v>
      </c>
      <c r="DZ43" s="192">
        <f t="shared" si="175"/>
        <v>-3.6078752626016807E-13</v>
      </c>
      <c r="EA43" s="192">
        <f t="shared" si="175"/>
        <v>-3.643954015227697E-13</v>
      </c>
      <c r="EB43" s="192">
        <f t="shared" ref="EB43:FG43" si="176">+EB41-EB42</f>
        <v>-3.6803935553799742E-13</v>
      </c>
      <c r="EC43" s="192">
        <f t="shared" si="176"/>
        <v>-3.717197490933774E-13</v>
      </c>
      <c r="ED43" s="192">
        <f t="shared" si="176"/>
        <v>-3.7543694658431116E-13</v>
      </c>
      <c r="EE43" s="192">
        <f t="shared" si="176"/>
        <v>-3.791913160501543E-13</v>
      </c>
      <c r="EF43" s="192">
        <f t="shared" si="176"/>
        <v>-3.8298322921065582E-13</v>
      </c>
      <c r="EG43" s="192">
        <f t="shared" si="176"/>
        <v>-3.8681306150276238E-13</v>
      </c>
      <c r="EH43" s="192">
        <f t="shared" si="176"/>
        <v>-3.9068119211778993E-13</v>
      </c>
      <c r="EI43" s="192">
        <f t="shared" si="176"/>
        <v>-3.9458800403896788E-13</v>
      </c>
      <c r="EJ43" s="192">
        <f t="shared" si="176"/>
        <v>-3.9853388407935754E-13</v>
      </c>
      <c r="EK43" s="192">
        <f t="shared" si="176"/>
        <v>-4.0251922292015108E-13</v>
      </c>
      <c r="EL43" s="192">
        <f t="shared" si="176"/>
        <v>-4.065444151493526E-13</v>
      </c>
      <c r="EM43" s="192">
        <f t="shared" si="176"/>
        <v>-4.1060985930084614E-13</v>
      </c>
      <c r="EN43" s="192">
        <f t="shared" si="176"/>
        <v>-4.1471595789385462E-13</v>
      </c>
      <c r="EO43" s="192">
        <f t="shared" si="176"/>
        <v>-4.1886311747279318E-13</v>
      </c>
      <c r="EP43" s="192">
        <f t="shared" si="176"/>
        <v>-4.2305174864752108E-13</v>
      </c>
      <c r="EQ43" s="192">
        <f t="shared" si="176"/>
        <v>-4.272822661339963E-13</v>
      </c>
      <c r="ER43" s="192">
        <f t="shared" si="176"/>
        <v>-4.3155508879533624E-13</v>
      </c>
      <c r="ES43" s="192">
        <f t="shared" si="176"/>
        <v>-4.3587063968328961E-13</v>
      </c>
      <c r="ET43" s="192">
        <f t="shared" si="176"/>
        <v>-4.4022934608012246E-13</v>
      </c>
      <c r="EU43" s="192">
        <f t="shared" si="176"/>
        <v>-4.4463163954092375E-13</v>
      </c>
      <c r="EV43" s="192">
        <f t="shared" si="176"/>
        <v>-4.4907795593633297E-13</v>
      </c>
      <c r="EW43" s="192">
        <f t="shared" si="176"/>
        <v>-4.5356873549569632E-13</v>
      </c>
      <c r="EX43" s="192">
        <f t="shared" si="176"/>
        <v>-4.5810442285065324E-13</v>
      </c>
      <c r="EY43" s="192">
        <f t="shared" si="176"/>
        <v>-4.6268546707915982E-13</v>
      </c>
      <c r="EZ43" s="192">
        <f t="shared" si="176"/>
        <v>-4.6731232174995142E-13</v>
      </c>
      <c r="FA43" s="192">
        <f t="shared" si="176"/>
        <v>-4.7198544496745091E-13</v>
      </c>
      <c r="FB43" s="192">
        <f t="shared" si="176"/>
        <v>-4.7670529941712545E-13</v>
      </c>
      <c r="FC43" s="192">
        <f t="shared" si="176"/>
        <v>-4.8147235241129673E-13</v>
      </c>
      <c r="FD43" s="192">
        <f t="shared" si="176"/>
        <v>-4.8628707593540967E-13</v>
      </c>
      <c r="FE43" s="192">
        <f t="shared" si="176"/>
        <v>-4.9114994669476384E-13</v>
      </c>
      <c r="FF43" s="192">
        <f t="shared" si="176"/>
        <v>-4.9606144616171145E-13</v>
      </c>
      <c r="FG43" s="192">
        <f t="shared" si="176"/>
        <v>-5.0102206062332853E-13</v>
      </c>
      <c r="FH43" s="192">
        <f t="shared" ref="FH43:FZ43" si="177">+FH41-FH42</f>
        <v>-5.0603228122956183E-13</v>
      </c>
      <c r="FI43" s="192">
        <f t="shared" si="177"/>
        <v>-5.110926040418575E-13</v>
      </c>
      <c r="FJ43" s="192">
        <f t="shared" si="177"/>
        <v>-5.1620353008227612E-13</v>
      </c>
      <c r="FK43" s="192">
        <f t="shared" si="177"/>
        <v>-5.2136556538309884E-13</v>
      </c>
      <c r="FL43" s="192">
        <f t="shared" si="177"/>
        <v>-5.2657922103692984E-13</v>
      </c>
      <c r="FM43" s="192">
        <f t="shared" si="177"/>
        <v>-5.3184501324729907E-13</v>
      </c>
      <c r="FN43" s="192">
        <f t="shared" si="177"/>
        <v>-5.371634633797721E-13</v>
      </c>
      <c r="FO43" s="192">
        <f t="shared" si="177"/>
        <v>-5.4253509801356981E-13</v>
      </c>
      <c r="FP43" s="192">
        <f t="shared" si="177"/>
        <v>-5.4796044899370548E-13</v>
      </c>
      <c r="FQ43" s="192">
        <f t="shared" si="177"/>
        <v>-5.5344005348364262E-13</v>
      </c>
      <c r="FR43" s="192">
        <f t="shared" si="177"/>
        <v>-5.5897445401847899E-13</v>
      </c>
      <c r="FS43" s="192">
        <f t="shared" si="177"/>
        <v>-5.645641985586638E-13</v>
      </c>
      <c r="FT43" s="192">
        <f t="shared" si="177"/>
        <v>-5.7020984054425039E-13</v>
      </c>
      <c r="FU43" s="192">
        <f t="shared" si="177"/>
        <v>-5.7591193894969292E-13</v>
      </c>
      <c r="FV43" s="192">
        <f t="shared" si="177"/>
        <v>-5.8167105833918983E-13</v>
      </c>
      <c r="FW43" s="192">
        <f t="shared" si="177"/>
        <v>-5.8748776892258174E-13</v>
      </c>
      <c r="FX43" s="192">
        <f t="shared" si="177"/>
        <v>-5.9336264661180755E-13</v>
      </c>
      <c r="FY43" s="192">
        <f t="shared" si="177"/>
        <v>-5.9929627307792564E-13</v>
      </c>
      <c r="FZ43" s="192">
        <f t="shared" si="177"/>
        <v>-6.0528923580870484E-13</v>
      </c>
    </row>
    <row r="46" spans="1:182" x14ac:dyDescent="0.2">
      <c r="A46" s="145" t="s">
        <v>437</v>
      </c>
    </row>
    <row r="47" spans="1:182" outlineLevel="1" x14ac:dyDescent="0.2">
      <c r="A47" s="24" t="s">
        <v>228</v>
      </c>
      <c r="B47" s="166">
        <f>+Inv.Rep.!F58</f>
        <v>217861.21216000002</v>
      </c>
    </row>
    <row r="48" spans="1:182" outlineLevel="1" x14ac:dyDescent="0.2">
      <c r="A48" s="24" t="s">
        <v>229</v>
      </c>
      <c r="B48" s="191">
        <f>+Condiciones!$B$20</f>
        <v>0.12</v>
      </c>
    </row>
    <row r="49" spans="1:182" outlineLevel="1" x14ac:dyDescent="0.2">
      <c r="A49" s="24" t="s">
        <v>230</v>
      </c>
      <c r="B49" s="139">
        <v>84</v>
      </c>
    </row>
    <row r="50" spans="1:182" outlineLevel="1" x14ac:dyDescent="0.2">
      <c r="A50" s="24" t="s">
        <v>231</v>
      </c>
      <c r="B50" s="192">
        <f>PMT(B48/12,B49,-B47)</f>
        <v>3845.8457651070903</v>
      </c>
    </row>
    <row r="51" spans="1:182" outlineLevel="1" x14ac:dyDescent="0.2">
      <c r="A51" s="24" t="s">
        <v>356</v>
      </c>
      <c r="B51" s="139">
        <v>36</v>
      </c>
    </row>
    <row r="52" spans="1:182" outlineLevel="1" x14ac:dyDescent="0.2"/>
    <row r="53" spans="1:182" outlineLevel="1" x14ac:dyDescent="0.2">
      <c r="A53" s="24" t="s">
        <v>232</v>
      </c>
      <c r="B53" s="166">
        <f>+B47</f>
        <v>217861.21216000002</v>
      </c>
      <c r="C53" s="192">
        <v>0</v>
      </c>
      <c r="D53" s="192">
        <f>+IF(C53&gt;0,C53-D56,IF(D4&lt;$B$51,0,$B$53-D56))</f>
        <v>0</v>
      </c>
      <c r="E53" s="192">
        <f t="shared" ref="E53:BP53" si="178">+IF(D53&gt;0,D53-E56,IF(E4&lt;$B$51,0,$B$53-E56))</f>
        <v>0</v>
      </c>
      <c r="F53" s="192">
        <f t="shared" si="178"/>
        <v>0</v>
      </c>
      <c r="G53" s="192">
        <f t="shared" si="178"/>
        <v>0</v>
      </c>
      <c r="H53" s="192">
        <f t="shared" si="178"/>
        <v>0</v>
      </c>
      <c r="I53" s="192">
        <f t="shared" si="178"/>
        <v>0</v>
      </c>
      <c r="J53" s="192">
        <f t="shared" si="178"/>
        <v>0</v>
      </c>
      <c r="K53" s="192">
        <f t="shared" si="178"/>
        <v>0</v>
      </c>
      <c r="L53" s="192">
        <f t="shared" si="178"/>
        <v>0</v>
      </c>
      <c r="M53" s="192">
        <f t="shared" si="178"/>
        <v>0</v>
      </c>
      <c r="N53" s="192">
        <f t="shared" si="178"/>
        <v>0</v>
      </c>
      <c r="O53" s="192">
        <f t="shared" si="178"/>
        <v>0</v>
      </c>
      <c r="P53" s="192">
        <f t="shared" si="178"/>
        <v>0</v>
      </c>
      <c r="Q53" s="192">
        <f t="shared" si="178"/>
        <v>0</v>
      </c>
      <c r="R53" s="192">
        <f t="shared" si="178"/>
        <v>0</v>
      </c>
      <c r="S53" s="192">
        <f t="shared" si="178"/>
        <v>0</v>
      </c>
      <c r="T53" s="192">
        <f t="shared" si="178"/>
        <v>0</v>
      </c>
      <c r="U53" s="192">
        <f t="shared" si="178"/>
        <v>0</v>
      </c>
      <c r="V53" s="192">
        <f t="shared" si="178"/>
        <v>0</v>
      </c>
      <c r="W53" s="192">
        <f t="shared" si="178"/>
        <v>0</v>
      </c>
      <c r="X53" s="192">
        <f t="shared" si="178"/>
        <v>0</v>
      </c>
      <c r="Y53" s="192">
        <f t="shared" si="178"/>
        <v>0</v>
      </c>
      <c r="Z53" s="192">
        <f t="shared" si="178"/>
        <v>0</v>
      </c>
      <c r="AA53" s="192">
        <f t="shared" si="178"/>
        <v>0</v>
      </c>
      <c r="AB53" s="192">
        <f t="shared" si="178"/>
        <v>0</v>
      </c>
      <c r="AC53" s="192">
        <f t="shared" si="178"/>
        <v>0</v>
      </c>
      <c r="AD53" s="192">
        <f t="shared" si="178"/>
        <v>0</v>
      </c>
      <c r="AE53" s="192">
        <f t="shared" si="178"/>
        <v>0</v>
      </c>
      <c r="AF53" s="192">
        <f t="shared" si="178"/>
        <v>0</v>
      </c>
      <c r="AG53" s="192">
        <f t="shared" si="178"/>
        <v>0</v>
      </c>
      <c r="AH53" s="192">
        <f t="shared" si="178"/>
        <v>0</v>
      </c>
      <c r="AI53" s="192">
        <f t="shared" si="178"/>
        <v>0</v>
      </c>
      <c r="AJ53" s="192">
        <f t="shared" si="178"/>
        <v>0</v>
      </c>
      <c r="AK53" s="192">
        <f t="shared" si="178"/>
        <v>0</v>
      </c>
      <c r="AL53" s="192">
        <f t="shared" si="178"/>
        <v>217861.21216000002</v>
      </c>
      <c r="AM53" s="192">
        <f t="shared" si="178"/>
        <v>216193.97851649293</v>
      </c>
      <c r="AN53" s="192">
        <f t="shared" si="178"/>
        <v>214510.07253655078</v>
      </c>
      <c r="AO53" s="192">
        <f t="shared" si="178"/>
        <v>212809.32749680919</v>
      </c>
      <c r="AP53" s="192">
        <f t="shared" si="178"/>
        <v>211091.5750066702</v>
      </c>
      <c r="AQ53" s="192">
        <f t="shared" si="178"/>
        <v>209356.64499162982</v>
      </c>
      <c r="AR53" s="192">
        <f t="shared" si="178"/>
        <v>207604.36567643902</v>
      </c>
      <c r="AS53" s="192">
        <f t="shared" si="178"/>
        <v>205834.56356809632</v>
      </c>
      <c r="AT53" s="192">
        <f t="shared" si="178"/>
        <v>204047.06343867019</v>
      </c>
      <c r="AU53" s="192">
        <f t="shared" si="178"/>
        <v>202241.68830794981</v>
      </c>
      <c r="AV53" s="192">
        <f t="shared" si="178"/>
        <v>200418.25942592221</v>
      </c>
      <c r="AW53" s="192">
        <f t="shared" si="178"/>
        <v>198576.59625507434</v>
      </c>
      <c r="AX53" s="192">
        <f t="shared" si="178"/>
        <v>196716.516452518</v>
      </c>
      <c r="AY53" s="192">
        <f t="shared" si="178"/>
        <v>194837.83585193608</v>
      </c>
      <c r="AZ53" s="192">
        <f t="shared" si="178"/>
        <v>192940.36844534834</v>
      </c>
      <c r="BA53" s="192">
        <f t="shared" si="178"/>
        <v>191023.92636469475</v>
      </c>
      <c r="BB53" s="192">
        <f t="shared" si="178"/>
        <v>189088.31986323462</v>
      </c>
      <c r="BC53" s="192">
        <f t="shared" si="178"/>
        <v>187133.35729675987</v>
      </c>
      <c r="BD53" s="192">
        <f t="shared" si="178"/>
        <v>185158.84510462038</v>
      </c>
      <c r="BE53" s="192">
        <f t="shared" si="178"/>
        <v>183164.58779055951</v>
      </c>
      <c r="BF53" s="192">
        <f t="shared" si="178"/>
        <v>181150.38790335803</v>
      </c>
      <c r="BG53" s="192">
        <f t="shared" si="178"/>
        <v>179116.04601728453</v>
      </c>
      <c r="BH53" s="192">
        <f t="shared" si="178"/>
        <v>177061.36071235029</v>
      </c>
      <c r="BI53" s="192">
        <f t="shared" si="178"/>
        <v>174986.1285543667</v>
      </c>
      <c r="BJ53" s="192">
        <f t="shared" si="178"/>
        <v>172890.14407480328</v>
      </c>
      <c r="BK53" s="192">
        <f t="shared" si="178"/>
        <v>170773.19975044421</v>
      </c>
      <c r="BL53" s="192">
        <f t="shared" si="178"/>
        <v>168635.08598284156</v>
      </c>
      <c r="BM53" s="192">
        <f t="shared" si="178"/>
        <v>166475.59107756289</v>
      </c>
      <c r="BN53" s="192">
        <f t="shared" si="178"/>
        <v>164294.50122323143</v>
      </c>
      <c r="BO53" s="192">
        <f t="shared" si="178"/>
        <v>162091.60047035664</v>
      </c>
      <c r="BP53" s="192">
        <f t="shared" si="178"/>
        <v>159866.67070995312</v>
      </c>
      <c r="BQ53" s="192">
        <f t="shared" ref="BQ53:EB53" si="179">+IF(BP53&gt;0,BP53-BQ56,IF(BQ4&lt;$B$51,0,$B$53-BQ56))</f>
        <v>157619.49165194557</v>
      </c>
      <c r="BR53" s="192">
        <f t="shared" si="179"/>
        <v>155349.84080335795</v>
      </c>
      <c r="BS53" s="192">
        <f t="shared" si="179"/>
        <v>153057.49344628444</v>
      </c>
      <c r="BT53" s="192">
        <f t="shared" si="179"/>
        <v>150742.2226156402</v>
      </c>
      <c r="BU53" s="192">
        <f t="shared" si="179"/>
        <v>148403.79907668952</v>
      </c>
      <c r="BV53" s="192">
        <f t="shared" si="179"/>
        <v>146041.99130234934</v>
      </c>
      <c r="BW53" s="192">
        <f t="shared" si="179"/>
        <v>143656.56545026574</v>
      </c>
      <c r="BX53" s="192">
        <f t="shared" si="179"/>
        <v>141247.28533966132</v>
      </c>
      <c r="BY53" s="192">
        <f t="shared" si="179"/>
        <v>138813.91242795085</v>
      </c>
      <c r="BZ53" s="192">
        <f t="shared" si="179"/>
        <v>136356.20578712327</v>
      </c>
      <c r="CA53" s="192">
        <f t="shared" si="179"/>
        <v>133873.92207988742</v>
      </c>
      <c r="CB53" s="192">
        <f t="shared" si="179"/>
        <v>131366.8155355792</v>
      </c>
      <c r="CC53" s="192">
        <f t="shared" si="179"/>
        <v>128834.6379258279</v>
      </c>
      <c r="CD53" s="192">
        <f t="shared" si="179"/>
        <v>126277.13853997909</v>
      </c>
      <c r="CE53" s="192">
        <f t="shared" si="179"/>
        <v>123694.0641602718</v>
      </c>
      <c r="CF53" s="192">
        <f t="shared" si="179"/>
        <v>121085.15903676742</v>
      </c>
      <c r="CG53" s="192">
        <f t="shared" si="179"/>
        <v>118450.164862028</v>
      </c>
      <c r="CH53" s="192">
        <f t="shared" si="179"/>
        <v>115788.82074554119</v>
      </c>
      <c r="CI53" s="192">
        <f t="shared" si="179"/>
        <v>113100.86318788951</v>
      </c>
      <c r="CJ53" s="192">
        <f t="shared" si="179"/>
        <v>110386.02605466131</v>
      </c>
      <c r="CK53" s="192">
        <f t="shared" si="179"/>
        <v>107644.04055010084</v>
      </c>
      <c r="CL53" s="192">
        <f t="shared" si="179"/>
        <v>104874.63519049475</v>
      </c>
      <c r="CM53" s="192">
        <f t="shared" si="179"/>
        <v>102077.53577729261</v>
      </c>
      <c r="CN53" s="192">
        <f t="shared" si="179"/>
        <v>99252.465369958445</v>
      </c>
      <c r="CO53" s="192">
        <f t="shared" si="179"/>
        <v>96399.144258550936</v>
      </c>
      <c r="CP53" s="192">
        <f t="shared" si="179"/>
        <v>93517.289936029352</v>
      </c>
      <c r="CQ53" s="192">
        <f t="shared" si="179"/>
        <v>90606.617070282562</v>
      </c>
      <c r="CR53" s="192">
        <f t="shared" si="179"/>
        <v>87666.837475878303</v>
      </c>
      <c r="CS53" s="192">
        <f t="shared" si="179"/>
        <v>84697.660085529991</v>
      </c>
      <c r="CT53" s="192">
        <f t="shared" si="179"/>
        <v>81698.790921278196</v>
      </c>
      <c r="CU53" s="192">
        <f t="shared" si="179"/>
        <v>78669.933065383884</v>
      </c>
      <c r="CV53" s="192">
        <f t="shared" si="179"/>
        <v>75610.786630930626</v>
      </c>
      <c r="CW53" s="192">
        <f t="shared" si="179"/>
        <v>72521.04873213284</v>
      </c>
      <c r="CX53" s="192">
        <f t="shared" si="179"/>
        <v>69400.413454347072</v>
      </c>
      <c r="CY53" s="192">
        <f t="shared" si="179"/>
        <v>66248.571823783452</v>
      </c>
      <c r="CZ53" s="192">
        <f t="shared" si="179"/>
        <v>63065.211776914199</v>
      </c>
      <c r="DA53" s="192">
        <f t="shared" si="179"/>
        <v>59850.018129576252</v>
      </c>
      <c r="DB53" s="192">
        <f t="shared" si="179"/>
        <v>56602.672545764923</v>
      </c>
      <c r="DC53" s="192">
        <f t="shared" si="179"/>
        <v>53322.853506115483</v>
      </c>
      <c r="DD53" s="192">
        <f t="shared" si="179"/>
        <v>50010.236276069547</v>
      </c>
      <c r="DE53" s="192">
        <f t="shared" si="179"/>
        <v>46664.492873723153</v>
      </c>
      <c r="DF53" s="192">
        <f t="shared" si="179"/>
        <v>43285.292037353298</v>
      </c>
      <c r="DG53" s="192">
        <f t="shared" si="179"/>
        <v>39872.299192619743</v>
      </c>
      <c r="DH53" s="192">
        <f t="shared" si="179"/>
        <v>36425.176419438852</v>
      </c>
      <c r="DI53" s="192">
        <f t="shared" si="179"/>
        <v>32943.582418526152</v>
      </c>
      <c r="DJ53" s="192">
        <f t="shared" si="179"/>
        <v>29427.172477604323</v>
      </c>
      <c r="DK53" s="192">
        <f t="shared" si="179"/>
        <v>25875.598437273275</v>
      </c>
      <c r="DL53" s="192">
        <f t="shared" si="179"/>
        <v>22288.508656538917</v>
      </c>
      <c r="DM53" s="192">
        <f t="shared" si="179"/>
        <v>18665.547977997216</v>
      </c>
      <c r="DN53" s="192">
        <f t="shared" si="179"/>
        <v>15006.357692670097</v>
      </c>
      <c r="DO53" s="192">
        <f t="shared" si="179"/>
        <v>11310.575504489709</v>
      </c>
      <c r="DP53" s="192">
        <f t="shared" si="179"/>
        <v>7577.8354944275161</v>
      </c>
      <c r="DQ53" s="192">
        <f t="shared" si="179"/>
        <v>3807.768084264701</v>
      </c>
      <c r="DR53" s="192">
        <f t="shared" si="179"/>
        <v>2.5784174795262516E-10</v>
      </c>
      <c r="DS53" s="192">
        <f t="shared" si="179"/>
        <v>2.6042016543215139E-10</v>
      </c>
      <c r="DT53" s="192">
        <f t="shared" si="179"/>
        <v>2.6302436708647293E-10</v>
      </c>
      <c r="DU53" s="192">
        <f t="shared" si="179"/>
        <v>2.6565461075733764E-10</v>
      </c>
      <c r="DV53" s="192">
        <f t="shared" si="179"/>
        <v>2.6831115686491101E-10</v>
      </c>
      <c r="DW53" s="192">
        <f t="shared" si="179"/>
        <v>2.7099426843356012E-10</v>
      </c>
      <c r="DX53" s="192">
        <f t="shared" si="179"/>
        <v>2.737042111178957E-10</v>
      </c>
      <c r="DY53" s="192">
        <f t="shared" si="179"/>
        <v>2.7644125322907464E-10</v>
      </c>
      <c r="DZ53" s="192">
        <f t="shared" si="179"/>
        <v>2.792056657613654E-10</v>
      </c>
      <c r="EA53" s="192">
        <f t="shared" si="179"/>
        <v>2.8199772241897905E-10</v>
      </c>
      <c r="EB53" s="192">
        <f t="shared" si="179"/>
        <v>2.8481769964316886E-10</v>
      </c>
      <c r="EC53" s="192">
        <f t="shared" ref="EC53:FZ53" si="180">+IF(EB53&gt;0,EB53-EC56,IF(EC4&lt;$B$51,0,$B$53-EC56))</f>
        <v>2.8766587663960053E-10</v>
      </c>
      <c r="ED53" s="192">
        <f t="shared" si="180"/>
        <v>2.9054253540599651E-10</v>
      </c>
      <c r="EE53" s="192">
        <f t="shared" si="180"/>
        <v>2.9344796076005647E-10</v>
      </c>
      <c r="EF53" s="192">
        <f t="shared" si="180"/>
        <v>2.9638244036765705E-10</v>
      </c>
      <c r="EG53" s="192">
        <f t="shared" si="180"/>
        <v>2.9934626477133364E-10</v>
      </c>
      <c r="EH53" s="192">
        <f t="shared" si="180"/>
        <v>3.0233972741904697E-10</v>
      </c>
      <c r="EI53" s="192">
        <f t="shared" si="180"/>
        <v>3.0536312469323747E-10</v>
      </c>
      <c r="EJ53" s="192">
        <f t="shared" si="180"/>
        <v>3.0841675594016984E-10</v>
      </c>
      <c r="EK53" s="192">
        <f t="shared" si="180"/>
        <v>3.1150092349957155E-10</v>
      </c>
      <c r="EL53" s="192">
        <f t="shared" si="180"/>
        <v>3.1461593273456725E-10</v>
      </c>
      <c r="EM53" s="192">
        <f t="shared" si="180"/>
        <v>3.1776209206191291E-10</v>
      </c>
      <c r="EN53" s="192">
        <f t="shared" si="180"/>
        <v>3.2093971298253203E-10</v>
      </c>
      <c r="EO53" s="192">
        <f t="shared" si="180"/>
        <v>3.2414911011235737E-10</v>
      </c>
      <c r="EP53" s="192">
        <f t="shared" si="180"/>
        <v>3.2739060121348092E-10</v>
      </c>
      <c r="EQ53" s="192">
        <f t="shared" si="180"/>
        <v>3.3066450722561571E-10</v>
      </c>
      <c r="ER53" s="192">
        <f t="shared" si="180"/>
        <v>3.3397115229787185E-10</v>
      </c>
      <c r="ES53" s="192">
        <f t="shared" si="180"/>
        <v>3.373108638208506E-10</v>
      </c>
      <c r="ET53" s="192">
        <f t="shared" si="180"/>
        <v>3.4068397245905908E-10</v>
      </c>
      <c r="EU53" s="192">
        <f t="shared" si="180"/>
        <v>3.4409081218364968E-10</v>
      </c>
      <c r="EV53" s="192">
        <f t="shared" si="180"/>
        <v>3.4753172030548617E-10</v>
      </c>
      <c r="EW53" s="192">
        <f t="shared" si="180"/>
        <v>3.5100703750854105E-10</v>
      </c>
      <c r="EX53" s="192">
        <f t="shared" si="180"/>
        <v>3.5451710788362648E-10</v>
      </c>
      <c r="EY53" s="192">
        <f t="shared" si="180"/>
        <v>3.5806227896246273E-10</v>
      </c>
      <c r="EZ53" s="192">
        <f t="shared" si="180"/>
        <v>3.6164290175208734E-10</v>
      </c>
      <c r="FA53" s="192">
        <f t="shared" si="180"/>
        <v>3.6525933076960822E-10</v>
      </c>
      <c r="FB53" s="192">
        <f t="shared" si="180"/>
        <v>3.6891192407730429E-10</v>
      </c>
      <c r="FC53" s="192">
        <f t="shared" si="180"/>
        <v>3.7260104331807731E-10</v>
      </c>
      <c r="FD53" s="192">
        <f t="shared" si="180"/>
        <v>3.763270537512581E-10</v>
      </c>
      <c r="FE53" s="192">
        <f t="shared" si="180"/>
        <v>3.800903242887707E-10</v>
      </c>
      <c r="FF53" s="192">
        <f t="shared" si="180"/>
        <v>3.8389122753165842E-10</v>
      </c>
      <c r="FG53" s="192">
        <f t="shared" si="180"/>
        <v>3.8773013980697499E-10</v>
      </c>
      <c r="FH53" s="192">
        <f t="shared" si="180"/>
        <v>3.9160744120504476E-10</v>
      </c>
      <c r="FI53" s="192">
        <f t="shared" si="180"/>
        <v>3.9552351561709518E-10</v>
      </c>
      <c r="FJ53" s="192">
        <f t="shared" si="180"/>
        <v>3.9947875077326613E-10</v>
      </c>
      <c r="FK53" s="192">
        <f t="shared" si="180"/>
        <v>4.034735382809988E-10</v>
      </c>
      <c r="FL53" s="192">
        <f t="shared" si="180"/>
        <v>4.0750827366380877E-10</v>
      </c>
      <c r="FM53" s="192">
        <f t="shared" si="180"/>
        <v>4.1158335640044686E-10</v>
      </c>
      <c r="FN53" s="192">
        <f t="shared" si="180"/>
        <v>4.1569918996445133E-10</v>
      </c>
      <c r="FO53" s="192">
        <f t="shared" si="180"/>
        <v>4.1985618186409585E-10</v>
      </c>
      <c r="FP53" s="192">
        <f t="shared" si="180"/>
        <v>4.2405474368273679E-10</v>
      </c>
      <c r="FQ53" s="192">
        <f t="shared" si="180"/>
        <v>4.2829529111956416E-10</v>
      </c>
      <c r="FR53" s="192">
        <f t="shared" si="180"/>
        <v>4.3257824403075981E-10</v>
      </c>
      <c r="FS53" s="192">
        <f t="shared" si="180"/>
        <v>4.3690402647106741E-10</v>
      </c>
      <c r="FT53" s="192">
        <f t="shared" si="180"/>
        <v>4.412730667357781E-10</v>
      </c>
      <c r="FU53" s="192">
        <f t="shared" si="180"/>
        <v>4.4568579740313589E-10</v>
      </c>
      <c r="FV53" s="192">
        <f t="shared" si="180"/>
        <v>4.5014265537716727E-10</v>
      </c>
      <c r="FW53" s="192">
        <f t="shared" si="180"/>
        <v>4.5464408193093896E-10</v>
      </c>
      <c r="FX53" s="192">
        <f t="shared" si="180"/>
        <v>4.5919052275024834E-10</v>
      </c>
      <c r="FY53" s="192">
        <f t="shared" si="180"/>
        <v>4.6378242797775081E-10</v>
      </c>
      <c r="FZ53" s="192">
        <f t="shared" si="180"/>
        <v>4.684202522575283E-10</v>
      </c>
    </row>
    <row r="54" spans="1:182" outlineLevel="1" x14ac:dyDescent="0.2">
      <c r="A54" s="24" t="s">
        <v>231</v>
      </c>
      <c r="B54" s="192">
        <f>SUM(C54:EP54)</f>
        <v>323051.04426899506</v>
      </c>
      <c r="C54" s="192">
        <v>0</v>
      </c>
      <c r="D54" s="192">
        <f>+IF(C53=0,0,IF(D4&gt;$B$49+$B$51,0,$B$50))</f>
        <v>0</v>
      </c>
      <c r="E54" s="192">
        <f t="shared" ref="E54:BP54" si="181">+IF(D53=0,0,IF(E4&gt;$B$49+$B$51,0,$B$50))</f>
        <v>0</v>
      </c>
      <c r="F54" s="192">
        <f t="shared" si="181"/>
        <v>0</v>
      </c>
      <c r="G54" s="192">
        <f t="shared" si="181"/>
        <v>0</v>
      </c>
      <c r="H54" s="192">
        <f t="shared" si="181"/>
        <v>0</v>
      </c>
      <c r="I54" s="192">
        <f t="shared" si="181"/>
        <v>0</v>
      </c>
      <c r="J54" s="192">
        <f t="shared" si="181"/>
        <v>0</v>
      </c>
      <c r="K54" s="192">
        <f t="shared" si="181"/>
        <v>0</v>
      </c>
      <c r="L54" s="192">
        <f t="shared" si="181"/>
        <v>0</v>
      </c>
      <c r="M54" s="192">
        <f t="shared" si="181"/>
        <v>0</v>
      </c>
      <c r="N54" s="192">
        <f t="shared" si="181"/>
        <v>0</v>
      </c>
      <c r="O54" s="192">
        <f t="shared" si="181"/>
        <v>0</v>
      </c>
      <c r="P54" s="192">
        <f t="shared" si="181"/>
        <v>0</v>
      </c>
      <c r="Q54" s="192">
        <f t="shared" si="181"/>
        <v>0</v>
      </c>
      <c r="R54" s="192">
        <f t="shared" si="181"/>
        <v>0</v>
      </c>
      <c r="S54" s="192">
        <f t="shared" si="181"/>
        <v>0</v>
      </c>
      <c r="T54" s="192">
        <f t="shared" si="181"/>
        <v>0</v>
      </c>
      <c r="U54" s="192">
        <f t="shared" si="181"/>
        <v>0</v>
      </c>
      <c r="V54" s="192">
        <f t="shared" si="181"/>
        <v>0</v>
      </c>
      <c r="W54" s="192">
        <f t="shared" si="181"/>
        <v>0</v>
      </c>
      <c r="X54" s="192">
        <f t="shared" si="181"/>
        <v>0</v>
      </c>
      <c r="Y54" s="192">
        <f t="shared" si="181"/>
        <v>0</v>
      </c>
      <c r="Z54" s="192">
        <f t="shared" si="181"/>
        <v>0</v>
      </c>
      <c r="AA54" s="192">
        <f t="shared" si="181"/>
        <v>0</v>
      </c>
      <c r="AB54" s="192">
        <f t="shared" si="181"/>
        <v>0</v>
      </c>
      <c r="AC54" s="192">
        <f t="shared" si="181"/>
        <v>0</v>
      </c>
      <c r="AD54" s="192">
        <f t="shared" si="181"/>
        <v>0</v>
      </c>
      <c r="AE54" s="192">
        <f t="shared" si="181"/>
        <v>0</v>
      </c>
      <c r="AF54" s="192">
        <f t="shared" si="181"/>
        <v>0</v>
      </c>
      <c r="AG54" s="192">
        <f t="shared" si="181"/>
        <v>0</v>
      </c>
      <c r="AH54" s="192">
        <f t="shared" si="181"/>
        <v>0</v>
      </c>
      <c r="AI54" s="192">
        <f t="shared" si="181"/>
        <v>0</v>
      </c>
      <c r="AJ54" s="192">
        <f t="shared" si="181"/>
        <v>0</v>
      </c>
      <c r="AK54" s="192">
        <f t="shared" si="181"/>
        <v>0</v>
      </c>
      <c r="AL54" s="192">
        <f t="shared" si="181"/>
        <v>0</v>
      </c>
      <c r="AM54" s="192">
        <f t="shared" si="181"/>
        <v>3845.8457651070903</v>
      </c>
      <c r="AN54" s="192">
        <f t="shared" si="181"/>
        <v>3845.8457651070903</v>
      </c>
      <c r="AO54" s="192">
        <f t="shared" si="181"/>
        <v>3845.8457651070903</v>
      </c>
      <c r="AP54" s="192">
        <f t="shared" si="181"/>
        <v>3845.8457651070903</v>
      </c>
      <c r="AQ54" s="192">
        <f t="shared" si="181"/>
        <v>3845.8457651070903</v>
      </c>
      <c r="AR54" s="192">
        <f t="shared" si="181"/>
        <v>3845.8457651070903</v>
      </c>
      <c r="AS54" s="192">
        <f t="shared" si="181"/>
        <v>3845.8457651070903</v>
      </c>
      <c r="AT54" s="192">
        <f t="shared" si="181"/>
        <v>3845.8457651070903</v>
      </c>
      <c r="AU54" s="192">
        <f t="shared" si="181"/>
        <v>3845.8457651070903</v>
      </c>
      <c r="AV54" s="192">
        <f t="shared" si="181"/>
        <v>3845.8457651070903</v>
      </c>
      <c r="AW54" s="192">
        <f t="shared" si="181"/>
        <v>3845.8457651070903</v>
      </c>
      <c r="AX54" s="192">
        <f t="shared" si="181"/>
        <v>3845.8457651070903</v>
      </c>
      <c r="AY54" s="192">
        <f t="shared" si="181"/>
        <v>3845.8457651070903</v>
      </c>
      <c r="AZ54" s="192">
        <f t="shared" si="181"/>
        <v>3845.8457651070903</v>
      </c>
      <c r="BA54" s="192">
        <f t="shared" si="181"/>
        <v>3845.8457651070903</v>
      </c>
      <c r="BB54" s="192">
        <f t="shared" si="181"/>
        <v>3845.8457651070903</v>
      </c>
      <c r="BC54" s="192">
        <f t="shared" si="181"/>
        <v>3845.8457651070903</v>
      </c>
      <c r="BD54" s="192">
        <f t="shared" si="181"/>
        <v>3845.8457651070903</v>
      </c>
      <c r="BE54" s="192">
        <f t="shared" si="181"/>
        <v>3845.8457651070903</v>
      </c>
      <c r="BF54" s="192">
        <f t="shared" si="181"/>
        <v>3845.8457651070903</v>
      </c>
      <c r="BG54" s="192">
        <f t="shared" si="181"/>
        <v>3845.8457651070903</v>
      </c>
      <c r="BH54" s="192">
        <f t="shared" si="181"/>
        <v>3845.8457651070903</v>
      </c>
      <c r="BI54" s="192">
        <f t="shared" si="181"/>
        <v>3845.8457651070903</v>
      </c>
      <c r="BJ54" s="192">
        <f t="shared" si="181"/>
        <v>3845.8457651070903</v>
      </c>
      <c r="BK54" s="192">
        <f t="shared" si="181"/>
        <v>3845.8457651070903</v>
      </c>
      <c r="BL54" s="192">
        <f t="shared" si="181"/>
        <v>3845.8457651070903</v>
      </c>
      <c r="BM54" s="192">
        <f t="shared" si="181"/>
        <v>3845.8457651070903</v>
      </c>
      <c r="BN54" s="192">
        <f t="shared" si="181"/>
        <v>3845.8457651070903</v>
      </c>
      <c r="BO54" s="192">
        <f t="shared" si="181"/>
        <v>3845.8457651070903</v>
      </c>
      <c r="BP54" s="192">
        <f t="shared" si="181"/>
        <v>3845.8457651070903</v>
      </c>
      <c r="BQ54" s="192">
        <f t="shared" ref="BQ54:EB54" si="182">+IF(BP53=0,0,IF(BQ4&gt;$B$49+$B$51,0,$B$50))</f>
        <v>3845.8457651070903</v>
      </c>
      <c r="BR54" s="192">
        <f t="shared" si="182"/>
        <v>3845.8457651070903</v>
      </c>
      <c r="BS54" s="192">
        <f t="shared" si="182"/>
        <v>3845.8457651070903</v>
      </c>
      <c r="BT54" s="192">
        <f t="shared" si="182"/>
        <v>3845.8457651070903</v>
      </c>
      <c r="BU54" s="192">
        <f t="shared" si="182"/>
        <v>3845.8457651070903</v>
      </c>
      <c r="BV54" s="192">
        <f t="shared" si="182"/>
        <v>3845.8457651070903</v>
      </c>
      <c r="BW54" s="192">
        <f t="shared" si="182"/>
        <v>3845.8457651070903</v>
      </c>
      <c r="BX54" s="192">
        <f t="shared" si="182"/>
        <v>3845.8457651070903</v>
      </c>
      <c r="BY54" s="192">
        <f t="shared" si="182"/>
        <v>3845.8457651070903</v>
      </c>
      <c r="BZ54" s="192">
        <f t="shared" si="182"/>
        <v>3845.8457651070903</v>
      </c>
      <c r="CA54" s="192">
        <f t="shared" si="182"/>
        <v>3845.8457651070903</v>
      </c>
      <c r="CB54" s="192">
        <f t="shared" si="182"/>
        <v>3845.8457651070903</v>
      </c>
      <c r="CC54" s="192">
        <f t="shared" si="182"/>
        <v>3845.8457651070903</v>
      </c>
      <c r="CD54" s="192">
        <f t="shared" si="182"/>
        <v>3845.8457651070903</v>
      </c>
      <c r="CE54" s="192">
        <f t="shared" si="182"/>
        <v>3845.8457651070903</v>
      </c>
      <c r="CF54" s="192">
        <f t="shared" si="182"/>
        <v>3845.8457651070903</v>
      </c>
      <c r="CG54" s="192">
        <f t="shared" si="182"/>
        <v>3845.8457651070903</v>
      </c>
      <c r="CH54" s="192">
        <f t="shared" si="182"/>
        <v>3845.8457651070903</v>
      </c>
      <c r="CI54" s="192">
        <f t="shared" si="182"/>
        <v>3845.8457651070903</v>
      </c>
      <c r="CJ54" s="192">
        <f t="shared" si="182"/>
        <v>3845.8457651070903</v>
      </c>
      <c r="CK54" s="192">
        <f t="shared" si="182"/>
        <v>3845.8457651070903</v>
      </c>
      <c r="CL54" s="192">
        <f t="shared" si="182"/>
        <v>3845.8457651070903</v>
      </c>
      <c r="CM54" s="192">
        <f t="shared" si="182"/>
        <v>3845.8457651070903</v>
      </c>
      <c r="CN54" s="192">
        <f t="shared" si="182"/>
        <v>3845.8457651070903</v>
      </c>
      <c r="CO54" s="192">
        <f t="shared" si="182"/>
        <v>3845.8457651070903</v>
      </c>
      <c r="CP54" s="192">
        <f t="shared" si="182"/>
        <v>3845.8457651070903</v>
      </c>
      <c r="CQ54" s="192">
        <f t="shared" si="182"/>
        <v>3845.8457651070903</v>
      </c>
      <c r="CR54" s="192">
        <f t="shared" si="182"/>
        <v>3845.8457651070903</v>
      </c>
      <c r="CS54" s="192">
        <f t="shared" si="182"/>
        <v>3845.8457651070903</v>
      </c>
      <c r="CT54" s="192">
        <f t="shared" si="182"/>
        <v>3845.8457651070903</v>
      </c>
      <c r="CU54" s="192">
        <f t="shared" si="182"/>
        <v>3845.8457651070903</v>
      </c>
      <c r="CV54" s="192">
        <f t="shared" si="182"/>
        <v>3845.8457651070903</v>
      </c>
      <c r="CW54" s="192">
        <f t="shared" si="182"/>
        <v>3845.8457651070903</v>
      </c>
      <c r="CX54" s="192">
        <f t="shared" si="182"/>
        <v>3845.8457651070903</v>
      </c>
      <c r="CY54" s="192">
        <f t="shared" si="182"/>
        <v>3845.8457651070903</v>
      </c>
      <c r="CZ54" s="192">
        <f t="shared" si="182"/>
        <v>3845.8457651070903</v>
      </c>
      <c r="DA54" s="192">
        <f t="shared" si="182"/>
        <v>3845.8457651070903</v>
      </c>
      <c r="DB54" s="192">
        <f t="shared" si="182"/>
        <v>3845.8457651070903</v>
      </c>
      <c r="DC54" s="192">
        <f t="shared" si="182"/>
        <v>3845.8457651070903</v>
      </c>
      <c r="DD54" s="192">
        <f t="shared" si="182"/>
        <v>3845.8457651070903</v>
      </c>
      <c r="DE54" s="192">
        <f t="shared" si="182"/>
        <v>3845.8457651070903</v>
      </c>
      <c r="DF54" s="192">
        <f t="shared" si="182"/>
        <v>3845.8457651070903</v>
      </c>
      <c r="DG54" s="192">
        <f t="shared" si="182"/>
        <v>3845.8457651070903</v>
      </c>
      <c r="DH54" s="192">
        <f t="shared" si="182"/>
        <v>3845.8457651070903</v>
      </c>
      <c r="DI54" s="192">
        <f t="shared" si="182"/>
        <v>3845.8457651070903</v>
      </c>
      <c r="DJ54" s="192">
        <f t="shared" si="182"/>
        <v>3845.8457651070903</v>
      </c>
      <c r="DK54" s="192">
        <f t="shared" si="182"/>
        <v>3845.8457651070903</v>
      </c>
      <c r="DL54" s="192">
        <f t="shared" si="182"/>
        <v>3845.8457651070903</v>
      </c>
      <c r="DM54" s="192">
        <f t="shared" si="182"/>
        <v>3845.8457651070903</v>
      </c>
      <c r="DN54" s="192">
        <f t="shared" si="182"/>
        <v>3845.8457651070903</v>
      </c>
      <c r="DO54" s="192">
        <f t="shared" si="182"/>
        <v>3845.8457651070903</v>
      </c>
      <c r="DP54" s="192">
        <f t="shared" si="182"/>
        <v>3845.8457651070903</v>
      </c>
      <c r="DQ54" s="192">
        <f t="shared" si="182"/>
        <v>3845.8457651070903</v>
      </c>
      <c r="DR54" s="192">
        <f t="shared" si="182"/>
        <v>3845.8457651070903</v>
      </c>
      <c r="DS54" s="192">
        <f t="shared" si="182"/>
        <v>0</v>
      </c>
      <c r="DT54" s="192">
        <f t="shared" si="182"/>
        <v>0</v>
      </c>
      <c r="DU54" s="192">
        <f t="shared" si="182"/>
        <v>0</v>
      </c>
      <c r="DV54" s="192">
        <f t="shared" si="182"/>
        <v>0</v>
      </c>
      <c r="DW54" s="192">
        <f t="shared" si="182"/>
        <v>0</v>
      </c>
      <c r="DX54" s="192">
        <f t="shared" si="182"/>
        <v>0</v>
      </c>
      <c r="DY54" s="192">
        <f t="shared" si="182"/>
        <v>0</v>
      </c>
      <c r="DZ54" s="192">
        <f t="shared" si="182"/>
        <v>0</v>
      </c>
      <c r="EA54" s="192">
        <f t="shared" si="182"/>
        <v>0</v>
      </c>
      <c r="EB54" s="192">
        <f t="shared" si="182"/>
        <v>0</v>
      </c>
      <c r="EC54" s="192">
        <f t="shared" ref="EC54:FZ54" si="183">+IF(EB53=0,0,IF(EC4&gt;$B$49+$B$51,0,$B$50))</f>
        <v>0</v>
      </c>
      <c r="ED54" s="192">
        <f t="shared" si="183"/>
        <v>0</v>
      </c>
      <c r="EE54" s="192">
        <f t="shared" si="183"/>
        <v>0</v>
      </c>
      <c r="EF54" s="192">
        <f t="shared" si="183"/>
        <v>0</v>
      </c>
      <c r="EG54" s="192">
        <f t="shared" si="183"/>
        <v>0</v>
      </c>
      <c r="EH54" s="192">
        <f t="shared" si="183"/>
        <v>0</v>
      </c>
      <c r="EI54" s="192">
        <f t="shared" si="183"/>
        <v>0</v>
      </c>
      <c r="EJ54" s="192">
        <f t="shared" si="183"/>
        <v>0</v>
      </c>
      <c r="EK54" s="192">
        <f t="shared" si="183"/>
        <v>0</v>
      </c>
      <c r="EL54" s="192">
        <f t="shared" si="183"/>
        <v>0</v>
      </c>
      <c r="EM54" s="192">
        <f t="shared" si="183"/>
        <v>0</v>
      </c>
      <c r="EN54" s="192">
        <f t="shared" si="183"/>
        <v>0</v>
      </c>
      <c r="EO54" s="192">
        <f t="shared" si="183"/>
        <v>0</v>
      </c>
      <c r="EP54" s="192">
        <f t="shared" si="183"/>
        <v>0</v>
      </c>
      <c r="EQ54" s="192">
        <f t="shared" si="183"/>
        <v>0</v>
      </c>
      <c r="ER54" s="192">
        <f t="shared" si="183"/>
        <v>0</v>
      </c>
      <c r="ES54" s="192">
        <f t="shared" si="183"/>
        <v>0</v>
      </c>
      <c r="ET54" s="192">
        <f t="shared" si="183"/>
        <v>0</v>
      </c>
      <c r="EU54" s="192">
        <f t="shared" si="183"/>
        <v>0</v>
      </c>
      <c r="EV54" s="192">
        <f t="shared" si="183"/>
        <v>0</v>
      </c>
      <c r="EW54" s="192">
        <f t="shared" si="183"/>
        <v>0</v>
      </c>
      <c r="EX54" s="192">
        <f t="shared" si="183"/>
        <v>0</v>
      </c>
      <c r="EY54" s="192">
        <f t="shared" si="183"/>
        <v>0</v>
      </c>
      <c r="EZ54" s="192">
        <f t="shared" si="183"/>
        <v>0</v>
      </c>
      <c r="FA54" s="192">
        <f t="shared" si="183"/>
        <v>0</v>
      </c>
      <c r="FB54" s="192">
        <f t="shared" si="183"/>
        <v>0</v>
      </c>
      <c r="FC54" s="192">
        <f t="shared" si="183"/>
        <v>0</v>
      </c>
      <c r="FD54" s="192">
        <f t="shared" si="183"/>
        <v>0</v>
      </c>
      <c r="FE54" s="192">
        <f t="shared" si="183"/>
        <v>0</v>
      </c>
      <c r="FF54" s="192">
        <f t="shared" si="183"/>
        <v>0</v>
      </c>
      <c r="FG54" s="192">
        <f t="shared" si="183"/>
        <v>0</v>
      </c>
      <c r="FH54" s="192">
        <f t="shared" si="183"/>
        <v>0</v>
      </c>
      <c r="FI54" s="192">
        <f t="shared" si="183"/>
        <v>0</v>
      </c>
      <c r="FJ54" s="192">
        <f t="shared" si="183"/>
        <v>0</v>
      </c>
      <c r="FK54" s="192">
        <f t="shared" si="183"/>
        <v>0</v>
      </c>
      <c r="FL54" s="192">
        <f t="shared" si="183"/>
        <v>0</v>
      </c>
      <c r="FM54" s="192">
        <f t="shared" si="183"/>
        <v>0</v>
      </c>
      <c r="FN54" s="192">
        <f t="shared" si="183"/>
        <v>0</v>
      </c>
      <c r="FO54" s="192">
        <f t="shared" si="183"/>
        <v>0</v>
      </c>
      <c r="FP54" s="192">
        <f t="shared" si="183"/>
        <v>0</v>
      </c>
      <c r="FQ54" s="192">
        <f t="shared" si="183"/>
        <v>0</v>
      </c>
      <c r="FR54" s="192">
        <f t="shared" si="183"/>
        <v>0</v>
      </c>
      <c r="FS54" s="192">
        <f t="shared" si="183"/>
        <v>0</v>
      </c>
      <c r="FT54" s="192">
        <f t="shared" si="183"/>
        <v>0</v>
      </c>
      <c r="FU54" s="192">
        <f t="shared" si="183"/>
        <v>0</v>
      </c>
      <c r="FV54" s="192">
        <f t="shared" si="183"/>
        <v>0</v>
      </c>
      <c r="FW54" s="192">
        <f t="shared" si="183"/>
        <v>0</v>
      </c>
      <c r="FX54" s="192">
        <f t="shared" si="183"/>
        <v>0</v>
      </c>
      <c r="FY54" s="192">
        <f t="shared" si="183"/>
        <v>0</v>
      </c>
      <c r="FZ54" s="192">
        <f t="shared" si="183"/>
        <v>0</v>
      </c>
    </row>
    <row r="55" spans="1:182" outlineLevel="1" x14ac:dyDescent="0.2">
      <c r="A55" s="24" t="s">
        <v>233</v>
      </c>
      <c r="B55" s="192">
        <f>SUM(C55:DR55)</f>
        <v>105189.8321089957</v>
      </c>
      <c r="C55" s="192">
        <v>0</v>
      </c>
      <c r="D55" s="192">
        <f>+C53*($B$48/12)</f>
        <v>0</v>
      </c>
      <c r="E55" s="192">
        <f t="shared" ref="E55:BP55" si="184">+D53*($B$48/12)</f>
        <v>0</v>
      </c>
      <c r="F55" s="192">
        <f t="shared" si="184"/>
        <v>0</v>
      </c>
      <c r="G55" s="192">
        <f t="shared" si="184"/>
        <v>0</v>
      </c>
      <c r="H55" s="192">
        <f t="shared" si="184"/>
        <v>0</v>
      </c>
      <c r="I55" s="192">
        <f t="shared" si="184"/>
        <v>0</v>
      </c>
      <c r="J55" s="192">
        <f t="shared" si="184"/>
        <v>0</v>
      </c>
      <c r="K55" s="192">
        <f t="shared" si="184"/>
        <v>0</v>
      </c>
      <c r="L55" s="192">
        <f t="shared" si="184"/>
        <v>0</v>
      </c>
      <c r="M55" s="192">
        <f t="shared" si="184"/>
        <v>0</v>
      </c>
      <c r="N55" s="192">
        <f t="shared" si="184"/>
        <v>0</v>
      </c>
      <c r="O55" s="192">
        <f t="shared" si="184"/>
        <v>0</v>
      </c>
      <c r="P55" s="192">
        <f t="shared" si="184"/>
        <v>0</v>
      </c>
      <c r="Q55" s="192">
        <f t="shared" si="184"/>
        <v>0</v>
      </c>
      <c r="R55" s="192">
        <f t="shared" si="184"/>
        <v>0</v>
      </c>
      <c r="S55" s="192">
        <f t="shared" si="184"/>
        <v>0</v>
      </c>
      <c r="T55" s="192">
        <f t="shared" si="184"/>
        <v>0</v>
      </c>
      <c r="U55" s="192">
        <f t="shared" si="184"/>
        <v>0</v>
      </c>
      <c r="V55" s="192">
        <f t="shared" si="184"/>
        <v>0</v>
      </c>
      <c r="W55" s="192">
        <f t="shared" si="184"/>
        <v>0</v>
      </c>
      <c r="X55" s="192">
        <f t="shared" si="184"/>
        <v>0</v>
      </c>
      <c r="Y55" s="192">
        <f t="shared" si="184"/>
        <v>0</v>
      </c>
      <c r="Z55" s="192">
        <f t="shared" si="184"/>
        <v>0</v>
      </c>
      <c r="AA55" s="192">
        <f t="shared" si="184"/>
        <v>0</v>
      </c>
      <c r="AB55" s="192">
        <f t="shared" si="184"/>
        <v>0</v>
      </c>
      <c r="AC55" s="192">
        <f t="shared" si="184"/>
        <v>0</v>
      </c>
      <c r="AD55" s="192">
        <f t="shared" si="184"/>
        <v>0</v>
      </c>
      <c r="AE55" s="192">
        <f t="shared" si="184"/>
        <v>0</v>
      </c>
      <c r="AF55" s="192">
        <f t="shared" si="184"/>
        <v>0</v>
      </c>
      <c r="AG55" s="192">
        <f t="shared" si="184"/>
        <v>0</v>
      </c>
      <c r="AH55" s="192">
        <f t="shared" si="184"/>
        <v>0</v>
      </c>
      <c r="AI55" s="192">
        <f t="shared" si="184"/>
        <v>0</v>
      </c>
      <c r="AJ55" s="192">
        <f t="shared" si="184"/>
        <v>0</v>
      </c>
      <c r="AK55" s="192">
        <f t="shared" si="184"/>
        <v>0</v>
      </c>
      <c r="AL55" s="192">
        <f t="shared" si="184"/>
        <v>0</v>
      </c>
      <c r="AM55" s="192">
        <f t="shared" si="184"/>
        <v>2178.6121216000001</v>
      </c>
      <c r="AN55" s="192">
        <f t="shared" si="184"/>
        <v>2161.9397851649292</v>
      </c>
      <c r="AO55" s="192">
        <f t="shared" si="184"/>
        <v>2145.100725365508</v>
      </c>
      <c r="AP55" s="192">
        <f t="shared" si="184"/>
        <v>2128.0932749680919</v>
      </c>
      <c r="AQ55" s="192">
        <f t="shared" si="184"/>
        <v>2110.915750066702</v>
      </c>
      <c r="AR55" s="192">
        <f t="shared" si="184"/>
        <v>2093.5664499162981</v>
      </c>
      <c r="AS55" s="192">
        <f t="shared" si="184"/>
        <v>2076.0436567643901</v>
      </c>
      <c r="AT55" s="192">
        <f t="shared" si="184"/>
        <v>2058.3456356809634</v>
      </c>
      <c r="AU55" s="192">
        <f t="shared" si="184"/>
        <v>2040.4706343867019</v>
      </c>
      <c r="AV55" s="192">
        <f t="shared" si="184"/>
        <v>2022.4168830794981</v>
      </c>
      <c r="AW55" s="192">
        <f t="shared" si="184"/>
        <v>2004.1825942592222</v>
      </c>
      <c r="AX55" s="192">
        <f t="shared" si="184"/>
        <v>1985.7659625507436</v>
      </c>
      <c r="AY55" s="192">
        <f t="shared" si="184"/>
        <v>1967.16516452518</v>
      </c>
      <c r="AZ55" s="192">
        <f t="shared" si="184"/>
        <v>1948.3783585193607</v>
      </c>
      <c r="BA55" s="192">
        <f t="shared" si="184"/>
        <v>1929.4036844534835</v>
      </c>
      <c r="BB55" s="192">
        <f t="shared" si="184"/>
        <v>1910.2392636469476</v>
      </c>
      <c r="BC55" s="192">
        <f t="shared" si="184"/>
        <v>1890.8831986323462</v>
      </c>
      <c r="BD55" s="192">
        <f t="shared" si="184"/>
        <v>1871.3335729675987</v>
      </c>
      <c r="BE55" s="192">
        <f t="shared" si="184"/>
        <v>1851.5884510462038</v>
      </c>
      <c r="BF55" s="192">
        <f t="shared" si="184"/>
        <v>1831.6458779055952</v>
      </c>
      <c r="BG55" s="192">
        <f t="shared" si="184"/>
        <v>1811.5038790335802</v>
      </c>
      <c r="BH55" s="192">
        <f t="shared" si="184"/>
        <v>1791.1604601728454</v>
      </c>
      <c r="BI55" s="192">
        <f t="shared" si="184"/>
        <v>1770.613607123503</v>
      </c>
      <c r="BJ55" s="192">
        <f t="shared" si="184"/>
        <v>1749.861285543667</v>
      </c>
      <c r="BK55" s="192">
        <f t="shared" si="184"/>
        <v>1728.9014407480329</v>
      </c>
      <c r="BL55" s="192">
        <f t="shared" si="184"/>
        <v>1707.7319975044422</v>
      </c>
      <c r="BM55" s="192">
        <f t="shared" si="184"/>
        <v>1686.3508598284157</v>
      </c>
      <c r="BN55" s="192">
        <f t="shared" si="184"/>
        <v>1664.755910775629</v>
      </c>
      <c r="BO55" s="192">
        <f t="shared" si="184"/>
        <v>1642.9450122323144</v>
      </c>
      <c r="BP55" s="192">
        <f t="shared" si="184"/>
        <v>1620.9160047035664</v>
      </c>
      <c r="BQ55" s="192">
        <f t="shared" ref="BQ55:EB55" si="185">+BP53*($B$48/12)</f>
        <v>1598.6667070995313</v>
      </c>
      <c r="BR55" s="192">
        <f t="shared" si="185"/>
        <v>1576.1949165194558</v>
      </c>
      <c r="BS55" s="192">
        <f t="shared" si="185"/>
        <v>1553.4984080335796</v>
      </c>
      <c r="BT55" s="192">
        <f t="shared" si="185"/>
        <v>1530.5749344628443</v>
      </c>
      <c r="BU55" s="192">
        <f t="shared" si="185"/>
        <v>1507.4222261564021</v>
      </c>
      <c r="BV55" s="192">
        <f t="shared" si="185"/>
        <v>1484.0379907668953</v>
      </c>
      <c r="BW55" s="192">
        <f t="shared" si="185"/>
        <v>1460.4199130234936</v>
      </c>
      <c r="BX55" s="192">
        <f t="shared" si="185"/>
        <v>1436.5656545026575</v>
      </c>
      <c r="BY55" s="192">
        <f t="shared" si="185"/>
        <v>1412.4728533966133</v>
      </c>
      <c r="BZ55" s="192">
        <f t="shared" si="185"/>
        <v>1388.1391242795087</v>
      </c>
      <c r="CA55" s="192">
        <f t="shared" si="185"/>
        <v>1363.5620578712328</v>
      </c>
      <c r="CB55" s="192">
        <f t="shared" si="185"/>
        <v>1338.7392207988742</v>
      </c>
      <c r="CC55" s="192">
        <f t="shared" si="185"/>
        <v>1313.6681553557919</v>
      </c>
      <c r="CD55" s="192">
        <f t="shared" si="185"/>
        <v>1288.3463792582791</v>
      </c>
      <c r="CE55" s="192">
        <f t="shared" si="185"/>
        <v>1262.7713853997909</v>
      </c>
      <c r="CF55" s="192">
        <f t="shared" si="185"/>
        <v>1236.940641602718</v>
      </c>
      <c r="CG55" s="192">
        <f t="shared" si="185"/>
        <v>1210.8515903676741</v>
      </c>
      <c r="CH55" s="192">
        <f t="shared" si="185"/>
        <v>1184.5016486202801</v>
      </c>
      <c r="CI55" s="192">
        <f t="shared" si="185"/>
        <v>1157.8882074554119</v>
      </c>
      <c r="CJ55" s="192">
        <f t="shared" si="185"/>
        <v>1131.0086318788951</v>
      </c>
      <c r="CK55" s="192">
        <f t="shared" si="185"/>
        <v>1103.8602605466131</v>
      </c>
      <c r="CL55" s="192">
        <f t="shared" si="185"/>
        <v>1076.4404055010084</v>
      </c>
      <c r="CM55" s="192">
        <f t="shared" si="185"/>
        <v>1048.7463519049475</v>
      </c>
      <c r="CN55" s="192">
        <f t="shared" si="185"/>
        <v>1020.7753577729261</v>
      </c>
      <c r="CO55" s="192">
        <f t="shared" si="185"/>
        <v>992.52465369958452</v>
      </c>
      <c r="CP55" s="192">
        <f t="shared" si="185"/>
        <v>963.99144258550939</v>
      </c>
      <c r="CQ55" s="192">
        <f t="shared" si="185"/>
        <v>935.17289936029351</v>
      </c>
      <c r="CR55" s="192">
        <f t="shared" si="185"/>
        <v>906.06617070282562</v>
      </c>
      <c r="CS55" s="192">
        <f t="shared" si="185"/>
        <v>876.6683747587831</v>
      </c>
      <c r="CT55" s="192">
        <f t="shared" si="185"/>
        <v>846.97660085529992</v>
      </c>
      <c r="CU55" s="192">
        <f t="shared" si="185"/>
        <v>816.98790921278203</v>
      </c>
      <c r="CV55" s="192">
        <f t="shared" si="185"/>
        <v>786.69933065383884</v>
      </c>
      <c r="CW55" s="192">
        <f t="shared" si="185"/>
        <v>756.10786630930625</v>
      </c>
      <c r="CX55" s="192">
        <f t="shared" si="185"/>
        <v>725.2104873213284</v>
      </c>
      <c r="CY55" s="192">
        <f t="shared" si="185"/>
        <v>694.00413454347074</v>
      </c>
      <c r="CZ55" s="192">
        <f t="shared" si="185"/>
        <v>662.48571823783448</v>
      </c>
      <c r="DA55" s="192">
        <f t="shared" si="185"/>
        <v>630.65211776914202</v>
      </c>
      <c r="DB55" s="192">
        <f t="shared" si="185"/>
        <v>598.50018129576256</v>
      </c>
      <c r="DC55" s="192">
        <f t="shared" si="185"/>
        <v>566.02672545764926</v>
      </c>
      <c r="DD55" s="192">
        <f t="shared" si="185"/>
        <v>533.22853506115484</v>
      </c>
      <c r="DE55" s="192">
        <f t="shared" si="185"/>
        <v>500.10236276069548</v>
      </c>
      <c r="DF55" s="192">
        <f t="shared" si="185"/>
        <v>466.64492873723157</v>
      </c>
      <c r="DG55" s="192">
        <f t="shared" si="185"/>
        <v>432.85292037353298</v>
      </c>
      <c r="DH55" s="192">
        <f t="shared" si="185"/>
        <v>398.72299192619744</v>
      </c>
      <c r="DI55" s="192">
        <f t="shared" si="185"/>
        <v>364.25176419438856</v>
      </c>
      <c r="DJ55" s="192">
        <f t="shared" si="185"/>
        <v>329.43582418526154</v>
      </c>
      <c r="DK55" s="192">
        <f t="shared" si="185"/>
        <v>294.27172477604324</v>
      </c>
      <c r="DL55" s="192">
        <f t="shared" si="185"/>
        <v>258.75598437273277</v>
      </c>
      <c r="DM55" s="192">
        <f t="shared" si="185"/>
        <v>222.88508656538917</v>
      </c>
      <c r="DN55" s="192">
        <f t="shared" si="185"/>
        <v>186.65547977997215</v>
      </c>
      <c r="DO55" s="192">
        <f t="shared" si="185"/>
        <v>150.06357692670096</v>
      </c>
      <c r="DP55" s="192">
        <f t="shared" si="185"/>
        <v>113.10575504489709</v>
      </c>
      <c r="DQ55" s="192">
        <f t="shared" si="185"/>
        <v>75.778354944275165</v>
      </c>
      <c r="DR55" s="192">
        <f t="shared" si="185"/>
        <v>38.077680842647013</v>
      </c>
      <c r="DS55" s="192">
        <f t="shared" si="185"/>
        <v>2.5784174795262515E-12</v>
      </c>
      <c r="DT55" s="192">
        <f t="shared" si="185"/>
        <v>2.6042016543215141E-12</v>
      </c>
      <c r="DU55" s="192">
        <f t="shared" si="185"/>
        <v>2.6302436708647294E-12</v>
      </c>
      <c r="DV55" s="192">
        <f t="shared" si="185"/>
        <v>2.6565461075733763E-12</v>
      </c>
      <c r="DW55" s="192">
        <f t="shared" si="185"/>
        <v>2.68311156864911E-12</v>
      </c>
      <c r="DX55" s="192">
        <f t="shared" si="185"/>
        <v>2.7099426843356012E-12</v>
      </c>
      <c r="DY55" s="192">
        <f t="shared" si="185"/>
        <v>2.7370421111789572E-12</v>
      </c>
      <c r="DZ55" s="192">
        <f t="shared" si="185"/>
        <v>2.7644125322907463E-12</v>
      </c>
      <c r="EA55" s="192">
        <f t="shared" si="185"/>
        <v>2.7920566576136541E-12</v>
      </c>
      <c r="EB55" s="192">
        <f t="shared" si="185"/>
        <v>2.8199772241897906E-12</v>
      </c>
      <c r="EC55" s="192">
        <f t="shared" ref="EC55:FZ55" si="186">+EB53*($B$48/12)</f>
        <v>2.8481769964316886E-12</v>
      </c>
      <c r="ED55" s="192">
        <f t="shared" si="186"/>
        <v>2.8766587663960054E-12</v>
      </c>
      <c r="EE55" s="192">
        <f t="shared" si="186"/>
        <v>2.905425354059965E-12</v>
      </c>
      <c r="EF55" s="192">
        <f t="shared" si="186"/>
        <v>2.9344796076005648E-12</v>
      </c>
      <c r="EG55" s="192">
        <f t="shared" si="186"/>
        <v>2.9638244036765705E-12</v>
      </c>
      <c r="EH55" s="192">
        <f t="shared" si="186"/>
        <v>2.9934626477133363E-12</v>
      </c>
      <c r="EI55" s="192">
        <f t="shared" si="186"/>
        <v>3.0233972741904699E-12</v>
      </c>
      <c r="EJ55" s="192">
        <f t="shared" si="186"/>
        <v>3.0536312469323745E-12</v>
      </c>
      <c r="EK55" s="192">
        <f t="shared" si="186"/>
        <v>3.0841675594016985E-12</v>
      </c>
      <c r="EL55" s="192">
        <f t="shared" si="186"/>
        <v>3.1150092349957156E-12</v>
      </c>
      <c r="EM55" s="192">
        <f t="shared" si="186"/>
        <v>3.1461593273456726E-12</v>
      </c>
      <c r="EN55" s="192">
        <f t="shared" si="186"/>
        <v>3.1776209206191292E-12</v>
      </c>
      <c r="EO55" s="192">
        <f t="shared" si="186"/>
        <v>3.2093971298253205E-12</v>
      </c>
      <c r="EP55" s="192">
        <f t="shared" si="186"/>
        <v>3.2414911011235738E-12</v>
      </c>
      <c r="EQ55" s="192">
        <f t="shared" si="186"/>
        <v>3.2739060121348093E-12</v>
      </c>
      <c r="ER55" s="192">
        <f t="shared" si="186"/>
        <v>3.3066450722561569E-12</v>
      </c>
      <c r="ES55" s="192">
        <f t="shared" si="186"/>
        <v>3.3397115229787185E-12</v>
      </c>
      <c r="ET55" s="192">
        <f t="shared" si="186"/>
        <v>3.373108638208506E-12</v>
      </c>
      <c r="EU55" s="192">
        <f t="shared" si="186"/>
        <v>3.4068397245905907E-12</v>
      </c>
      <c r="EV55" s="192">
        <f t="shared" si="186"/>
        <v>3.4409081218364969E-12</v>
      </c>
      <c r="EW55" s="192">
        <f t="shared" si="186"/>
        <v>3.4753172030548618E-12</v>
      </c>
      <c r="EX55" s="192">
        <f t="shared" si="186"/>
        <v>3.5100703750854105E-12</v>
      </c>
      <c r="EY55" s="192">
        <f t="shared" si="186"/>
        <v>3.5451710788362651E-12</v>
      </c>
      <c r="EZ55" s="192">
        <f t="shared" si="186"/>
        <v>3.5806227896246273E-12</v>
      </c>
      <c r="FA55" s="192">
        <f t="shared" si="186"/>
        <v>3.6164290175208736E-12</v>
      </c>
      <c r="FB55" s="192">
        <f t="shared" si="186"/>
        <v>3.6525933076960821E-12</v>
      </c>
      <c r="FC55" s="192">
        <f t="shared" si="186"/>
        <v>3.6891192407730429E-12</v>
      </c>
      <c r="FD55" s="192">
        <f t="shared" si="186"/>
        <v>3.7260104331807731E-12</v>
      </c>
      <c r="FE55" s="192">
        <f t="shared" si="186"/>
        <v>3.7632705375125813E-12</v>
      </c>
      <c r="FF55" s="192">
        <f t="shared" si="186"/>
        <v>3.8009032428877068E-12</v>
      </c>
      <c r="FG55" s="192">
        <f t="shared" si="186"/>
        <v>3.8389122753165843E-12</v>
      </c>
      <c r="FH55" s="192">
        <f t="shared" si="186"/>
        <v>3.8773013980697499E-12</v>
      </c>
      <c r="FI55" s="192">
        <f t="shared" si="186"/>
        <v>3.916074412050448E-12</v>
      </c>
      <c r="FJ55" s="192">
        <f t="shared" si="186"/>
        <v>3.9552351561709516E-12</v>
      </c>
      <c r="FK55" s="192">
        <f t="shared" si="186"/>
        <v>3.9947875077326612E-12</v>
      </c>
      <c r="FL55" s="192">
        <f t="shared" si="186"/>
        <v>4.0347353828099885E-12</v>
      </c>
      <c r="FM55" s="192">
        <f t="shared" si="186"/>
        <v>4.0750827366380875E-12</v>
      </c>
      <c r="FN55" s="192">
        <f t="shared" si="186"/>
        <v>4.1158335640044689E-12</v>
      </c>
      <c r="FO55" s="192">
        <f t="shared" si="186"/>
        <v>4.156991899644513E-12</v>
      </c>
      <c r="FP55" s="192">
        <f t="shared" si="186"/>
        <v>4.1985618186409586E-12</v>
      </c>
      <c r="FQ55" s="192">
        <f t="shared" si="186"/>
        <v>4.2405474368273683E-12</v>
      </c>
      <c r="FR55" s="192">
        <f t="shared" si="186"/>
        <v>4.2829529111956421E-12</v>
      </c>
      <c r="FS55" s="192">
        <f t="shared" si="186"/>
        <v>4.325782440307598E-12</v>
      </c>
      <c r="FT55" s="192">
        <f t="shared" si="186"/>
        <v>4.369040264710674E-12</v>
      </c>
      <c r="FU55" s="192">
        <f t="shared" si="186"/>
        <v>4.4127306673577812E-12</v>
      </c>
      <c r="FV55" s="192">
        <f t="shared" si="186"/>
        <v>4.4568579740313591E-12</v>
      </c>
      <c r="FW55" s="192">
        <f t="shared" si="186"/>
        <v>4.5014265537716731E-12</v>
      </c>
      <c r="FX55" s="192">
        <f t="shared" si="186"/>
        <v>4.5464408193093894E-12</v>
      </c>
      <c r="FY55" s="192">
        <f t="shared" si="186"/>
        <v>4.5919052275024831E-12</v>
      </c>
      <c r="FZ55" s="192">
        <f t="shared" si="186"/>
        <v>4.6378242797775082E-12</v>
      </c>
    </row>
    <row r="56" spans="1:182" outlineLevel="1" x14ac:dyDescent="0.2">
      <c r="A56" s="24" t="s">
        <v>234</v>
      </c>
      <c r="B56" s="192">
        <f>SUM(C56:DR56)</f>
        <v>217861.21215999988</v>
      </c>
      <c r="C56" s="192">
        <v>0</v>
      </c>
      <c r="D56" s="192">
        <f t="shared" ref="D56:AI56" si="187">+D54-D55</f>
        <v>0</v>
      </c>
      <c r="E56" s="192">
        <f t="shared" si="187"/>
        <v>0</v>
      </c>
      <c r="F56" s="192">
        <f t="shared" si="187"/>
        <v>0</v>
      </c>
      <c r="G56" s="192">
        <f t="shared" si="187"/>
        <v>0</v>
      </c>
      <c r="H56" s="192">
        <f t="shared" si="187"/>
        <v>0</v>
      </c>
      <c r="I56" s="192">
        <f t="shared" si="187"/>
        <v>0</v>
      </c>
      <c r="J56" s="192">
        <f t="shared" si="187"/>
        <v>0</v>
      </c>
      <c r="K56" s="192">
        <f t="shared" si="187"/>
        <v>0</v>
      </c>
      <c r="L56" s="192">
        <f t="shared" si="187"/>
        <v>0</v>
      </c>
      <c r="M56" s="192">
        <f t="shared" si="187"/>
        <v>0</v>
      </c>
      <c r="N56" s="192">
        <f t="shared" si="187"/>
        <v>0</v>
      </c>
      <c r="O56" s="192">
        <f t="shared" si="187"/>
        <v>0</v>
      </c>
      <c r="P56" s="192">
        <f t="shared" si="187"/>
        <v>0</v>
      </c>
      <c r="Q56" s="192">
        <f t="shared" si="187"/>
        <v>0</v>
      </c>
      <c r="R56" s="192">
        <f t="shared" si="187"/>
        <v>0</v>
      </c>
      <c r="S56" s="192">
        <f t="shared" si="187"/>
        <v>0</v>
      </c>
      <c r="T56" s="192">
        <f t="shared" si="187"/>
        <v>0</v>
      </c>
      <c r="U56" s="192">
        <f t="shared" si="187"/>
        <v>0</v>
      </c>
      <c r="V56" s="192">
        <f t="shared" si="187"/>
        <v>0</v>
      </c>
      <c r="W56" s="192">
        <f t="shared" si="187"/>
        <v>0</v>
      </c>
      <c r="X56" s="192">
        <f t="shared" si="187"/>
        <v>0</v>
      </c>
      <c r="Y56" s="192">
        <f t="shared" si="187"/>
        <v>0</v>
      </c>
      <c r="Z56" s="192">
        <f t="shared" si="187"/>
        <v>0</v>
      </c>
      <c r="AA56" s="192">
        <f t="shared" si="187"/>
        <v>0</v>
      </c>
      <c r="AB56" s="192">
        <f t="shared" si="187"/>
        <v>0</v>
      </c>
      <c r="AC56" s="192">
        <f t="shared" si="187"/>
        <v>0</v>
      </c>
      <c r="AD56" s="192">
        <f t="shared" si="187"/>
        <v>0</v>
      </c>
      <c r="AE56" s="192">
        <f t="shared" si="187"/>
        <v>0</v>
      </c>
      <c r="AF56" s="192">
        <f t="shared" si="187"/>
        <v>0</v>
      </c>
      <c r="AG56" s="192">
        <f t="shared" si="187"/>
        <v>0</v>
      </c>
      <c r="AH56" s="192">
        <f t="shared" si="187"/>
        <v>0</v>
      </c>
      <c r="AI56" s="192">
        <f t="shared" si="187"/>
        <v>0</v>
      </c>
      <c r="AJ56" s="192">
        <f t="shared" ref="AJ56:BO56" si="188">+AJ54-AJ55</f>
        <v>0</v>
      </c>
      <c r="AK56" s="192">
        <f t="shared" si="188"/>
        <v>0</v>
      </c>
      <c r="AL56" s="192">
        <f t="shared" si="188"/>
        <v>0</v>
      </c>
      <c r="AM56" s="192">
        <f t="shared" si="188"/>
        <v>1667.2336435070902</v>
      </c>
      <c r="AN56" s="192">
        <f t="shared" si="188"/>
        <v>1683.9059799421611</v>
      </c>
      <c r="AO56" s="192">
        <f t="shared" si="188"/>
        <v>1700.7450397415823</v>
      </c>
      <c r="AP56" s="192">
        <f t="shared" si="188"/>
        <v>1717.7524901389984</v>
      </c>
      <c r="AQ56" s="192">
        <f t="shared" si="188"/>
        <v>1734.9300150403883</v>
      </c>
      <c r="AR56" s="192">
        <f t="shared" si="188"/>
        <v>1752.2793151907922</v>
      </c>
      <c r="AS56" s="192">
        <f t="shared" si="188"/>
        <v>1769.8021083427002</v>
      </c>
      <c r="AT56" s="192">
        <f t="shared" si="188"/>
        <v>1787.5001294261269</v>
      </c>
      <c r="AU56" s="192">
        <f t="shared" si="188"/>
        <v>1805.3751307203884</v>
      </c>
      <c r="AV56" s="192">
        <f t="shared" si="188"/>
        <v>1823.4288820275922</v>
      </c>
      <c r="AW56" s="192">
        <f t="shared" si="188"/>
        <v>1841.6631708478681</v>
      </c>
      <c r="AX56" s="192">
        <f t="shared" si="188"/>
        <v>1860.0798025563467</v>
      </c>
      <c r="AY56" s="192">
        <f t="shared" si="188"/>
        <v>1878.6806005819103</v>
      </c>
      <c r="AZ56" s="192">
        <f t="shared" si="188"/>
        <v>1897.4674065877296</v>
      </c>
      <c r="BA56" s="192">
        <f t="shared" si="188"/>
        <v>1916.4420806536068</v>
      </c>
      <c r="BB56" s="192">
        <f t="shared" si="188"/>
        <v>1935.6065014601427</v>
      </c>
      <c r="BC56" s="192">
        <f t="shared" si="188"/>
        <v>1954.9625664747441</v>
      </c>
      <c r="BD56" s="192">
        <f t="shared" si="188"/>
        <v>1974.5121921394916</v>
      </c>
      <c r="BE56" s="192">
        <f t="shared" si="188"/>
        <v>1994.2573140608865</v>
      </c>
      <c r="BF56" s="192">
        <f t="shared" si="188"/>
        <v>2014.1998872014951</v>
      </c>
      <c r="BG56" s="192">
        <f t="shared" si="188"/>
        <v>2034.3418860735101</v>
      </c>
      <c r="BH56" s="192">
        <f t="shared" si="188"/>
        <v>2054.6853049342449</v>
      </c>
      <c r="BI56" s="192">
        <f t="shared" si="188"/>
        <v>2075.2321579835871</v>
      </c>
      <c r="BJ56" s="192">
        <f t="shared" si="188"/>
        <v>2095.9844795634235</v>
      </c>
      <c r="BK56" s="192">
        <f t="shared" si="188"/>
        <v>2116.9443243590576</v>
      </c>
      <c r="BL56" s="192">
        <f t="shared" si="188"/>
        <v>2138.1137676026483</v>
      </c>
      <c r="BM56" s="192">
        <f t="shared" si="188"/>
        <v>2159.4949052786747</v>
      </c>
      <c r="BN56" s="192">
        <f t="shared" si="188"/>
        <v>2181.0898543314615</v>
      </c>
      <c r="BO56" s="192">
        <f t="shared" si="188"/>
        <v>2202.9007528747761</v>
      </c>
      <c r="BP56" s="192">
        <f t="shared" ref="BP56:CU56" si="189">+BP54-BP55</f>
        <v>2224.9297604035237</v>
      </c>
      <c r="BQ56" s="192">
        <f t="shared" si="189"/>
        <v>2247.179058007559</v>
      </c>
      <c r="BR56" s="192">
        <f t="shared" si="189"/>
        <v>2269.6508485876348</v>
      </c>
      <c r="BS56" s="192">
        <f t="shared" si="189"/>
        <v>2292.3473570735105</v>
      </c>
      <c r="BT56" s="192">
        <f t="shared" si="189"/>
        <v>2315.270830644246</v>
      </c>
      <c r="BU56" s="192">
        <f t="shared" si="189"/>
        <v>2338.4235389506885</v>
      </c>
      <c r="BV56" s="192">
        <f t="shared" si="189"/>
        <v>2361.807774340195</v>
      </c>
      <c r="BW56" s="192">
        <f t="shared" si="189"/>
        <v>2385.4258520835965</v>
      </c>
      <c r="BX56" s="192">
        <f t="shared" si="189"/>
        <v>2409.2801106044326</v>
      </c>
      <c r="BY56" s="192">
        <f t="shared" si="189"/>
        <v>2433.3729117104767</v>
      </c>
      <c r="BZ56" s="192">
        <f t="shared" si="189"/>
        <v>2457.7066408275814</v>
      </c>
      <c r="CA56" s="192">
        <f t="shared" si="189"/>
        <v>2482.2837072358575</v>
      </c>
      <c r="CB56" s="192">
        <f t="shared" si="189"/>
        <v>2507.1065443082161</v>
      </c>
      <c r="CC56" s="192">
        <f t="shared" si="189"/>
        <v>2532.1776097512984</v>
      </c>
      <c r="CD56" s="192">
        <f t="shared" si="189"/>
        <v>2557.4993858488115</v>
      </c>
      <c r="CE56" s="192">
        <f t="shared" si="189"/>
        <v>2583.0743797072992</v>
      </c>
      <c r="CF56" s="192">
        <f t="shared" si="189"/>
        <v>2608.9051235043726</v>
      </c>
      <c r="CG56" s="192">
        <f t="shared" si="189"/>
        <v>2634.9941747394159</v>
      </c>
      <c r="CH56" s="192">
        <f t="shared" si="189"/>
        <v>2661.34411648681</v>
      </c>
      <c r="CI56" s="192">
        <f t="shared" si="189"/>
        <v>2687.9575576516781</v>
      </c>
      <c r="CJ56" s="192">
        <f t="shared" si="189"/>
        <v>2714.8371332281949</v>
      </c>
      <c r="CK56" s="192">
        <f t="shared" si="189"/>
        <v>2741.9855045604772</v>
      </c>
      <c r="CL56" s="192">
        <f t="shared" si="189"/>
        <v>2769.4053596060821</v>
      </c>
      <c r="CM56" s="192">
        <f t="shared" si="189"/>
        <v>2797.0994132021428</v>
      </c>
      <c r="CN56" s="192">
        <f t="shared" si="189"/>
        <v>2825.070407334164</v>
      </c>
      <c r="CO56" s="192">
        <f t="shared" si="189"/>
        <v>2853.3211114075057</v>
      </c>
      <c r="CP56" s="192">
        <f t="shared" si="189"/>
        <v>2881.8543225215808</v>
      </c>
      <c r="CQ56" s="192">
        <f t="shared" si="189"/>
        <v>2910.6728657467966</v>
      </c>
      <c r="CR56" s="192">
        <f t="shared" si="189"/>
        <v>2939.7795944042646</v>
      </c>
      <c r="CS56" s="192">
        <f t="shared" si="189"/>
        <v>2969.1773903483072</v>
      </c>
      <c r="CT56" s="192">
        <f t="shared" si="189"/>
        <v>2998.8691642517906</v>
      </c>
      <c r="CU56" s="192">
        <f t="shared" si="189"/>
        <v>3028.8578558943082</v>
      </c>
      <c r="CV56" s="192">
        <f t="shared" ref="CV56:EA56" si="190">+CV54-CV55</f>
        <v>3059.1464344532515</v>
      </c>
      <c r="CW56" s="192">
        <f t="shared" si="190"/>
        <v>3089.7378987977841</v>
      </c>
      <c r="CX56" s="192">
        <f t="shared" si="190"/>
        <v>3120.6352777857619</v>
      </c>
      <c r="CY56" s="192">
        <f t="shared" si="190"/>
        <v>3151.8416305636197</v>
      </c>
      <c r="CZ56" s="192">
        <f t="shared" si="190"/>
        <v>3183.3600468692557</v>
      </c>
      <c r="DA56" s="192">
        <f t="shared" si="190"/>
        <v>3215.1936473379483</v>
      </c>
      <c r="DB56" s="192">
        <f t="shared" si="190"/>
        <v>3247.3455838113277</v>
      </c>
      <c r="DC56" s="192">
        <f t="shared" si="190"/>
        <v>3279.819039649441</v>
      </c>
      <c r="DD56" s="192">
        <f t="shared" si="190"/>
        <v>3312.6172300459357</v>
      </c>
      <c r="DE56" s="192">
        <f t="shared" si="190"/>
        <v>3345.7434023463948</v>
      </c>
      <c r="DF56" s="192">
        <f t="shared" si="190"/>
        <v>3379.2008363698587</v>
      </c>
      <c r="DG56" s="192">
        <f t="shared" si="190"/>
        <v>3412.9928447335574</v>
      </c>
      <c r="DH56" s="192">
        <f t="shared" si="190"/>
        <v>3447.1227731808931</v>
      </c>
      <c r="DI56" s="192">
        <f t="shared" si="190"/>
        <v>3481.5940009127016</v>
      </c>
      <c r="DJ56" s="192">
        <f t="shared" si="190"/>
        <v>3516.4099409218288</v>
      </c>
      <c r="DK56" s="192">
        <f t="shared" si="190"/>
        <v>3551.5740403310469</v>
      </c>
      <c r="DL56" s="192">
        <f t="shared" si="190"/>
        <v>3587.0897807343576</v>
      </c>
      <c r="DM56" s="192">
        <f t="shared" si="190"/>
        <v>3622.9606785417013</v>
      </c>
      <c r="DN56" s="192">
        <f t="shared" si="190"/>
        <v>3659.1902853271181</v>
      </c>
      <c r="DO56" s="192">
        <f t="shared" si="190"/>
        <v>3695.7821881803893</v>
      </c>
      <c r="DP56" s="192">
        <f t="shared" si="190"/>
        <v>3732.7400100621931</v>
      </c>
      <c r="DQ56" s="192">
        <f t="shared" si="190"/>
        <v>3770.0674101628151</v>
      </c>
      <c r="DR56" s="192">
        <f t="shared" si="190"/>
        <v>3807.7680842644431</v>
      </c>
      <c r="DS56" s="192">
        <f t="shared" si="190"/>
        <v>-2.5784174795262515E-12</v>
      </c>
      <c r="DT56" s="192">
        <f t="shared" si="190"/>
        <v>-2.6042016543215141E-12</v>
      </c>
      <c r="DU56" s="192">
        <f t="shared" si="190"/>
        <v>-2.6302436708647294E-12</v>
      </c>
      <c r="DV56" s="192">
        <f t="shared" si="190"/>
        <v>-2.6565461075733763E-12</v>
      </c>
      <c r="DW56" s="192">
        <f t="shared" si="190"/>
        <v>-2.68311156864911E-12</v>
      </c>
      <c r="DX56" s="192">
        <f t="shared" si="190"/>
        <v>-2.7099426843356012E-12</v>
      </c>
      <c r="DY56" s="192">
        <f t="shared" si="190"/>
        <v>-2.7370421111789572E-12</v>
      </c>
      <c r="DZ56" s="192">
        <f t="shared" si="190"/>
        <v>-2.7644125322907463E-12</v>
      </c>
      <c r="EA56" s="192">
        <f t="shared" si="190"/>
        <v>-2.7920566576136541E-12</v>
      </c>
      <c r="EB56" s="192">
        <f t="shared" ref="EB56:FG56" si="191">+EB54-EB55</f>
        <v>-2.8199772241897906E-12</v>
      </c>
      <c r="EC56" s="192">
        <f t="shared" si="191"/>
        <v>-2.8481769964316886E-12</v>
      </c>
      <c r="ED56" s="192">
        <f t="shared" si="191"/>
        <v>-2.8766587663960054E-12</v>
      </c>
      <c r="EE56" s="192">
        <f t="shared" si="191"/>
        <v>-2.905425354059965E-12</v>
      </c>
      <c r="EF56" s="192">
        <f t="shared" si="191"/>
        <v>-2.9344796076005648E-12</v>
      </c>
      <c r="EG56" s="192">
        <f t="shared" si="191"/>
        <v>-2.9638244036765705E-12</v>
      </c>
      <c r="EH56" s="192">
        <f t="shared" si="191"/>
        <v>-2.9934626477133363E-12</v>
      </c>
      <c r="EI56" s="192">
        <f t="shared" si="191"/>
        <v>-3.0233972741904699E-12</v>
      </c>
      <c r="EJ56" s="192">
        <f t="shared" si="191"/>
        <v>-3.0536312469323745E-12</v>
      </c>
      <c r="EK56" s="192">
        <f t="shared" si="191"/>
        <v>-3.0841675594016985E-12</v>
      </c>
      <c r="EL56" s="192">
        <f t="shared" si="191"/>
        <v>-3.1150092349957156E-12</v>
      </c>
      <c r="EM56" s="192">
        <f t="shared" si="191"/>
        <v>-3.1461593273456726E-12</v>
      </c>
      <c r="EN56" s="192">
        <f t="shared" si="191"/>
        <v>-3.1776209206191292E-12</v>
      </c>
      <c r="EO56" s="192">
        <f t="shared" si="191"/>
        <v>-3.2093971298253205E-12</v>
      </c>
      <c r="EP56" s="192">
        <f t="shared" si="191"/>
        <v>-3.2414911011235738E-12</v>
      </c>
      <c r="EQ56" s="192">
        <f t="shared" si="191"/>
        <v>-3.2739060121348093E-12</v>
      </c>
      <c r="ER56" s="192">
        <f t="shared" si="191"/>
        <v>-3.3066450722561569E-12</v>
      </c>
      <c r="ES56" s="192">
        <f t="shared" si="191"/>
        <v>-3.3397115229787185E-12</v>
      </c>
      <c r="ET56" s="192">
        <f t="shared" si="191"/>
        <v>-3.373108638208506E-12</v>
      </c>
      <c r="EU56" s="192">
        <f t="shared" si="191"/>
        <v>-3.4068397245905907E-12</v>
      </c>
      <c r="EV56" s="192">
        <f t="shared" si="191"/>
        <v>-3.4409081218364969E-12</v>
      </c>
      <c r="EW56" s="192">
        <f t="shared" si="191"/>
        <v>-3.4753172030548618E-12</v>
      </c>
      <c r="EX56" s="192">
        <f t="shared" si="191"/>
        <v>-3.5100703750854105E-12</v>
      </c>
      <c r="EY56" s="192">
        <f t="shared" si="191"/>
        <v>-3.5451710788362651E-12</v>
      </c>
      <c r="EZ56" s="192">
        <f t="shared" si="191"/>
        <v>-3.5806227896246273E-12</v>
      </c>
      <c r="FA56" s="192">
        <f t="shared" si="191"/>
        <v>-3.6164290175208736E-12</v>
      </c>
      <c r="FB56" s="192">
        <f t="shared" si="191"/>
        <v>-3.6525933076960821E-12</v>
      </c>
      <c r="FC56" s="192">
        <f t="shared" si="191"/>
        <v>-3.6891192407730429E-12</v>
      </c>
      <c r="FD56" s="192">
        <f t="shared" si="191"/>
        <v>-3.7260104331807731E-12</v>
      </c>
      <c r="FE56" s="192">
        <f t="shared" si="191"/>
        <v>-3.7632705375125813E-12</v>
      </c>
      <c r="FF56" s="192">
        <f t="shared" si="191"/>
        <v>-3.8009032428877068E-12</v>
      </c>
      <c r="FG56" s="192">
        <f t="shared" si="191"/>
        <v>-3.8389122753165843E-12</v>
      </c>
      <c r="FH56" s="192">
        <f t="shared" ref="FH56:FZ56" si="192">+FH54-FH55</f>
        <v>-3.8773013980697499E-12</v>
      </c>
      <c r="FI56" s="192">
        <f t="shared" si="192"/>
        <v>-3.916074412050448E-12</v>
      </c>
      <c r="FJ56" s="192">
        <f t="shared" si="192"/>
        <v>-3.9552351561709516E-12</v>
      </c>
      <c r="FK56" s="192">
        <f t="shared" si="192"/>
        <v>-3.9947875077326612E-12</v>
      </c>
      <c r="FL56" s="192">
        <f t="shared" si="192"/>
        <v>-4.0347353828099885E-12</v>
      </c>
      <c r="FM56" s="192">
        <f t="shared" si="192"/>
        <v>-4.0750827366380875E-12</v>
      </c>
      <c r="FN56" s="192">
        <f t="shared" si="192"/>
        <v>-4.1158335640044689E-12</v>
      </c>
      <c r="FO56" s="192">
        <f t="shared" si="192"/>
        <v>-4.156991899644513E-12</v>
      </c>
      <c r="FP56" s="192">
        <f t="shared" si="192"/>
        <v>-4.1985618186409586E-12</v>
      </c>
      <c r="FQ56" s="192">
        <f t="shared" si="192"/>
        <v>-4.2405474368273683E-12</v>
      </c>
      <c r="FR56" s="192">
        <f t="shared" si="192"/>
        <v>-4.2829529111956421E-12</v>
      </c>
      <c r="FS56" s="192">
        <f t="shared" si="192"/>
        <v>-4.325782440307598E-12</v>
      </c>
      <c r="FT56" s="192">
        <f t="shared" si="192"/>
        <v>-4.369040264710674E-12</v>
      </c>
      <c r="FU56" s="192">
        <f t="shared" si="192"/>
        <v>-4.4127306673577812E-12</v>
      </c>
      <c r="FV56" s="192">
        <f t="shared" si="192"/>
        <v>-4.4568579740313591E-12</v>
      </c>
      <c r="FW56" s="192">
        <f t="shared" si="192"/>
        <v>-4.5014265537716731E-12</v>
      </c>
      <c r="FX56" s="192">
        <f t="shared" si="192"/>
        <v>-4.5464408193093894E-12</v>
      </c>
      <c r="FY56" s="192">
        <f t="shared" si="192"/>
        <v>-4.5919052275024831E-12</v>
      </c>
      <c r="FZ56" s="192">
        <f t="shared" si="192"/>
        <v>-4.6378242797775082E-12</v>
      </c>
    </row>
    <row r="58" spans="1:182" x14ac:dyDescent="0.2">
      <c r="F58" s="24" t="s">
        <v>183</v>
      </c>
    </row>
    <row r="59" spans="1:182" x14ac:dyDescent="0.2">
      <c r="A59" s="145" t="s">
        <v>438</v>
      </c>
    </row>
    <row r="60" spans="1:182" outlineLevel="1" x14ac:dyDescent="0.2">
      <c r="A60" s="24" t="s">
        <v>228</v>
      </c>
      <c r="B60" s="166">
        <f>+Inv.Rep.!G58</f>
        <v>226575.66064639998</v>
      </c>
    </row>
    <row r="61" spans="1:182" outlineLevel="1" x14ac:dyDescent="0.2">
      <c r="A61" s="24" t="s">
        <v>229</v>
      </c>
      <c r="B61" s="191">
        <f>+Condiciones!$B$20</f>
        <v>0.12</v>
      </c>
    </row>
    <row r="62" spans="1:182" outlineLevel="1" x14ac:dyDescent="0.2">
      <c r="A62" s="24" t="s">
        <v>230</v>
      </c>
      <c r="B62" s="139">
        <v>72</v>
      </c>
    </row>
    <row r="63" spans="1:182" outlineLevel="1" x14ac:dyDescent="0.2">
      <c r="A63" s="24" t="s">
        <v>231</v>
      </c>
      <c r="B63" s="192">
        <f>PMT(B61/12,B62,-B60)</f>
        <v>4429.5977820633316</v>
      </c>
    </row>
    <row r="64" spans="1:182" outlineLevel="1" x14ac:dyDescent="0.2">
      <c r="A64" s="24" t="s">
        <v>356</v>
      </c>
      <c r="B64" s="139">
        <v>48</v>
      </c>
      <c r="D64" s="24" t="s">
        <v>183</v>
      </c>
    </row>
    <row r="65" spans="1:182" outlineLevel="1" x14ac:dyDescent="0.2"/>
    <row r="66" spans="1:182" outlineLevel="1" x14ac:dyDescent="0.2">
      <c r="A66" s="24" t="s">
        <v>232</v>
      </c>
      <c r="B66" s="166">
        <f>+B60</f>
        <v>226575.66064639998</v>
      </c>
      <c r="C66" s="192">
        <v>0</v>
      </c>
      <c r="D66" s="192">
        <f>+IF(C66&gt;0,C66-D69,IF(D4&lt;$B$64,0,$B$66-D69))</f>
        <v>0</v>
      </c>
      <c r="E66" s="192">
        <f t="shared" ref="E66:BP66" si="193">+IF(D66&gt;0,D66-E69,IF(E4&lt;$B$64,0,$B$66-E69))</f>
        <v>0</v>
      </c>
      <c r="F66" s="192">
        <f t="shared" si="193"/>
        <v>0</v>
      </c>
      <c r="G66" s="192">
        <f t="shared" si="193"/>
        <v>0</v>
      </c>
      <c r="H66" s="192">
        <f t="shared" si="193"/>
        <v>0</v>
      </c>
      <c r="I66" s="192">
        <f t="shared" si="193"/>
        <v>0</v>
      </c>
      <c r="J66" s="192">
        <f t="shared" si="193"/>
        <v>0</v>
      </c>
      <c r="K66" s="192">
        <f t="shared" si="193"/>
        <v>0</v>
      </c>
      <c r="L66" s="192">
        <f t="shared" si="193"/>
        <v>0</v>
      </c>
      <c r="M66" s="192">
        <f t="shared" si="193"/>
        <v>0</v>
      </c>
      <c r="N66" s="192">
        <f t="shared" si="193"/>
        <v>0</v>
      </c>
      <c r="O66" s="192">
        <f t="shared" si="193"/>
        <v>0</v>
      </c>
      <c r="P66" s="192">
        <f t="shared" si="193"/>
        <v>0</v>
      </c>
      <c r="Q66" s="192">
        <f t="shared" si="193"/>
        <v>0</v>
      </c>
      <c r="R66" s="192">
        <f t="shared" si="193"/>
        <v>0</v>
      </c>
      <c r="S66" s="192">
        <f t="shared" si="193"/>
        <v>0</v>
      </c>
      <c r="T66" s="192">
        <f t="shared" si="193"/>
        <v>0</v>
      </c>
      <c r="U66" s="192">
        <f t="shared" si="193"/>
        <v>0</v>
      </c>
      <c r="V66" s="192">
        <f t="shared" si="193"/>
        <v>0</v>
      </c>
      <c r="W66" s="192">
        <f t="shared" si="193"/>
        <v>0</v>
      </c>
      <c r="X66" s="192">
        <f t="shared" si="193"/>
        <v>0</v>
      </c>
      <c r="Y66" s="192">
        <f t="shared" si="193"/>
        <v>0</v>
      </c>
      <c r="Z66" s="192">
        <f t="shared" si="193"/>
        <v>0</v>
      </c>
      <c r="AA66" s="192">
        <f t="shared" si="193"/>
        <v>0</v>
      </c>
      <c r="AB66" s="192">
        <f t="shared" si="193"/>
        <v>0</v>
      </c>
      <c r="AC66" s="192">
        <f t="shared" si="193"/>
        <v>0</v>
      </c>
      <c r="AD66" s="192">
        <f t="shared" si="193"/>
        <v>0</v>
      </c>
      <c r="AE66" s="192">
        <f t="shared" si="193"/>
        <v>0</v>
      </c>
      <c r="AF66" s="192">
        <f t="shared" si="193"/>
        <v>0</v>
      </c>
      <c r="AG66" s="192">
        <f t="shared" si="193"/>
        <v>0</v>
      </c>
      <c r="AH66" s="192">
        <f t="shared" si="193"/>
        <v>0</v>
      </c>
      <c r="AI66" s="192">
        <f t="shared" si="193"/>
        <v>0</v>
      </c>
      <c r="AJ66" s="192">
        <f t="shared" si="193"/>
        <v>0</v>
      </c>
      <c r="AK66" s="192">
        <f t="shared" si="193"/>
        <v>0</v>
      </c>
      <c r="AL66" s="192">
        <f t="shared" si="193"/>
        <v>0</v>
      </c>
      <c r="AM66" s="192">
        <f t="shared" si="193"/>
        <v>0</v>
      </c>
      <c r="AN66" s="192">
        <f t="shared" si="193"/>
        <v>0</v>
      </c>
      <c r="AO66" s="192">
        <f t="shared" si="193"/>
        <v>0</v>
      </c>
      <c r="AP66" s="192">
        <f t="shared" si="193"/>
        <v>0</v>
      </c>
      <c r="AQ66" s="192">
        <f t="shared" si="193"/>
        <v>0</v>
      </c>
      <c r="AR66" s="192">
        <f t="shared" si="193"/>
        <v>0</v>
      </c>
      <c r="AS66" s="192">
        <f t="shared" si="193"/>
        <v>0</v>
      </c>
      <c r="AT66" s="192">
        <f t="shared" si="193"/>
        <v>0</v>
      </c>
      <c r="AU66" s="192">
        <f t="shared" si="193"/>
        <v>0</v>
      </c>
      <c r="AV66" s="192">
        <f t="shared" si="193"/>
        <v>0</v>
      </c>
      <c r="AW66" s="192">
        <f t="shared" si="193"/>
        <v>0</v>
      </c>
      <c r="AX66" s="192">
        <f t="shared" si="193"/>
        <v>226575.66064639998</v>
      </c>
      <c r="AY66" s="192">
        <f t="shared" si="193"/>
        <v>224411.81947080063</v>
      </c>
      <c r="AZ66" s="192">
        <f t="shared" si="193"/>
        <v>222226.3398834453</v>
      </c>
      <c r="BA66" s="192">
        <f t="shared" si="193"/>
        <v>220019.00550021642</v>
      </c>
      <c r="BB66" s="192">
        <f t="shared" si="193"/>
        <v>217789.59777315526</v>
      </c>
      <c r="BC66" s="192">
        <f t="shared" si="193"/>
        <v>215537.89596882349</v>
      </c>
      <c r="BD66" s="192">
        <f t="shared" si="193"/>
        <v>213263.6771464484</v>
      </c>
      <c r="BE66" s="192">
        <f t="shared" si="193"/>
        <v>210966.71613584957</v>
      </c>
      <c r="BF66" s="192">
        <f t="shared" si="193"/>
        <v>208646.78551514473</v>
      </c>
      <c r="BG66" s="192">
        <f t="shared" si="193"/>
        <v>206303.65558823285</v>
      </c>
      <c r="BH66" s="192">
        <f t="shared" si="193"/>
        <v>203937.09436205184</v>
      </c>
      <c r="BI66" s="192">
        <f t="shared" si="193"/>
        <v>201546.86752360902</v>
      </c>
      <c r="BJ66" s="192">
        <f t="shared" si="193"/>
        <v>199132.73841678177</v>
      </c>
      <c r="BK66" s="192">
        <f t="shared" si="193"/>
        <v>196694.46801888625</v>
      </c>
      <c r="BL66" s="192">
        <f t="shared" si="193"/>
        <v>194231.8149170118</v>
      </c>
      <c r="BM66" s="192">
        <f t="shared" si="193"/>
        <v>191744.53528411858</v>
      </c>
      <c r="BN66" s="192">
        <f t="shared" si="193"/>
        <v>189232.38285489642</v>
      </c>
      <c r="BO66" s="192">
        <f t="shared" si="193"/>
        <v>186695.10890138205</v>
      </c>
      <c r="BP66" s="192">
        <f t="shared" si="193"/>
        <v>184132.46220833252</v>
      </c>
      <c r="BQ66" s="192">
        <f t="shared" ref="BQ66:EB66" si="194">+IF(BP66&gt;0,BP66-BQ69,IF(BQ4&lt;$B$64,0,$B$66-BQ69))</f>
        <v>181544.18904835251</v>
      </c>
      <c r="BR66" s="192">
        <f t="shared" si="194"/>
        <v>178930.0331567727</v>
      </c>
      <c r="BS66" s="192">
        <f t="shared" si="194"/>
        <v>176289.7357062771</v>
      </c>
      <c r="BT66" s="192">
        <f t="shared" si="194"/>
        <v>173623.03528127653</v>
      </c>
      <c r="BU66" s="192">
        <f t="shared" si="194"/>
        <v>170929.66785202597</v>
      </c>
      <c r="BV66" s="192">
        <f t="shared" si="194"/>
        <v>168209.36674848289</v>
      </c>
      <c r="BW66" s="192">
        <f t="shared" si="194"/>
        <v>165461.86263390438</v>
      </c>
      <c r="BX66" s="192">
        <f t="shared" si="194"/>
        <v>162686.8834781801</v>
      </c>
      <c r="BY66" s="192">
        <f t="shared" si="194"/>
        <v>159884.15453089858</v>
      </c>
      <c r="BZ66" s="192">
        <f t="shared" si="194"/>
        <v>157053.39829414422</v>
      </c>
      <c r="CA66" s="192">
        <f t="shared" si="194"/>
        <v>154194.33449502234</v>
      </c>
      <c r="CB66" s="192">
        <f t="shared" si="194"/>
        <v>151306.68005790922</v>
      </c>
      <c r="CC66" s="192">
        <f t="shared" si="194"/>
        <v>148390.14907642498</v>
      </c>
      <c r="CD66" s="192">
        <f t="shared" si="194"/>
        <v>145444.4527851259</v>
      </c>
      <c r="CE66" s="192">
        <f t="shared" si="194"/>
        <v>142469.29953091382</v>
      </c>
      <c r="CF66" s="192">
        <f t="shared" si="194"/>
        <v>139464.39474415962</v>
      </c>
      <c r="CG66" s="192">
        <f t="shared" si="194"/>
        <v>136429.44090953789</v>
      </c>
      <c r="CH66" s="192">
        <f t="shared" si="194"/>
        <v>133364.13753656994</v>
      </c>
      <c r="CI66" s="192">
        <f t="shared" si="194"/>
        <v>130268.1811298723</v>
      </c>
      <c r="CJ66" s="192">
        <f t="shared" si="194"/>
        <v>127141.2651591077</v>
      </c>
      <c r="CK66" s="192">
        <f t="shared" si="194"/>
        <v>123983.08002863545</v>
      </c>
      <c r="CL66" s="192">
        <f t="shared" si="194"/>
        <v>120793.31304685847</v>
      </c>
      <c r="CM66" s="192">
        <f t="shared" si="194"/>
        <v>117571.64839526372</v>
      </c>
      <c r="CN66" s="192">
        <f t="shared" si="194"/>
        <v>114317.76709715303</v>
      </c>
      <c r="CO66" s="192">
        <f t="shared" si="194"/>
        <v>111031.34698606122</v>
      </c>
      <c r="CP66" s="192">
        <f t="shared" si="194"/>
        <v>107712.0626738585</v>
      </c>
      <c r="CQ66" s="192">
        <f t="shared" si="194"/>
        <v>104359.58551853376</v>
      </c>
      <c r="CR66" s="192">
        <f t="shared" si="194"/>
        <v>100973.58359165577</v>
      </c>
      <c r="CS66" s="192">
        <f t="shared" si="194"/>
        <v>97553.721645508995</v>
      </c>
      <c r="CT66" s="192">
        <f t="shared" si="194"/>
        <v>94099.661079900747</v>
      </c>
      <c r="CU66" s="192">
        <f t="shared" si="194"/>
        <v>90611.059908636424</v>
      </c>
      <c r="CV66" s="192">
        <f t="shared" si="194"/>
        <v>87087.572725659455</v>
      </c>
      <c r="CW66" s="192">
        <f t="shared" si="194"/>
        <v>83528.850670852713</v>
      </c>
      <c r="CX66" s="192">
        <f t="shared" si="194"/>
        <v>79934.541395497916</v>
      </c>
      <c r="CY66" s="192">
        <f t="shared" si="194"/>
        <v>76304.289027389561</v>
      </c>
      <c r="CZ66" s="192">
        <f t="shared" si="194"/>
        <v>72637.734135600127</v>
      </c>
      <c r="DA66" s="192">
        <f t="shared" si="194"/>
        <v>68934.513694892798</v>
      </c>
      <c r="DB66" s="192">
        <f t="shared" si="194"/>
        <v>65194.261049778397</v>
      </c>
      <c r="DC66" s="192">
        <f t="shared" si="194"/>
        <v>61416.605878212853</v>
      </c>
      <c r="DD66" s="192">
        <f t="shared" si="194"/>
        <v>57601.17415493165</v>
      </c>
      <c r="DE66" s="192">
        <f t="shared" si="194"/>
        <v>53747.588114417638</v>
      </c>
      <c r="DF66" s="192">
        <f t="shared" si="194"/>
        <v>49855.466213498483</v>
      </c>
      <c r="DG66" s="192">
        <f t="shared" si="194"/>
        <v>45924.423093570134</v>
      </c>
      <c r="DH66" s="192">
        <f t="shared" si="194"/>
        <v>41954.069542442507</v>
      </c>
      <c r="DI66" s="192">
        <f t="shared" si="194"/>
        <v>37944.012455803597</v>
      </c>
      <c r="DJ66" s="192">
        <f t="shared" si="194"/>
        <v>33893.8547982983</v>
      </c>
      <c r="DK66" s="192">
        <f t="shared" si="194"/>
        <v>29803.195564217953</v>
      </c>
      <c r="DL66" s="192">
        <f t="shared" si="194"/>
        <v>25671.6297377968</v>
      </c>
      <c r="DM66" s="192">
        <f t="shared" si="194"/>
        <v>21498.748253111436</v>
      </c>
      <c r="DN66" s="192">
        <f t="shared" si="194"/>
        <v>17284.137953579218</v>
      </c>
      <c r="DO66" s="192">
        <f t="shared" si="194"/>
        <v>13027.38155105168</v>
      </c>
      <c r="DP66" s="192">
        <f t="shared" si="194"/>
        <v>8728.0575844988653</v>
      </c>
      <c r="DQ66" s="192">
        <f t="shared" si="194"/>
        <v>4385.7403782805222</v>
      </c>
      <c r="DR66" s="192">
        <f t="shared" si="194"/>
        <v>-4.5474735088646412E-12</v>
      </c>
      <c r="DS66" s="192">
        <f t="shared" si="194"/>
        <v>226575.66064639998</v>
      </c>
      <c r="DT66" s="192">
        <f t="shared" si="194"/>
        <v>228841.41725286399</v>
      </c>
      <c r="DU66" s="192">
        <f t="shared" si="194"/>
        <v>231129.83142539262</v>
      </c>
      <c r="DV66" s="192">
        <f t="shared" si="194"/>
        <v>233441.12973964654</v>
      </c>
      <c r="DW66" s="192">
        <f t="shared" si="194"/>
        <v>235775.541037043</v>
      </c>
      <c r="DX66" s="192">
        <f t="shared" si="194"/>
        <v>238133.29644741342</v>
      </c>
      <c r="DY66" s="192">
        <f t="shared" si="194"/>
        <v>240514.62941188755</v>
      </c>
      <c r="DZ66" s="192">
        <f t="shared" si="194"/>
        <v>242919.77570600642</v>
      </c>
      <c r="EA66" s="192">
        <f t="shared" si="194"/>
        <v>245348.97346306648</v>
      </c>
      <c r="EB66" s="192">
        <f t="shared" si="194"/>
        <v>247802.46319769713</v>
      </c>
      <c r="EC66" s="192">
        <f t="shared" ref="EC66:FZ66" si="195">+IF(EB66&gt;0,EB66-EC69,IF(EC4&lt;$B$64,0,$B$66-EC69))</f>
        <v>250280.48782967409</v>
      </c>
      <c r="ED66" s="192">
        <f t="shared" si="195"/>
        <v>252783.29270797083</v>
      </c>
      <c r="EE66" s="192">
        <f t="shared" si="195"/>
        <v>255311.12563505053</v>
      </c>
      <c r="EF66" s="192">
        <f t="shared" si="195"/>
        <v>257864.23689140103</v>
      </c>
      <c r="EG66" s="192">
        <f t="shared" si="195"/>
        <v>260442.87926031504</v>
      </c>
      <c r="EH66" s="192">
        <f t="shared" si="195"/>
        <v>263047.30805291818</v>
      </c>
      <c r="EI66" s="192">
        <f t="shared" si="195"/>
        <v>265677.78113344737</v>
      </c>
      <c r="EJ66" s="192">
        <f t="shared" si="195"/>
        <v>268334.55894478183</v>
      </c>
      <c r="EK66" s="192">
        <f t="shared" si="195"/>
        <v>271017.90453422966</v>
      </c>
      <c r="EL66" s="192">
        <f t="shared" si="195"/>
        <v>273728.08357957198</v>
      </c>
      <c r="EM66" s="192">
        <f t="shared" si="195"/>
        <v>276465.36441536772</v>
      </c>
      <c r="EN66" s="192">
        <f t="shared" si="195"/>
        <v>279230.01805952139</v>
      </c>
      <c r="EO66" s="192">
        <f t="shared" si="195"/>
        <v>282022.31824011658</v>
      </c>
      <c r="EP66" s="192">
        <f t="shared" si="195"/>
        <v>284842.54142251774</v>
      </c>
      <c r="EQ66" s="192">
        <f t="shared" si="195"/>
        <v>287690.96683674294</v>
      </c>
      <c r="ER66" s="192">
        <f t="shared" si="195"/>
        <v>290567.87650511035</v>
      </c>
      <c r="ES66" s="192">
        <f t="shared" si="195"/>
        <v>293473.55527016148</v>
      </c>
      <c r="ET66" s="192">
        <f t="shared" si="195"/>
        <v>296408.29082286311</v>
      </c>
      <c r="EU66" s="192">
        <f t="shared" si="195"/>
        <v>299372.37373109173</v>
      </c>
      <c r="EV66" s="192">
        <f t="shared" si="195"/>
        <v>302366.09746840264</v>
      </c>
      <c r="EW66" s="192">
        <f t="shared" si="195"/>
        <v>305389.7584430867</v>
      </c>
      <c r="EX66" s="192">
        <f t="shared" si="195"/>
        <v>308443.65602751757</v>
      </c>
      <c r="EY66" s="192">
        <f t="shared" si="195"/>
        <v>311528.09258779272</v>
      </c>
      <c r="EZ66" s="192">
        <f t="shared" si="195"/>
        <v>314643.37351367064</v>
      </c>
      <c r="FA66" s="192">
        <f t="shared" si="195"/>
        <v>317789.80724880734</v>
      </c>
      <c r="FB66" s="192">
        <f t="shared" si="195"/>
        <v>320967.70532129542</v>
      </c>
      <c r="FC66" s="192">
        <f t="shared" si="195"/>
        <v>324177.38237450836</v>
      </c>
      <c r="FD66" s="192">
        <f t="shared" si="195"/>
        <v>327419.15619825345</v>
      </c>
      <c r="FE66" s="192">
        <f t="shared" si="195"/>
        <v>330693.34776023601</v>
      </c>
      <c r="FF66" s="192">
        <f t="shared" si="195"/>
        <v>334000.28123783838</v>
      </c>
      <c r="FG66" s="192">
        <f t="shared" si="195"/>
        <v>337340.28405021678</v>
      </c>
      <c r="FH66" s="192">
        <f t="shared" si="195"/>
        <v>340713.68689071893</v>
      </c>
      <c r="FI66" s="192">
        <f t="shared" si="195"/>
        <v>344120.82375962613</v>
      </c>
      <c r="FJ66" s="192">
        <f t="shared" si="195"/>
        <v>347562.0319972224</v>
      </c>
      <c r="FK66" s="192">
        <f t="shared" si="195"/>
        <v>351037.65231719462</v>
      </c>
      <c r="FL66" s="192">
        <f t="shared" si="195"/>
        <v>354548.02884036658</v>
      </c>
      <c r="FM66" s="192">
        <f t="shared" si="195"/>
        <v>358093.50912877027</v>
      </c>
      <c r="FN66" s="192">
        <f t="shared" si="195"/>
        <v>361674.44422005798</v>
      </c>
      <c r="FO66" s="192">
        <f t="shared" si="195"/>
        <v>365291.18866225856</v>
      </c>
      <c r="FP66" s="192">
        <f t="shared" si="195"/>
        <v>368944.10054888116</v>
      </c>
      <c r="FQ66" s="192">
        <f t="shared" si="195"/>
        <v>372633.54155436996</v>
      </c>
      <c r="FR66" s="192">
        <f t="shared" si="195"/>
        <v>376359.87696991366</v>
      </c>
      <c r="FS66" s="192">
        <f t="shared" si="195"/>
        <v>380123.47573961283</v>
      </c>
      <c r="FT66" s="192">
        <f t="shared" si="195"/>
        <v>383924.71049700893</v>
      </c>
      <c r="FU66" s="192">
        <f t="shared" si="195"/>
        <v>387763.95760197903</v>
      </c>
      <c r="FV66" s="192">
        <f t="shared" si="195"/>
        <v>391641.5971779988</v>
      </c>
      <c r="FW66" s="192">
        <f t="shared" si="195"/>
        <v>395558.01314977877</v>
      </c>
      <c r="FX66" s="192">
        <f t="shared" si="195"/>
        <v>399513.59328127658</v>
      </c>
      <c r="FY66" s="192">
        <f t="shared" si="195"/>
        <v>403508.72921408934</v>
      </c>
      <c r="FZ66" s="192">
        <f t="shared" si="195"/>
        <v>407543.81650623021</v>
      </c>
    </row>
    <row r="67" spans="1:182" outlineLevel="1" x14ac:dyDescent="0.2">
      <c r="A67" s="24" t="s">
        <v>231</v>
      </c>
      <c r="B67" s="192">
        <f>SUM(C67:EP67)</f>
        <v>318931.04030856001</v>
      </c>
      <c r="C67" s="192">
        <v>0</v>
      </c>
      <c r="D67" s="192">
        <f>+IF(C66=0,0,IF(D4&gt;$B$62+$B$64,0,$B$63))</f>
        <v>0</v>
      </c>
      <c r="E67" s="192">
        <f t="shared" ref="E67:BP67" si="196">+IF(D66=0,0,IF(E4&gt;$B$62+$B$64,0,$B$63))</f>
        <v>0</v>
      </c>
      <c r="F67" s="192">
        <f t="shared" si="196"/>
        <v>0</v>
      </c>
      <c r="G67" s="192">
        <f t="shared" si="196"/>
        <v>0</v>
      </c>
      <c r="H67" s="192">
        <f t="shared" si="196"/>
        <v>0</v>
      </c>
      <c r="I67" s="192">
        <f t="shared" si="196"/>
        <v>0</v>
      </c>
      <c r="J67" s="192">
        <f t="shared" si="196"/>
        <v>0</v>
      </c>
      <c r="K67" s="192">
        <f t="shared" si="196"/>
        <v>0</v>
      </c>
      <c r="L67" s="192">
        <f t="shared" si="196"/>
        <v>0</v>
      </c>
      <c r="M67" s="192">
        <f t="shared" si="196"/>
        <v>0</v>
      </c>
      <c r="N67" s="192">
        <f t="shared" si="196"/>
        <v>0</v>
      </c>
      <c r="O67" s="192">
        <f t="shared" si="196"/>
        <v>0</v>
      </c>
      <c r="P67" s="192">
        <f t="shared" si="196"/>
        <v>0</v>
      </c>
      <c r="Q67" s="192">
        <f t="shared" si="196"/>
        <v>0</v>
      </c>
      <c r="R67" s="192">
        <f t="shared" si="196"/>
        <v>0</v>
      </c>
      <c r="S67" s="192">
        <f t="shared" si="196"/>
        <v>0</v>
      </c>
      <c r="T67" s="192">
        <f t="shared" si="196"/>
        <v>0</v>
      </c>
      <c r="U67" s="192">
        <f t="shared" si="196"/>
        <v>0</v>
      </c>
      <c r="V67" s="192">
        <f t="shared" si="196"/>
        <v>0</v>
      </c>
      <c r="W67" s="192">
        <f t="shared" si="196"/>
        <v>0</v>
      </c>
      <c r="X67" s="192">
        <f t="shared" si="196"/>
        <v>0</v>
      </c>
      <c r="Y67" s="192">
        <f t="shared" si="196"/>
        <v>0</v>
      </c>
      <c r="Z67" s="192">
        <f t="shared" si="196"/>
        <v>0</v>
      </c>
      <c r="AA67" s="192">
        <f t="shared" si="196"/>
        <v>0</v>
      </c>
      <c r="AB67" s="192">
        <f t="shared" si="196"/>
        <v>0</v>
      </c>
      <c r="AC67" s="192">
        <f t="shared" si="196"/>
        <v>0</v>
      </c>
      <c r="AD67" s="192">
        <f t="shared" si="196"/>
        <v>0</v>
      </c>
      <c r="AE67" s="192">
        <f t="shared" si="196"/>
        <v>0</v>
      </c>
      <c r="AF67" s="192">
        <f t="shared" si="196"/>
        <v>0</v>
      </c>
      <c r="AG67" s="192">
        <f t="shared" si="196"/>
        <v>0</v>
      </c>
      <c r="AH67" s="192">
        <f t="shared" si="196"/>
        <v>0</v>
      </c>
      <c r="AI67" s="192">
        <f t="shared" si="196"/>
        <v>0</v>
      </c>
      <c r="AJ67" s="192">
        <f t="shared" si="196"/>
        <v>0</v>
      </c>
      <c r="AK67" s="192">
        <f t="shared" si="196"/>
        <v>0</v>
      </c>
      <c r="AL67" s="192">
        <f t="shared" si="196"/>
        <v>0</v>
      </c>
      <c r="AM67" s="192">
        <f t="shared" si="196"/>
        <v>0</v>
      </c>
      <c r="AN67" s="192">
        <f t="shared" si="196"/>
        <v>0</v>
      </c>
      <c r="AO67" s="192">
        <f t="shared" si="196"/>
        <v>0</v>
      </c>
      <c r="AP67" s="192">
        <f t="shared" si="196"/>
        <v>0</v>
      </c>
      <c r="AQ67" s="192">
        <f t="shared" si="196"/>
        <v>0</v>
      </c>
      <c r="AR67" s="192">
        <f t="shared" si="196"/>
        <v>0</v>
      </c>
      <c r="AS67" s="192">
        <f t="shared" si="196"/>
        <v>0</v>
      </c>
      <c r="AT67" s="192">
        <f t="shared" si="196"/>
        <v>0</v>
      </c>
      <c r="AU67" s="192">
        <f t="shared" si="196"/>
        <v>0</v>
      </c>
      <c r="AV67" s="192">
        <f t="shared" si="196"/>
        <v>0</v>
      </c>
      <c r="AW67" s="192">
        <f t="shared" si="196"/>
        <v>0</v>
      </c>
      <c r="AX67" s="192">
        <f t="shared" si="196"/>
        <v>0</v>
      </c>
      <c r="AY67" s="192">
        <f t="shared" si="196"/>
        <v>4429.5977820633316</v>
      </c>
      <c r="AZ67" s="192">
        <f t="shared" si="196"/>
        <v>4429.5977820633316</v>
      </c>
      <c r="BA67" s="192">
        <f t="shared" si="196"/>
        <v>4429.5977820633316</v>
      </c>
      <c r="BB67" s="192">
        <f t="shared" si="196"/>
        <v>4429.5977820633316</v>
      </c>
      <c r="BC67" s="192">
        <f t="shared" si="196"/>
        <v>4429.5977820633316</v>
      </c>
      <c r="BD67" s="192">
        <f t="shared" si="196"/>
        <v>4429.5977820633316</v>
      </c>
      <c r="BE67" s="192">
        <f t="shared" si="196"/>
        <v>4429.5977820633316</v>
      </c>
      <c r="BF67" s="192">
        <f t="shared" si="196"/>
        <v>4429.5977820633316</v>
      </c>
      <c r="BG67" s="192">
        <f t="shared" si="196"/>
        <v>4429.5977820633316</v>
      </c>
      <c r="BH67" s="192">
        <f t="shared" si="196"/>
        <v>4429.5977820633316</v>
      </c>
      <c r="BI67" s="192">
        <f t="shared" si="196"/>
        <v>4429.5977820633316</v>
      </c>
      <c r="BJ67" s="192">
        <f t="shared" si="196"/>
        <v>4429.5977820633316</v>
      </c>
      <c r="BK67" s="192">
        <f t="shared" si="196"/>
        <v>4429.5977820633316</v>
      </c>
      <c r="BL67" s="192">
        <f t="shared" si="196"/>
        <v>4429.5977820633316</v>
      </c>
      <c r="BM67" s="192">
        <f t="shared" si="196"/>
        <v>4429.5977820633316</v>
      </c>
      <c r="BN67" s="192">
        <f t="shared" si="196"/>
        <v>4429.5977820633316</v>
      </c>
      <c r="BO67" s="192">
        <f t="shared" si="196"/>
        <v>4429.5977820633316</v>
      </c>
      <c r="BP67" s="192">
        <f t="shared" si="196"/>
        <v>4429.5977820633316</v>
      </c>
      <c r="BQ67" s="192">
        <f t="shared" ref="BQ67:EB67" si="197">+IF(BP66=0,0,IF(BQ4&gt;$B$62+$B$64,0,$B$63))</f>
        <v>4429.5977820633316</v>
      </c>
      <c r="BR67" s="192">
        <f t="shared" si="197"/>
        <v>4429.5977820633316</v>
      </c>
      <c r="BS67" s="192">
        <f t="shared" si="197"/>
        <v>4429.5977820633316</v>
      </c>
      <c r="BT67" s="192">
        <f t="shared" si="197"/>
        <v>4429.5977820633316</v>
      </c>
      <c r="BU67" s="192">
        <f t="shared" si="197"/>
        <v>4429.5977820633316</v>
      </c>
      <c r="BV67" s="192">
        <f t="shared" si="197"/>
        <v>4429.5977820633316</v>
      </c>
      <c r="BW67" s="192">
        <f t="shared" si="197"/>
        <v>4429.5977820633316</v>
      </c>
      <c r="BX67" s="192">
        <f t="shared" si="197"/>
        <v>4429.5977820633316</v>
      </c>
      <c r="BY67" s="192">
        <f t="shared" si="197"/>
        <v>4429.5977820633316</v>
      </c>
      <c r="BZ67" s="192">
        <f t="shared" si="197"/>
        <v>4429.5977820633316</v>
      </c>
      <c r="CA67" s="192">
        <f t="shared" si="197"/>
        <v>4429.5977820633316</v>
      </c>
      <c r="CB67" s="192">
        <f t="shared" si="197"/>
        <v>4429.5977820633316</v>
      </c>
      <c r="CC67" s="192">
        <f t="shared" si="197"/>
        <v>4429.5977820633316</v>
      </c>
      <c r="CD67" s="192">
        <f t="shared" si="197"/>
        <v>4429.5977820633316</v>
      </c>
      <c r="CE67" s="192">
        <f t="shared" si="197"/>
        <v>4429.5977820633316</v>
      </c>
      <c r="CF67" s="192">
        <f t="shared" si="197"/>
        <v>4429.5977820633316</v>
      </c>
      <c r="CG67" s="192">
        <f t="shared" si="197"/>
        <v>4429.5977820633316</v>
      </c>
      <c r="CH67" s="192">
        <f t="shared" si="197"/>
        <v>4429.5977820633316</v>
      </c>
      <c r="CI67" s="192">
        <f t="shared" si="197"/>
        <v>4429.5977820633316</v>
      </c>
      <c r="CJ67" s="192">
        <f t="shared" si="197"/>
        <v>4429.5977820633316</v>
      </c>
      <c r="CK67" s="192">
        <f t="shared" si="197"/>
        <v>4429.5977820633316</v>
      </c>
      <c r="CL67" s="192">
        <f t="shared" si="197"/>
        <v>4429.5977820633316</v>
      </c>
      <c r="CM67" s="192">
        <f t="shared" si="197"/>
        <v>4429.5977820633316</v>
      </c>
      <c r="CN67" s="192">
        <f t="shared" si="197"/>
        <v>4429.5977820633316</v>
      </c>
      <c r="CO67" s="192">
        <f t="shared" si="197"/>
        <v>4429.5977820633316</v>
      </c>
      <c r="CP67" s="192">
        <f t="shared" si="197"/>
        <v>4429.5977820633316</v>
      </c>
      <c r="CQ67" s="192">
        <f t="shared" si="197"/>
        <v>4429.5977820633316</v>
      </c>
      <c r="CR67" s="192">
        <f t="shared" si="197"/>
        <v>4429.5977820633316</v>
      </c>
      <c r="CS67" s="192">
        <f t="shared" si="197"/>
        <v>4429.5977820633316</v>
      </c>
      <c r="CT67" s="192">
        <f t="shared" si="197"/>
        <v>4429.5977820633316</v>
      </c>
      <c r="CU67" s="192">
        <f t="shared" si="197"/>
        <v>4429.5977820633316</v>
      </c>
      <c r="CV67" s="192">
        <f t="shared" si="197"/>
        <v>4429.5977820633316</v>
      </c>
      <c r="CW67" s="192">
        <f t="shared" si="197"/>
        <v>4429.5977820633316</v>
      </c>
      <c r="CX67" s="192">
        <f t="shared" si="197"/>
        <v>4429.5977820633316</v>
      </c>
      <c r="CY67" s="192">
        <f t="shared" si="197"/>
        <v>4429.5977820633316</v>
      </c>
      <c r="CZ67" s="192">
        <f t="shared" si="197"/>
        <v>4429.5977820633316</v>
      </c>
      <c r="DA67" s="192">
        <f t="shared" si="197"/>
        <v>4429.5977820633316</v>
      </c>
      <c r="DB67" s="192">
        <f t="shared" si="197"/>
        <v>4429.5977820633316</v>
      </c>
      <c r="DC67" s="192">
        <f t="shared" si="197"/>
        <v>4429.5977820633316</v>
      </c>
      <c r="DD67" s="192">
        <f t="shared" si="197"/>
        <v>4429.5977820633316</v>
      </c>
      <c r="DE67" s="192">
        <f t="shared" si="197"/>
        <v>4429.5977820633316</v>
      </c>
      <c r="DF67" s="192">
        <f t="shared" si="197"/>
        <v>4429.5977820633316</v>
      </c>
      <c r="DG67" s="192">
        <f t="shared" si="197"/>
        <v>4429.5977820633316</v>
      </c>
      <c r="DH67" s="192">
        <f t="shared" si="197"/>
        <v>4429.5977820633316</v>
      </c>
      <c r="DI67" s="192">
        <f t="shared" si="197"/>
        <v>4429.5977820633316</v>
      </c>
      <c r="DJ67" s="192">
        <f t="shared" si="197"/>
        <v>4429.5977820633316</v>
      </c>
      <c r="DK67" s="192">
        <f t="shared" si="197"/>
        <v>4429.5977820633316</v>
      </c>
      <c r="DL67" s="192">
        <f t="shared" si="197"/>
        <v>4429.5977820633316</v>
      </c>
      <c r="DM67" s="192">
        <f t="shared" si="197"/>
        <v>4429.5977820633316</v>
      </c>
      <c r="DN67" s="192">
        <f t="shared" si="197"/>
        <v>4429.5977820633316</v>
      </c>
      <c r="DO67" s="192">
        <f t="shared" si="197"/>
        <v>4429.5977820633316</v>
      </c>
      <c r="DP67" s="192">
        <f t="shared" si="197"/>
        <v>4429.5977820633316</v>
      </c>
      <c r="DQ67" s="192">
        <f t="shared" si="197"/>
        <v>4429.5977820633316</v>
      </c>
      <c r="DR67" s="192">
        <f t="shared" si="197"/>
        <v>4429.5977820633316</v>
      </c>
      <c r="DS67" s="192">
        <f t="shared" si="197"/>
        <v>0</v>
      </c>
      <c r="DT67" s="192">
        <f t="shared" si="197"/>
        <v>0</v>
      </c>
      <c r="DU67" s="192">
        <f t="shared" si="197"/>
        <v>0</v>
      </c>
      <c r="DV67" s="192">
        <f t="shared" si="197"/>
        <v>0</v>
      </c>
      <c r="DW67" s="192">
        <f t="shared" si="197"/>
        <v>0</v>
      </c>
      <c r="DX67" s="192">
        <f t="shared" si="197"/>
        <v>0</v>
      </c>
      <c r="DY67" s="192">
        <f t="shared" si="197"/>
        <v>0</v>
      </c>
      <c r="DZ67" s="192">
        <f t="shared" si="197"/>
        <v>0</v>
      </c>
      <c r="EA67" s="192">
        <f t="shared" si="197"/>
        <v>0</v>
      </c>
      <c r="EB67" s="192">
        <f t="shared" si="197"/>
        <v>0</v>
      </c>
      <c r="EC67" s="192">
        <f t="shared" ref="EC67:FZ67" si="198">+IF(EB66=0,0,IF(EC4&gt;$B$62+$B$64,0,$B$63))</f>
        <v>0</v>
      </c>
      <c r="ED67" s="192">
        <f t="shared" si="198"/>
        <v>0</v>
      </c>
      <c r="EE67" s="192">
        <f t="shared" si="198"/>
        <v>0</v>
      </c>
      <c r="EF67" s="192">
        <f t="shared" si="198"/>
        <v>0</v>
      </c>
      <c r="EG67" s="192">
        <f t="shared" si="198"/>
        <v>0</v>
      </c>
      <c r="EH67" s="192">
        <f t="shared" si="198"/>
        <v>0</v>
      </c>
      <c r="EI67" s="192">
        <f t="shared" si="198"/>
        <v>0</v>
      </c>
      <c r="EJ67" s="192">
        <f t="shared" si="198"/>
        <v>0</v>
      </c>
      <c r="EK67" s="192">
        <f t="shared" si="198"/>
        <v>0</v>
      </c>
      <c r="EL67" s="192">
        <f t="shared" si="198"/>
        <v>0</v>
      </c>
      <c r="EM67" s="192">
        <f t="shared" si="198"/>
        <v>0</v>
      </c>
      <c r="EN67" s="192">
        <f t="shared" si="198"/>
        <v>0</v>
      </c>
      <c r="EO67" s="192">
        <f t="shared" si="198"/>
        <v>0</v>
      </c>
      <c r="EP67" s="192">
        <f t="shared" si="198"/>
        <v>0</v>
      </c>
      <c r="EQ67" s="192">
        <f t="shared" si="198"/>
        <v>0</v>
      </c>
      <c r="ER67" s="192">
        <f t="shared" si="198"/>
        <v>0</v>
      </c>
      <c r="ES67" s="192">
        <f t="shared" si="198"/>
        <v>0</v>
      </c>
      <c r="ET67" s="192">
        <f t="shared" si="198"/>
        <v>0</v>
      </c>
      <c r="EU67" s="192">
        <f t="shared" si="198"/>
        <v>0</v>
      </c>
      <c r="EV67" s="192">
        <f t="shared" si="198"/>
        <v>0</v>
      </c>
      <c r="EW67" s="192">
        <f t="shared" si="198"/>
        <v>0</v>
      </c>
      <c r="EX67" s="192">
        <f t="shared" si="198"/>
        <v>0</v>
      </c>
      <c r="EY67" s="192">
        <f t="shared" si="198"/>
        <v>0</v>
      </c>
      <c r="EZ67" s="192">
        <f t="shared" si="198"/>
        <v>0</v>
      </c>
      <c r="FA67" s="192">
        <f t="shared" si="198"/>
        <v>0</v>
      </c>
      <c r="FB67" s="192">
        <f t="shared" si="198"/>
        <v>0</v>
      </c>
      <c r="FC67" s="192">
        <f t="shared" si="198"/>
        <v>0</v>
      </c>
      <c r="FD67" s="192">
        <f t="shared" si="198"/>
        <v>0</v>
      </c>
      <c r="FE67" s="192">
        <f t="shared" si="198"/>
        <v>0</v>
      </c>
      <c r="FF67" s="192">
        <f t="shared" si="198"/>
        <v>0</v>
      </c>
      <c r="FG67" s="192">
        <f t="shared" si="198"/>
        <v>0</v>
      </c>
      <c r="FH67" s="192">
        <f t="shared" si="198"/>
        <v>0</v>
      </c>
      <c r="FI67" s="192">
        <f t="shared" si="198"/>
        <v>0</v>
      </c>
      <c r="FJ67" s="192">
        <f t="shared" si="198"/>
        <v>0</v>
      </c>
      <c r="FK67" s="192">
        <f t="shared" si="198"/>
        <v>0</v>
      </c>
      <c r="FL67" s="192">
        <f t="shared" si="198"/>
        <v>0</v>
      </c>
      <c r="FM67" s="192">
        <f t="shared" si="198"/>
        <v>0</v>
      </c>
      <c r="FN67" s="192">
        <f t="shared" si="198"/>
        <v>0</v>
      </c>
      <c r="FO67" s="192">
        <f t="shared" si="198"/>
        <v>0</v>
      </c>
      <c r="FP67" s="192">
        <f t="shared" si="198"/>
        <v>0</v>
      </c>
      <c r="FQ67" s="192">
        <f t="shared" si="198"/>
        <v>0</v>
      </c>
      <c r="FR67" s="192">
        <f t="shared" si="198"/>
        <v>0</v>
      </c>
      <c r="FS67" s="192">
        <f t="shared" si="198"/>
        <v>0</v>
      </c>
      <c r="FT67" s="192">
        <f t="shared" si="198"/>
        <v>0</v>
      </c>
      <c r="FU67" s="192">
        <f t="shared" si="198"/>
        <v>0</v>
      </c>
      <c r="FV67" s="192">
        <f t="shared" si="198"/>
        <v>0</v>
      </c>
      <c r="FW67" s="192">
        <f t="shared" si="198"/>
        <v>0</v>
      </c>
      <c r="FX67" s="192">
        <f t="shared" si="198"/>
        <v>0</v>
      </c>
      <c r="FY67" s="192">
        <f t="shared" si="198"/>
        <v>0</v>
      </c>
      <c r="FZ67" s="192">
        <f t="shared" si="198"/>
        <v>0</v>
      </c>
    </row>
    <row r="68" spans="1:182" outlineLevel="1" x14ac:dyDescent="0.2">
      <c r="A68" s="24" t="s">
        <v>233</v>
      </c>
      <c r="B68" s="192">
        <f>SUM(C68:DR68)</f>
        <v>92355.379662159903</v>
      </c>
      <c r="C68" s="192">
        <v>0</v>
      </c>
      <c r="D68" s="192">
        <f>+C66*($B$61/12)</f>
        <v>0</v>
      </c>
      <c r="E68" s="192">
        <f t="shared" ref="E68:BP68" si="199">+D66*($B$61/12)</f>
        <v>0</v>
      </c>
      <c r="F68" s="192">
        <f t="shared" si="199"/>
        <v>0</v>
      </c>
      <c r="G68" s="192">
        <f t="shared" si="199"/>
        <v>0</v>
      </c>
      <c r="H68" s="192">
        <f t="shared" si="199"/>
        <v>0</v>
      </c>
      <c r="I68" s="192">
        <f t="shared" si="199"/>
        <v>0</v>
      </c>
      <c r="J68" s="192">
        <f t="shared" si="199"/>
        <v>0</v>
      </c>
      <c r="K68" s="192">
        <f t="shared" si="199"/>
        <v>0</v>
      </c>
      <c r="L68" s="192">
        <f t="shared" si="199"/>
        <v>0</v>
      </c>
      <c r="M68" s="192">
        <f t="shared" si="199"/>
        <v>0</v>
      </c>
      <c r="N68" s="192">
        <f t="shared" si="199"/>
        <v>0</v>
      </c>
      <c r="O68" s="192">
        <f t="shared" si="199"/>
        <v>0</v>
      </c>
      <c r="P68" s="192">
        <f t="shared" si="199"/>
        <v>0</v>
      </c>
      <c r="Q68" s="192">
        <f t="shared" si="199"/>
        <v>0</v>
      </c>
      <c r="R68" s="192">
        <f t="shared" si="199"/>
        <v>0</v>
      </c>
      <c r="S68" s="192">
        <f t="shared" si="199"/>
        <v>0</v>
      </c>
      <c r="T68" s="192">
        <f t="shared" si="199"/>
        <v>0</v>
      </c>
      <c r="U68" s="192">
        <f t="shared" si="199"/>
        <v>0</v>
      </c>
      <c r="V68" s="192">
        <f t="shared" si="199"/>
        <v>0</v>
      </c>
      <c r="W68" s="192">
        <f t="shared" si="199"/>
        <v>0</v>
      </c>
      <c r="X68" s="192">
        <f t="shared" si="199"/>
        <v>0</v>
      </c>
      <c r="Y68" s="192">
        <f t="shared" si="199"/>
        <v>0</v>
      </c>
      <c r="Z68" s="192">
        <f t="shared" si="199"/>
        <v>0</v>
      </c>
      <c r="AA68" s="192">
        <f t="shared" si="199"/>
        <v>0</v>
      </c>
      <c r="AB68" s="192">
        <f t="shared" si="199"/>
        <v>0</v>
      </c>
      <c r="AC68" s="192">
        <f t="shared" si="199"/>
        <v>0</v>
      </c>
      <c r="AD68" s="192">
        <f t="shared" si="199"/>
        <v>0</v>
      </c>
      <c r="AE68" s="192">
        <f t="shared" si="199"/>
        <v>0</v>
      </c>
      <c r="AF68" s="192">
        <f t="shared" si="199"/>
        <v>0</v>
      </c>
      <c r="AG68" s="192">
        <f t="shared" si="199"/>
        <v>0</v>
      </c>
      <c r="AH68" s="192">
        <f t="shared" si="199"/>
        <v>0</v>
      </c>
      <c r="AI68" s="192">
        <f t="shared" si="199"/>
        <v>0</v>
      </c>
      <c r="AJ68" s="192">
        <f t="shared" si="199"/>
        <v>0</v>
      </c>
      <c r="AK68" s="192">
        <f t="shared" si="199"/>
        <v>0</v>
      </c>
      <c r="AL68" s="192">
        <f t="shared" si="199"/>
        <v>0</v>
      </c>
      <c r="AM68" s="192">
        <f t="shared" si="199"/>
        <v>0</v>
      </c>
      <c r="AN68" s="192">
        <f t="shared" si="199"/>
        <v>0</v>
      </c>
      <c r="AO68" s="192">
        <f t="shared" si="199"/>
        <v>0</v>
      </c>
      <c r="AP68" s="192">
        <f t="shared" si="199"/>
        <v>0</v>
      </c>
      <c r="AQ68" s="192">
        <f t="shared" si="199"/>
        <v>0</v>
      </c>
      <c r="AR68" s="192">
        <f t="shared" si="199"/>
        <v>0</v>
      </c>
      <c r="AS68" s="192">
        <f t="shared" si="199"/>
        <v>0</v>
      </c>
      <c r="AT68" s="192">
        <f t="shared" si="199"/>
        <v>0</v>
      </c>
      <c r="AU68" s="192">
        <f t="shared" si="199"/>
        <v>0</v>
      </c>
      <c r="AV68" s="192">
        <f t="shared" si="199"/>
        <v>0</v>
      </c>
      <c r="AW68" s="192">
        <f t="shared" si="199"/>
        <v>0</v>
      </c>
      <c r="AX68" s="192">
        <f t="shared" si="199"/>
        <v>0</v>
      </c>
      <c r="AY68" s="192">
        <f t="shared" si="199"/>
        <v>2265.756606464</v>
      </c>
      <c r="AZ68" s="192">
        <f t="shared" si="199"/>
        <v>2244.1181947080063</v>
      </c>
      <c r="BA68" s="192">
        <f t="shared" si="199"/>
        <v>2222.2633988344528</v>
      </c>
      <c r="BB68" s="192">
        <f t="shared" si="199"/>
        <v>2200.1900550021642</v>
      </c>
      <c r="BC68" s="192">
        <f t="shared" si="199"/>
        <v>2177.8959777315526</v>
      </c>
      <c r="BD68" s="192">
        <f t="shared" si="199"/>
        <v>2155.3789596882348</v>
      </c>
      <c r="BE68" s="192">
        <f t="shared" si="199"/>
        <v>2132.6367714644839</v>
      </c>
      <c r="BF68" s="192">
        <f t="shared" si="199"/>
        <v>2109.6671613584958</v>
      </c>
      <c r="BG68" s="192">
        <f t="shared" si="199"/>
        <v>2086.4678551514471</v>
      </c>
      <c r="BH68" s="192">
        <f t="shared" si="199"/>
        <v>2063.0365558823287</v>
      </c>
      <c r="BI68" s="192">
        <f t="shared" si="199"/>
        <v>2039.3709436205183</v>
      </c>
      <c r="BJ68" s="192">
        <f t="shared" si="199"/>
        <v>2015.4686752360903</v>
      </c>
      <c r="BK68" s="192">
        <f t="shared" si="199"/>
        <v>1991.3273841678176</v>
      </c>
      <c r="BL68" s="192">
        <f t="shared" si="199"/>
        <v>1966.9446801888625</v>
      </c>
      <c r="BM68" s="192">
        <f t="shared" si="199"/>
        <v>1942.318149170118</v>
      </c>
      <c r="BN68" s="192">
        <f t="shared" si="199"/>
        <v>1917.4453528411859</v>
      </c>
      <c r="BO68" s="192">
        <f t="shared" si="199"/>
        <v>1892.3238285489642</v>
      </c>
      <c r="BP68" s="192">
        <f t="shared" si="199"/>
        <v>1866.9510890138206</v>
      </c>
      <c r="BQ68" s="192">
        <f t="shared" ref="BQ68:EB68" si="200">+BP66*($B$61/12)</f>
        <v>1841.3246220833253</v>
      </c>
      <c r="BR68" s="192">
        <f t="shared" si="200"/>
        <v>1815.4418904835252</v>
      </c>
      <c r="BS68" s="192">
        <f t="shared" si="200"/>
        <v>1789.300331567727</v>
      </c>
      <c r="BT68" s="192">
        <f t="shared" si="200"/>
        <v>1762.8973570627711</v>
      </c>
      <c r="BU68" s="192">
        <f t="shared" si="200"/>
        <v>1736.2303528127654</v>
      </c>
      <c r="BV68" s="192">
        <f t="shared" si="200"/>
        <v>1709.2966785202598</v>
      </c>
      <c r="BW68" s="192">
        <f t="shared" si="200"/>
        <v>1682.093667484829</v>
      </c>
      <c r="BX68" s="192">
        <f t="shared" si="200"/>
        <v>1654.6186263390439</v>
      </c>
      <c r="BY68" s="192">
        <f t="shared" si="200"/>
        <v>1626.8688347818011</v>
      </c>
      <c r="BZ68" s="192">
        <f t="shared" si="200"/>
        <v>1598.8415453089858</v>
      </c>
      <c r="CA68" s="192">
        <f t="shared" si="200"/>
        <v>1570.5339829414422</v>
      </c>
      <c r="CB68" s="192">
        <f t="shared" si="200"/>
        <v>1541.9433449502235</v>
      </c>
      <c r="CC68" s="192">
        <f t="shared" si="200"/>
        <v>1513.0668005790922</v>
      </c>
      <c r="CD68" s="192">
        <f t="shared" si="200"/>
        <v>1483.9014907642497</v>
      </c>
      <c r="CE68" s="192">
        <f t="shared" si="200"/>
        <v>1454.4445278512592</v>
      </c>
      <c r="CF68" s="192">
        <f t="shared" si="200"/>
        <v>1424.6929953091383</v>
      </c>
      <c r="CG68" s="192">
        <f t="shared" si="200"/>
        <v>1394.6439474415963</v>
      </c>
      <c r="CH68" s="192">
        <f t="shared" si="200"/>
        <v>1364.294409095379</v>
      </c>
      <c r="CI68" s="192">
        <f t="shared" si="200"/>
        <v>1333.6413753656993</v>
      </c>
      <c r="CJ68" s="192">
        <f t="shared" si="200"/>
        <v>1302.681811298723</v>
      </c>
      <c r="CK68" s="192">
        <f t="shared" si="200"/>
        <v>1271.4126515910771</v>
      </c>
      <c r="CL68" s="192">
        <f t="shared" si="200"/>
        <v>1239.8308002863546</v>
      </c>
      <c r="CM68" s="192">
        <f t="shared" si="200"/>
        <v>1207.9331304685847</v>
      </c>
      <c r="CN68" s="192">
        <f t="shared" si="200"/>
        <v>1175.7164839526372</v>
      </c>
      <c r="CO68" s="192">
        <f t="shared" si="200"/>
        <v>1143.1776709715302</v>
      </c>
      <c r="CP68" s="192">
        <f t="shared" si="200"/>
        <v>1110.3134698606123</v>
      </c>
      <c r="CQ68" s="192">
        <f t="shared" si="200"/>
        <v>1077.1206267385851</v>
      </c>
      <c r="CR68" s="192">
        <f t="shared" si="200"/>
        <v>1043.5958551853375</v>
      </c>
      <c r="CS68" s="192">
        <f t="shared" si="200"/>
        <v>1009.7358359165577</v>
      </c>
      <c r="CT68" s="192">
        <f t="shared" si="200"/>
        <v>975.53721645508995</v>
      </c>
      <c r="CU68" s="192">
        <f t="shared" si="200"/>
        <v>940.9966107990075</v>
      </c>
      <c r="CV68" s="192">
        <f t="shared" si="200"/>
        <v>906.11059908636423</v>
      </c>
      <c r="CW68" s="192">
        <f t="shared" si="200"/>
        <v>870.87572725659459</v>
      </c>
      <c r="CX68" s="192">
        <f t="shared" si="200"/>
        <v>835.28850670852717</v>
      </c>
      <c r="CY68" s="192">
        <f t="shared" si="200"/>
        <v>799.34541395497922</v>
      </c>
      <c r="CZ68" s="192">
        <f t="shared" si="200"/>
        <v>763.04289027389564</v>
      </c>
      <c r="DA68" s="192">
        <f t="shared" si="200"/>
        <v>726.37734135600124</v>
      </c>
      <c r="DB68" s="192">
        <f t="shared" si="200"/>
        <v>689.34513694892803</v>
      </c>
      <c r="DC68" s="192">
        <f t="shared" si="200"/>
        <v>651.94261049778402</v>
      </c>
      <c r="DD68" s="192">
        <f t="shared" si="200"/>
        <v>614.16605878212852</v>
      </c>
      <c r="DE68" s="192">
        <f t="shared" si="200"/>
        <v>576.01174154931653</v>
      </c>
      <c r="DF68" s="192">
        <f t="shared" si="200"/>
        <v>537.47588114417636</v>
      </c>
      <c r="DG68" s="192">
        <f t="shared" si="200"/>
        <v>498.55466213498482</v>
      </c>
      <c r="DH68" s="192">
        <f t="shared" si="200"/>
        <v>459.24423093570135</v>
      </c>
      <c r="DI68" s="192">
        <f t="shared" si="200"/>
        <v>419.54069542442505</v>
      </c>
      <c r="DJ68" s="192">
        <f t="shared" si="200"/>
        <v>379.44012455803596</v>
      </c>
      <c r="DK68" s="192">
        <f t="shared" si="200"/>
        <v>338.93854798298298</v>
      </c>
      <c r="DL68" s="192">
        <f t="shared" si="200"/>
        <v>298.03195564217953</v>
      </c>
      <c r="DM68" s="192">
        <f t="shared" si="200"/>
        <v>256.71629737796803</v>
      </c>
      <c r="DN68" s="192">
        <f t="shared" si="200"/>
        <v>214.98748253111438</v>
      </c>
      <c r="DO68" s="192">
        <f t="shared" si="200"/>
        <v>172.84137953579219</v>
      </c>
      <c r="DP68" s="192">
        <f t="shared" si="200"/>
        <v>130.27381551051681</v>
      </c>
      <c r="DQ68" s="192">
        <f t="shared" si="200"/>
        <v>87.280575844988661</v>
      </c>
      <c r="DR68" s="192">
        <f t="shared" si="200"/>
        <v>43.857403782805221</v>
      </c>
      <c r="DS68" s="192">
        <f t="shared" si="200"/>
        <v>-4.5474735088646414E-14</v>
      </c>
      <c r="DT68" s="192">
        <f t="shared" si="200"/>
        <v>2265.756606464</v>
      </c>
      <c r="DU68" s="192">
        <f t="shared" si="200"/>
        <v>2288.4141725286399</v>
      </c>
      <c r="DV68" s="192">
        <f t="shared" si="200"/>
        <v>2311.2983142539265</v>
      </c>
      <c r="DW68" s="192">
        <f t="shared" si="200"/>
        <v>2334.4112973964652</v>
      </c>
      <c r="DX68" s="192">
        <f t="shared" si="200"/>
        <v>2357.7554103704301</v>
      </c>
      <c r="DY68" s="192">
        <f t="shared" si="200"/>
        <v>2381.3329644741343</v>
      </c>
      <c r="DZ68" s="192">
        <f t="shared" si="200"/>
        <v>2405.1462941188756</v>
      </c>
      <c r="EA68" s="192">
        <f t="shared" si="200"/>
        <v>2429.1977570600643</v>
      </c>
      <c r="EB68" s="192">
        <f t="shared" si="200"/>
        <v>2453.4897346306648</v>
      </c>
      <c r="EC68" s="192">
        <f t="shared" ref="EC68:FZ68" si="201">+EB66*($B$61/12)</f>
        <v>2478.0246319769712</v>
      </c>
      <c r="ED68" s="192">
        <f t="shared" si="201"/>
        <v>2502.8048782967412</v>
      </c>
      <c r="EE68" s="192">
        <f t="shared" si="201"/>
        <v>2527.8329270797085</v>
      </c>
      <c r="EF68" s="192">
        <f t="shared" si="201"/>
        <v>2553.1112563505053</v>
      </c>
      <c r="EG68" s="192">
        <f t="shared" si="201"/>
        <v>2578.6423689140101</v>
      </c>
      <c r="EH68" s="192">
        <f t="shared" si="201"/>
        <v>2604.4287926031502</v>
      </c>
      <c r="EI68" s="192">
        <f t="shared" si="201"/>
        <v>2630.473080529182</v>
      </c>
      <c r="EJ68" s="192">
        <f t="shared" si="201"/>
        <v>2656.7778113344739</v>
      </c>
      <c r="EK68" s="192">
        <f t="shared" si="201"/>
        <v>2683.3455894478184</v>
      </c>
      <c r="EL68" s="192">
        <f t="shared" si="201"/>
        <v>2710.1790453422968</v>
      </c>
      <c r="EM68" s="192">
        <f t="shared" si="201"/>
        <v>2737.2808357957197</v>
      </c>
      <c r="EN68" s="192">
        <f t="shared" si="201"/>
        <v>2764.6536441536773</v>
      </c>
      <c r="EO68" s="192">
        <f t="shared" si="201"/>
        <v>2792.300180595214</v>
      </c>
      <c r="EP68" s="192">
        <f t="shared" si="201"/>
        <v>2820.223182401166</v>
      </c>
      <c r="EQ68" s="192">
        <f t="shared" si="201"/>
        <v>2848.4254142251775</v>
      </c>
      <c r="ER68" s="192">
        <f t="shared" si="201"/>
        <v>2876.9096683674293</v>
      </c>
      <c r="ES68" s="192">
        <f t="shared" si="201"/>
        <v>2905.6787650511037</v>
      </c>
      <c r="ET68" s="192">
        <f t="shared" si="201"/>
        <v>2934.7355527016148</v>
      </c>
      <c r="EU68" s="192">
        <f t="shared" si="201"/>
        <v>2964.0829082286314</v>
      </c>
      <c r="EV68" s="192">
        <f t="shared" si="201"/>
        <v>2993.7237373109174</v>
      </c>
      <c r="EW68" s="192">
        <f t="shared" si="201"/>
        <v>3023.6609746840263</v>
      </c>
      <c r="EX68" s="192">
        <f t="shared" si="201"/>
        <v>3053.897584430867</v>
      </c>
      <c r="EY68" s="192">
        <f t="shared" si="201"/>
        <v>3084.4365602751759</v>
      </c>
      <c r="EZ68" s="192">
        <f t="shared" si="201"/>
        <v>3115.2809258779271</v>
      </c>
      <c r="FA68" s="192">
        <f t="shared" si="201"/>
        <v>3146.4337351367067</v>
      </c>
      <c r="FB68" s="192">
        <f t="shared" si="201"/>
        <v>3177.8980724880735</v>
      </c>
      <c r="FC68" s="192">
        <f t="shared" si="201"/>
        <v>3209.6770532129544</v>
      </c>
      <c r="FD68" s="192">
        <f t="shared" si="201"/>
        <v>3241.7738237450835</v>
      </c>
      <c r="FE68" s="192">
        <f t="shared" si="201"/>
        <v>3274.1915619825345</v>
      </c>
      <c r="FF68" s="192">
        <f t="shared" si="201"/>
        <v>3306.9334776023602</v>
      </c>
      <c r="FG68" s="192">
        <f t="shared" si="201"/>
        <v>3340.0028123783841</v>
      </c>
      <c r="FH68" s="192">
        <f t="shared" si="201"/>
        <v>3373.4028405021677</v>
      </c>
      <c r="FI68" s="192">
        <f t="shared" si="201"/>
        <v>3407.1368689071896</v>
      </c>
      <c r="FJ68" s="192">
        <f t="shared" si="201"/>
        <v>3441.2082375962614</v>
      </c>
      <c r="FK68" s="192">
        <f t="shared" si="201"/>
        <v>3475.620319972224</v>
      </c>
      <c r="FL68" s="192">
        <f t="shared" si="201"/>
        <v>3510.3765231719462</v>
      </c>
      <c r="FM68" s="192">
        <f t="shared" si="201"/>
        <v>3545.4802884036658</v>
      </c>
      <c r="FN68" s="192">
        <f t="shared" si="201"/>
        <v>3580.9350912877026</v>
      </c>
      <c r="FO68" s="192">
        <f t="shared" si="201"/>
        <v>3616.7444422005797</v>
      </c>
      <c r="FP68" s="192">
        <f t="shared" si="201"/>
        <v>3652.9118866225858</v>
      </c>
      <c r="FQ68" s="192">
        <f t="shared" si="201"/>
        <v>3689.4410054888117</v>
      </c>
      <c r="FR68" s="192">
        <f t="shared" si="201"/>
        <v>3726.3354155436996</v>
      </c>
      <c r="FS68" s="192">
        <f t="shared" si="201"/>
        <v>3763.5987696991365</v>
      </c>
      <c r="FT68" s="192">
        <f t="shared" si="201"/>
        <v>3801.2347573961283</v>
      </c>
      <c r="FU68" s="192">
        <f t="shared" si="201"/>
        <v>3839.2471049700894</v>
      </c>
      <c r="FV68" s="192">
        <f t="shared" si="201"/>
        <v>3877.6395760197902</v>
      </c>
      <c r="FW68" s="192">
        <f t="shared" si="201"/>
        <v>3916.415971779988</v>
      </c>
      <c r="FX68" s="192">
        <f t="shared" si="201"/>
        <v>3955.5801314977875</v>
      </c>
      <c r="FY68" s="192">
        <f t="shared" si="201"/>
        <v>3995.135932812766</v>
      </c>
      <c r="FZ68" s="192">
        <f t="shared" si="201"/>
        <v>4035.0872921408936</v>
      </c>
    </row>
    <row r="69" spans="1:182" outlineLevel="1" x14ac:dyDescent="0.2">
      <c r="A69" s="24" t="s">
        <v>234</v>
      </c>
      <c r="B69" s="192">
        <f>SUM(C69:DR69)</f>
        <v>226575.66064639995</v>
      </c>
      <c r="C69" s="192">
        <v>0</v>
      </c>
      <c r="D69" s="192">
        <f t="shared" ref="D69:AI69" si="202">+D67-D68</f>
        <v>0</v>
      </c>
      <c r="E69" s="192">
        <f t="shared" si="202"/>
        <v>0</v>
      </c>
      <c r="F69" s="192">
        <f t="shared" si="202"/>
        <v>0</v>
      </c>
      <c r="G69" s="192">
        <f t="shared" si="202"/>
        <v>0</v>
      </c>
      <c r="H69" s="192">
        <f t="shared" si="202"/>
        <v>0</v>
      </c>
      <c r="I69" s="192">
        <f t="shared" si="202"/>
        <v>0</v>
      </c>
      <c r="J69" s="192">
        <f t="shared" si="202"/>
        <v>0</v>
      </c>
      <c r="K69" s="192">
        <f t="shared" si="202"/>
        <v>0</v>
      </c>
      <c r="L69" s="192">
        <f t="shared" si="202"/>
        <v>0</v>
      </c>
      <c r="M69" s="192">
        <f t="shared" si="202"/>
        <v>0</v>
      </c>
      <c r="N69" s="192">
        <f t="shared" si="202"/>
        <v>0</v>
      </c>
      <c r="O69" s="192">
        <f t="shared" si="202"/>
        <v>0</v>
      </c>
      <c r="P69" s="192">
        <f t="shared" si="202"/>
        <v>0</v>
      </c>
      <c r="Q69" s="192">
        <f t="shared" si="202"/>
        <v>0</v>
      </c>
      <c r="R69" s="192">
        <f t="shared" si="202"/>
        <v>0</v>
      </c>
      <c r="S69" s="192">
        <f t="shared" si="202"/>
        <v>0</v>
      </c>
      <c r="T69" s="192">
        <f t="shared" si="202"/>
        <v>0</v>
      </c>
      <c r="U69" s="192">
        <f t="shared" si="202"/>
        <v>0</v>
      </c>
      <c r="V69" s="192">
        <f t="shared" si="202"/>
        <v>0</v>
      </c>
      <c r="W69" s="192">
        <f t="shared" si="202"/>
        <v>0</v>
      </c>
      <c r="X69" s="192">
        <f t="shared" si="202"/>
        <v>0</v>
      </c>
      <c r="Y69" s="192">
        <f t="shared" si="202"/>
        <v>0</v>
      </c>
      <c r="Z69" s="192">
        <f t="shared" si="202"/>
        <v>0</v>
      </c>
      <c r="AA69" s="192">
        <f t="shared" si="202"/>
        <v>0</v>
      </c>
      <c r="AB69" s="192">
        <f t="shared" si="202"/>
        <v>0</v>
      </c>
      <c r="AC69" s="192">
        <f t="shared" si="202"/>
        <v>0</v>
      </c>
      <c r="AD69" s="192">
        <f t="shared" si="202"/>
        <v>0</v>
      </c>
      <c r="AE69" s="192">
        <f t="shared" si="202"/>
        <v>0</v>
      </c>
      <c r="AF69" s="192">
        <f t="shared" si="202"/>
        <v>0</v>
      </c>
      <c r="AG69" s="192">
        <f t="shared" si="202"/>
        <v>0</v>
      </c>
      <c r="AH69" s="192">
        <f t="shared" si="202"/>
        <v>0</v>
      </c>
      <c r="AI69" s="192">
        <f t="shared" si="202"/>
        <v>0</v>
      </c>
      <c r="AJ69" s="192">
        <f t="shared" ref="AJ69:BO69" si="203">+AJ67-AJ68</f>
        <v>0</v>
      </c>
      <c r="AK69" s="192">
        <f t="shared" si="203"/>
        <v>0</v>
      </c>
      <c r="AL69" s="192">
        <f t="shared" si="203"/>
        <v>0</v>
      </c>
      <c r="AM69" s="192">
        <f t="shared" si="203"/>
        <v>0</v>
      </c>
      <c r="AN69" s="192">
        <f t="shared" si="203"/>
        <v>0</v>
      </c>
      <c r="AO69" s="192">
        <f t="shared" si="203"/>
        <v>0</v>
      </c>
      <c r="AP69" s="192">
        <f t="shared" si="203"/>
        <v>0</v>
      </c>
      <c r="AQ69" s="192">
        <f t="shared" si="203"/>
        <v>0</v>
      </c>
      <c r="AR69" s="192">
        <f t="shared" si="203"/>
        <v>0</v>
      </c>
      <c r="AS69" s="192">
        <f t="shared" si="203"/>
        <v>0</v>
      </c>
      <c r="AT69" s="192">
        <f t="shared" si="203"/>
        <v>0</v>
      </c>
      <c r="AU69" s="192">
        <f t="shared" si="203"/>
        <v>0</v>
      </c>
      <c r="AV69" s="192">
        <f t="shared" si="203"/>
        <v>0</v>
      </c>
      <c r="AW69" s="192">
        <f t="shared" si="203"/>
        <v>0</v>
      </c>
      <c r="AX69" s="192">
        <f t="shared" si="203"/>
        <v>0</v>
      </c>
      <c r="AY69" s="192">
        <f t="shared" si="203"/>
        <v>2163.8411755993316</v>
      </c>
      <c r="AZ69" s="192">
        <f t="shared" si="203"/>
        <v>2185.4795873553253</v>
      </c>
      <c r="BA69" s="192">
        <f t="shared" si="203"/>
        <v>2207.3343832288788</v>
      </c>
      <c r="BB69" s="192">
        <f t="shared" si="203"/>
        <v>2229.4077270611674</v>
      </c>
      <c r="BC69" s="192">
        <f t="shared" si="203"/>
        <v>2251.7018043317789</v>
      </c>
      <c r="BD69" s="192">
        <f t="shared" si="203"/>
        <v>2274.2188223750968</v>
      </c>
      <c r="BE69" s="192">
        <f t="shared" si="203"/>
        <v>2296.9610105988477</v>
      </c>
      <c r="BF69" s="192">
        <f t="shared" si="203"/>
        <v>2319.9306207048357</v>
      </c>
      <c r="BG69" s="192">
        <f t="shared" si="203"/>
        <v>2343.1299269118845</v>
      </c>
      <c r="BH69" s="192">
        <f t="shared" si="203"/>
        <v>2366.5612261810029</v>
      </c>
      <c r="BI69" s="192">
        <f t="shared" si="203"/>
        <v>2390.2268384428135</v>
      </c>
      <c r="BJ69" s="192">
        <f t="shared" si="203"/>
        <v>2414.1291068272412</v>
      </c>
      <c r="BK69" s="192">
        <f t="shared" si="203"/>
        <v>2438.2703978955142</v>
      </c>
      <c r="BL69" s="192">
        <f t="shared" si="203"/>
        <v>2462.653101874469</v>
      </c>
      <c r="BM69" s="192">
        <f t="shared" si="203"/>
        <v>2487.2796328932136</v>
      </c>
      <c r="BN69" s="192">
        <f t="shared" si="203"/>
        <v>2512.1524292221457</v>
      </c>
      <c r="BO69" s="192">
        <f t="shared" si="203"/>
        <v>2537.2739535143673</v>
      </c>
      <c r="BP69" s="192">
        <f t="shared" ref="BP69:CU69" si="204">+BP67-BP68</f>
        <v>2562.6466930495108</v>
      </c>
      <c r="BQ69" s="192">
        <f t="shared" si="204"/>
        <v>2588.2731599800063</v>
      </c>
      <c r="BR69" s="192">
        <f t="shared" si="204"/>
        <v>2614.1558915798064</v>
      </c>
      <c r="BS69" s="192">
        <f t="shared" si="204"/>
        <v>2640.2974504956046</v>
      </c>
      <c r="BT69" s="192">
        <f t="shared" si="204"/>
        <v>2666.7004250005602</v>
      </c>
      <c r="BU69" s="192">
        <f t="shared" si="204"/>
        <v>2693.3674292505661</v>
      </c>
      <c r="BV69" s="192">
        <f t="shared" si="204"/>
        <v>2720.3011035430718</v>
      </c>
      <c r="BW69" s="192">
        <f t="shared" si="204"/>
        <v>2747.5041145785026</v>
      </c>
      <c r="BX69" s="192">
        <f t="shared" si="204"/>
        <v>2774.9791557242879</v>
      </c>
      <c r="BY69" s="192">
        <f t="shared" si="204"/>
        <v>2802.7289472815305</v>
      </c>
      <c r="BZ69" s="192">
        <f t="shared" si="204"/>
        <v>2830.756236754346</v>
      </c>
      <c r="CA69" s="192">
        <f t="shared" si="204"/>
        <v>2859.0637991218891</v>
      </c>
      <c r="CB69" s="192">
        <f t="shared" si="204"/>
        <v>2887.6544371131081</v>
      </c>
      <c r="CC69" s="192">
        <f t="shared" si="204"/>
        <v>2916.5309814842394</v>
      </c>
      <c r="CD69" s="192">
        <f t="shared" si="204"/>
        <v>2945.6962912990821</v>
      </c>
      <c r="CE69" s="192">
        <f t="shared" si="204"/>
        <v>2975.1532542120722</v>
      </c>
      <c r="CF69" s="192">
        <f t="shared" si="204"/>
        <v>3004.9047867541931</v>
      </c>
      <c r="CG69" s="192">
        <f t="shared" si="204"/>
        <v>3034.953834621735</v>
      </c>
      <c r="CH69" s="192">
        <f t="shared" si="204"/>
        <v>3065.3033729679528</v>
      </c>
      <c r="CI69" s="192">
        <f t="shared" si="204"/>
        <v>3095.9564066976322</v>
      </c>
      <c r="CJ69" s="192">
        <f t="shared" si="204"/>
        <v>3126.9159707646086</v>
      </c>
      <c r="CK69" s="192">
        <f t="shared" si="204"/>
        <v>3158.1851304722545</v>
      </c>
      <c r="CL69" s="192">
        <f t="shared" si="204"/>
        <v>3189.766981776977</v>
      </c>
      <c r="CM69" s="192">
        <f t="shared" si="204"/>
        <v>3221.6646515947468</v>
      </c>
      <c r="CN69" s="192">
        <f t="shared" si="204"/>
        <v>3253.8812981106944</v>
      </c>
      <c r="CO69" s="192">
        <f t="shared" si="204"/>
        <v>3286.4201110918011</v>
      </c>
      <c r="CP69" s="192">
        <f t="shared" si="204"/>
        <v>3319.2843122027193</v>
      </c>
      <c r="CQ69" s="192">
        <f t="shared" si="204"/>
        <v>3352.4771553247465</v>
      </c>
      <c r="CR69" s="192">
        <f t="shared" si="204"/>
        <v>3386.0019268779943</v>
      </c>
      <c r="CS69" s="192">
        <f t="shared" si="204"/>
        <v>3419.8619461467738</v>
      </c>
      <c r="CT69" s="192">
        <f t="shared" si="204"/>
        <v>3454.0605656082416</v>
      </c>
      <c r="CU69" s="192">
        <f t="shared" si="204"/>
        <v>3488.601171264324</v>
      </c>
      <c r="CV69" s="192">
        <f t="shared" ref="CV69:EA69" si="205">+CV67-CV68</f>
        <v>3523.4871829769672</v>
      </c>
      <c r="CW69" s="192">
        <f t="shared" si="205"/>
        <v>3558.7220548067371</v>
      </c>
      <c r="CX69" s="192">
        <f t="shared" si="205"/>
        <v>3594.3092753548044</v>
      </c>
      <c r="CY69" s="192">
        <f t="shared" si="205"/>
        <v>3630.2523681083521</v>
      </c>
      <c r="CZ69" s="192">
        <f t="shared" si="205"/>
        <v>3666.5548917894357</v>
      </c>
      <c r="DA69" s="192">
        <f t="shared" si="205"/>
        <v>3703.2204407073305</v>
      </c>
      <c r="DB69" s="192">
        <f t="shared" si="205"/>
        <v>3740.2526451144035</v>
      </c>
      <c r="DC69" s="192">
        <f t="shared" si="205"/>
        <v>3777.6551715655478</v>
      </c>
      <c r="DD69" s="192">
        <f t="shared" si="205"/>
        <v>3815.4317232812032</v>
      </c>
      <c r="DE69" s="192">
        <f t="shared" si="205"/>
        <v>3853.5860405140152</v>
      </c>
      <c r="DF69" s="192">
        <f t="shared" si="205"/>
        <v>3892.1219009191555</v>
      </c>
      <c r="DG69" s="192">
        <f t="shared" si="205"/>
        <v>3931.0431199283466</v>
      </c>
      <c r="DH69" s="192">
        <f t="shared" si="205"/>
        <v>3970.3535511276305</v>
      </c>
      <c r="DI69" s="192">
        <f t="shared" si="205"/>
        <v>4010.0570866389066</v>
      </c>
      <c r="DJ69" s="192">
        <f t="shared" si="205"/>
        <v>4050.1576575052954</v>
      </c>
      <c r="DK69" s="192">
        <f t="shared" si="205"/>
        <v>4090.6592340803486</v>
      </c>
      <c r="DL69" s="192">
        <f t="shared" si="205"/>
        <v>4131.5658264211525</v>
      </c>
      <c r="DM69" s="192">
        <f t="shared" si="205"/>
        <v>4172.8814846853638</v>
      </c>
      <c r="DN69" s="192">
        <f t="shared" si="205"/>
        <v>4214.6102995322171</v>
      </c>
      <c r="DO69" s="192">
        <f t="shared" si="205"/>
        <v>4256.7564025275396</v>
      </c>
      <c r="DP69" s="192">
        <f t="shared" si="205"/>
        <v>4299.3239665528145</v>
      </c>
      <c r="DQ69" s="192">
        <f t="shared" si="205"/>
        <v>4342.317206218343</v>
      </c>
      <c r="DR69" s="192">
        <f t="shared" si="205"/>
        <v>4385.7403782805268</v>
      </c>
      <c r="DS69" s="192">
        <f t="shared" si="205"/>
        <v>4.5474735088646414E-14</v>
      </c>
      <c r="DT69" s="192">
        <f t="shared" si="205"/>
        <v>-2265.756606464</v>
      </c>
      <c r="DU69" s="192">
        <f t="shared" si="205"/>
        <v>-2288.4141725286399</v>
      </c>
      <c r="DV69" s="192">
        <f t="shared" si="205"/>
        <v>-2311.2983142539265</v>
      </c>
      <c r="DW69" s="192">
        <f t="shared" si="205"/>
        <v>-2334.4112973964652</v>
      </c>
      <c r="DX69" s="192">
        <f t="shared" si="205"/>
        <v>-2357.7554103704301</v>
      </c>
      <c r="DY69" s="192">
        <f t="shared" si="205"/>
        <v>-2381.3329644741343</v>
      </c>
      <c r="DZ69" s="192">
        <f t="shared" si="205"/>
        <v>-2405.1462941188756</v>
      </c>
      <c r="EA69" s="192">
        <f t="shared" si="205"/>
        <v>-2429.1977570600643</v>
      </c>
      <c r="EB69" s="192">
        <f t="shared" ref="EB69:FG69" si="206">+EB67-EB68</f>
        <v>-2453.4897346306648</v>
      </c>
      <c r="EC69" s="192">
        <f t="shared" si="206"/>
        <v>-2478.0246319769712</v>
      </c>
      <c r="ED69" s="192">
        <f t="shared" si="206"/>
        <v>-2502.8048782967412</v>
      </c>
      <c r="EE69" s="192">
        <f t="shared" si="206"/>
        <v>-2527.8329270797085</v>
      </c>
      <c r="EF69" s="192">
        <f t="shared" si="206"/>
        <v>-2553.1112563505053</v>
      </c>
      <c r="EG69" s="192">
        <f t="shared" si="206"/>
        <v>-2578.6423689140101</v>
      </c>
      <c r="EH69" s="192">
        <f t="shared" si="206"/>
        <v>-2604.4287926031502</v>
      </c>
      <c r="EI69" s="192">
        <f t="shared" si="206"/>
        <v>-2630.473080529182</v>
      </c>
      <c r="EJ69" s="192">
        <f t="shared" si="206"/>
        <v>-2656.7778113344739</v>
      </c>
      <c r="EK69" s="192">
        <f t="shared" si="206"/>
        <v>-2683.3455894478184</v>
      </c>
      <c r="EL69" s="192">
        <f t="shared" si="206"/>
        <v>-2710.1790453422968</v>
      </c>
      <c r="EM69" s="192">
        <f t="shared" si="206"/>
        <v>-2737.2808357957197</v>
      </c>
      <c r="EN69" s="192">
        <f t="shared" si="206"/>
        <v>-2764.6536441536773</v>
      </c>
      <c r="EO69" s="192">
        <f t="shared" si="206"/>
        <v>-2792.300180595214</v>
      </c>
      <c r="EP69" s="192">
        <f t="shared" si="206"/>
        <v>-2820.223182401166</v>
      </c>
      <c r="EQ69" s="192">
        <f t="shared" si="206"/>
        <v>-2848.4254142251775</v>
      </c>
      <c r="ER69" s="192">
        <f t="shared" si="206"/>
        <v>-2876.9096683674293</v>
      </c>
      <c r="ES69" s="192">
        <f t="shared" si="206"/>
        <v>-2905.6787650511037</v>
      </c>
      <c r="ET69" s="192">
        <f t="shared" si="206"/>
        <v>-2934.7355527016148</v>
      </c>
      <c r="EU69" s="192">
        <f t="shared" si="206"/>
        <v>-2964.0829082286314</v>
      </c>
      <c r="EV69" s="192">
        <f t="shared" si="206"/>
        <v>-2993.7237373109174</v>
      </c>
      <c r="EW69" s="192">
        <f t="shared" si="206"/>
        <v>-3023.6609746840263</v>
      </c>
      <c r="EX69" s="192">
        <f t="shared" si="206"/>
        <v>-3053.897584430867</v>
      </c>
      <c r="EY69" s="192">
        <f t="shared" si="206"/>
        <v>-3084.4365602751759</v>
      </c>
      <c r="EZ69" s="192">
        <f t="shared" si="206"/>
        <v>-3115.2809258779271</v>
      </c>
      <c r="FA69" s="192">
        <f t="shared" si="206"/>
        <v>-3146.4337351367067</v>
      </c>
      <c r="FB69" s="192">
        <f t="shared" si="206"/>
        <v>-3177.8980724880735</v>
      </c>
      <c r="FC69" s="192">
        <f t="shared" si="206"/>
        <v>-3209.6770532129544</v>
      </c>
      <c r="FD69" s="192">
        <f t="shared" si="206"/>
        <v>-3241.7738237450835</v>
      </c>
      <c r="FE69" s="192">
        <f t="shared" si="206"/>
        <v>-3274.1915619825345</v>
      </c>
      <c r="FF69" s="192">
        <f t="shared" si="206"/>
        <v>-3306.9334776023602</v>
      </c>
      <c r="FG69" s="192">
        <f t="shared" si="206"/>
        <v>-3340.0028123783841</v>
      </c>
      <c r="FH69" s="192">
        <f t="shared" ref="FH69:FZ69" si="207">+FH67-FH68</f>
        <v>-3373.4028405021677</v>
      </c>
      <c r="FI69" s="192">
        <f t="shared" si="207"/>
        <v>-3407.1368689071896</v>
      </c>
      <c r="FJ69" s="192">
        <f t="shared" si="207"/>
        <v>-3441.2082375962614</v>
      </c>
      <c r="FK69" s="192">
        <f t="shared" si="207"/>
        <v>-3475.620319972224</v>
      </c>
      <c r="FL69" s="192">
        <f t="shared" si="207"/>
        <v>-3510.3765231719462</v>
      </c>
      <c r="FM69" s="192">
        <f t="shared" si="207"/>
        <v>-3545.4802884036658</v>
      </c>
      <c r="FN69" s="192">
        <f t="shared" si="207"/>
        <v>-3580.9350912877026</v>
      </c>
      <c r="FO69" s="192">
        <f t="shared" si="207"/>
        <v>-3616.7444422005797</v>
      </c>
      <c r="FP69" s="192">
        <f t="shared" si="207"/>
        <v>-3652.9118866225858</v>
      </c>
      <c r="FQ69" s="192">
        <f t="shared" si="207"/>
        <v>-3689.4410054888117</v>
      </c>
      <c r="FR69" s="192">
        <f t="shared" si="207"/>
        <v>-3726.3354155436996</v>
      </c>
      <c r="FS69" s="192">
        <f t="shared" si="207"/>
        <v>-3763.5987696991365</v>
      </c>
      <c r="FT69" s="192">
        <f t="shared" si="207"/>
        <v>-3801.2347573961283</v>
      </c>
      <c r="FU69" s="192">
        <f t="shared" si="207"/>
        <v>-3839.2471049700894</v>
      </c>
      <c r="FV69" s="192">
        <f t="shared" si="207"/>
        <v>-3877.6395760197902</v>
      </c>
      <c r="FW69" s="192">
        <f t="shared" si="207"/>
        <v>-3916.415971779988</v>
      </c>
      <c r="FX69" s="192">
        <f t="shared" si="207"/>
        <v>-3955.5801314977875</v>
      </c>
      <c r="FY69" s="192">
        <f t="shared" si="207"/>
        <v>-3995.135932812766</v>
      </c>
      <c r="FZ69" s="192">
        <f t="shared" si="207"/>
        <v>-4035.0872921408936</v>
      </c>
    </row>
    <row r="72" spans="1:182" x14ac:dyDescent="0.2">
      <c r="A72" s="145" t="s">
        <v>439</v>
      </c>
    </row>
    <row r="73" spans="1:182" outlineLevel="1" x14ac:dyDescent="0.2">
      <c r="A73" s="24" t="s">
        <v>228</v>
      </c>
      <c r="B73" s="166">
        <f>+Inv.Rep.!H58</f>
        <v>235638.687072256</v>
      </c>
    </row>
    <row r="74" spans="1:182" outlineLevel="1" x14ac:dyDescent="0.2">
      <c r="A74" s="24" t="s">
        <v>229</v>
      </c>
      <c r="B74" s="191">
        <f>+Condiciones!$B$20</f>
        <v>0.12</v>
      </c>
    </row>
    <row r="75" spans="1:182" outlineLevel="1" x14ac:dyDescent="0.2">
      <c r="A75" s="24" t="s">
        <v>230</v>
      </c>
      <c r="B75" s="139">
        <v>60</v>
      </c>
    </row>
    <row r="76" spans="1:182" outlineLevel="1" x14ac:dyDescent="0.2">
      <c r="A76" s="24" t="s">
        <v>231</v>
      </c>
      <c r="B76" s="192">
        <f>PMT(B74/12,B75,-B73)</f>
        <v>5241.6524471177381</v>
      </c>
    </row>
    <row r="77" spans="1:182" outlineLevel="1" x14ac:dyDescent="0.2">
      <c r="A77" s="24" t="s">
        <v>356</v>
      </c>
      <c r="B77" s="139">
        <v>60</v>
      </c>
    </row>
    <row r="78" spans="1:182" outlineLevel="1" x14ac:dyDescent="0.2"/>
    <row r="79" spans="1:182" outlineLevel="1" x14ac:dyDescent="0.2">
      <c r="A79" s="24" t="s">
        <v>232</v>
      </c>
      <c r="B79" s="166">
        <f>+B73</f>
        <v>235638.687072256</v>
      </c>
      <c r="C79" s="192">
        <v>0</v>
      </c>
      <c r="D79" s="192">
        <f>+IF(C79&gt;0,C79-D82,IF(D4&lt;$B$77,0,$B$79-D82))</f>
        <v>0</v>
      </c>
      <c r="E79" s="192">
        <f t="shared" ref="E79:BP79" si="208">+IF(D79&gt;0,D79-E82,IF(E4&lt;$B$77,0,$B$79-E82))</f>
        <v>0</v>
      </c>
      <c r="F79" s="192">
        <f t="shared" si="208"/>
        <v>0</v>
      </c>
      <c r="G79" s="192">
        <f t="shared" si="208"/>
        <v>0</v>
      </c>
      <c r="H79" s="192">
        <f t="shared" si="208"/>
        <v>0</v>
      </c>
      <c r="I79" s="192">
        <f t="shared" si="208"/>
        <v>0</v>
      </c>
      <c r="J79" s="192">
        <f t="shared" si="208"/>
        <v>0</v>
      </c>
      <c r="K79" s="192">
        <f t="shared" si="208"/>
        <v>0</v>
      </c>
      <c r="L79" s="192">
        <f t="shared" si="208"/>
        <v>0</v>
      </c>
      <c r="M79" s="192">
        <f t="shared" si="208"/>
        <v>0</v>
      </c>
      <c r="N79" s="192">
        <f t="shared" si="208"/>
        <v>0</v>
      </c>
      <c r="O79" s="192">
        <f t="shared" si="208"/>
        <v>0</v>
      </c>
      <c r="P79" s="192">
        <f t="shared" si="208"/>
        <v>0</v>
      </c>
      <c r="Q79" s="192">
        <f t="shared" si="208"/>
        <v>0</v>
      </c>
      <c r="R79" s="192">
        <f t="shared" si="208"/>
        <v>0</v>
      </c>
      <c r="S79" s="192">
        <f t="shared" si="208"/>
        <v>0</v>
      </c>
      <c r="T79" s="192">
        <f t="shared" si="208"/>
        <v>0</v>
      </c>
      <c r="U79" s="192">
        <f t="shared" si="208"/>
        <v>0</v>
      </c>
      <c r="V79" s="192">
        <f t="shared" si="208"/>
        <v>0</v>
      </c>
      <c r="W79" s="192">
        <f t="shared" si="208"/>
        <v>0</v>
      </c>
      <c r="X79" s="192">
        <f t="shared" si="208"/>
        <v>0</v>
      </c>
      <c r="Y79" s="192">
        <f t="shared" si="208"/>
        <v>0</v>
      </c>
      <c r="Z79" s="192">
        <f t="shared" si="208"/>
        <v>0</v>
      </c>
      <c r="AA79" s="192">
        <f t="shared" si="208"/>
        <v>0</v>
      </c>
      <c r="AB79" s="192">
        <f t="shared" si="208"/>
        <v>0</v>
      </c>
      <c r="AC79" s="192">
        <f t="shared" si="208"/>
        <v>0</v>
      </c>
      <c r="AD79" s="192">
        <f t="shared" si="208"/>
        <v>0</v>
      </c>
      <c r="AE79" s="192">
        <f t="shared" si="208"/>
        <v>0</v>
      </c>
      <c r="AF79" s="192">
        <f t="shared" si="208"/>
        <v>0</v>
      </c>
      <c r="AG79" s="192">
        <f t="shared" si="208"/>
        <v>0</v>
      </c>
      <c r="AH79" s="192">
        <f t="shared" si="208"/>
        <v>0</v>
      </c>
      <c r="AI79" s="192">
        <f t="shared" si="208"/>
        <v>0</v>
      </c>
      <c r="AJ79" s="192">
        <f t="shared" si="208"/>
        <v>0</v>
      </c>
      <c r="AK79" s="192">
        <f t="shared" si="208"/>
        <v>0</v>
      </c>
      <c r="AL79" s="192">
        <f t="shared" si="208"/>
        <v>0</v>
      </c>
      <c r="AM79" s="192">
        <f t="shared" si="208"/>
        <v>0</v>
      </c>
      <c r="AN79" s="192">
        <f t="shared" si="208"/>
        <v>0</v>
      </c>
      <c r="AO79" s="192">
        <f t="shared" si="208"/>
        <v>0</v>
      </c>
      <c r="AP79" s="192">
        <f t="shared" si="208"/>
        <v>0</v>
      </c>
      <c r="AQ79" s="192">
        <f t="shared" si="208"/>
        <v>0</v>
      </c>
      <c r="AR79" s="192">
        <f t="shared" si="208"/>
        <v>0</v>
      </c>
      <c r="AS79" s="192">
        <f t="shared" si="208"/>
        <v>0</v>
      </c>
      <c r="AT79" s="192">
        <f t="shared" si="208"/>
        <v>0</v>
      </c>
      <c r="AU79" s="192">
        <f t="shared" si="208"/>
        <v>0</v>
      </c>
      <c r="AV79" s="192">
        <f t="shared" si="208"/>
        <v>0</v>
      </c>
      <c r="AW79" s="192">
        <f t="shared" si="208"/>
        <v>0</v>
      </c>
      <c r="AX79" s="192">
        <f t="shared" si="208"/>
        <v>0</v>
      </c>
      <c r="AY79" s="192">
        <f t="shared" si="208"/>
        <v>0</v>
      </c>
      <c r="AZ79" s="192">
        <f t="shared" si="208"/>
        <v>0</v>
      </c>
      <c r="BA79" s="192">
        <f t="shared" si="208"/>
        <v>0</v>
      </c>
      <c r="BB79" s="192">
        <f t="shared" si="208"/>
        <v>0</v>
      </c>
      <c r="BC79" s="192">
        <f t="shared" si="208"/>
        <v>0</v>
      </c>
      <c r="BD79" s="192">
        <f t="shared" si="208"/>
        <v>0</v>
      </c>
      <c r="BE79" s="192">
        <f t="shared" si="208"/>
        <v>0</v>
      </c>
      <c r="BF79" s="192">
        <f t="shared" si="208"/>
        <v>0</v>
      </c>
      <c r="BG79" s="192">
        <f t="shared" si="208"/>
        <v>0</v>
      </c>
      <c r="BH79" s="192">
        <f t="shared" si="208"/>
        <v>0</v>
      </c>
      <c r="BI79" s="192">
        <f t="shared" si="208"/>
        <v>0</v>
      </c>
      <c r="BJ79" s="192">
        <f t="shared" si="208"/>
        <v>235638.687072256</v>
      </c>
      <c r="BK79" s="192">
        <f t="shared" si="208"/>
        <v>232753.42149586082</v>
      </c>
      <c r="BL79" s="192">
        <f t="shared" si="208"/>
        <v>229839.3032637017</v>
      </c>
      <c r="BM79" s="192">
        <f t="shared" si="208"/>
        <v>226896.04384922099</v>
      </c>
      <c r="BN79" s="192">
        <f t="shared" si="208"/>
        <v>223923.35184059545</v>
      </c>
      <c r="BO79" s="192">
        <f t="shared" si="208"/>
        <v>220920.93291188366</v>
      </c>
      <c r="BP79" s="192">
        <f t="shared" si="208"/>
        <v>217888.48979388477</v>
      </c>
      <c r="BQ79" s="192">
        <f t="shared" ref="BQ79:EB79" si="209">+IF(BP79&gt;0,BP79-BQ82,IF(BQ4&lt;$B$77,0,$B$79-BQ82))</f>
        <v>214825.72224470589</v>
      </c>
      <c r="BR79" s="192">
        <f t="shared" si="209"/>
        <v>211732.32702003521</v>
      </c>
      <c r="BS79" s="192">
        <f t="shared" si="209"/>
        <v>208607.99784311783</v>
      </c>
      <c r="BT79" s="192">
        <f t="shared" si="209"/>
        <v>205452.42537443127</v>
      </c>
      <c r="BU79" s="192">
        <f t="shared" si="209"/>
        <v>202265.29718105786</v>
      </c>
      <c r="BV79" s="192">
        <f t="shared" si="209"/>
        <v>199046.29770575071</v>
      </c>
      <c r="BW79" s="192">
        <f t="shared" si="209"/>
        <v>195795.10823569048</v>
      </c>
      <c r="BX79" s="192">
        <f t="shared" si="209"/>
        <v>192511.40687092964</v>
      </c>
      <c r="BY79" s="192">
        <f t="shared" si="209"/>
        <v>189194.8684925212</v>
      </c>
      <c r="BZ79" s="192">
        <f t="shared" si="209"/>
        <v>185845.16473032869</v>
      </c>
      <c r="CA79" s="192">
        <f t="shared" si="209"/>
        <v>182461.96393051423</v>
      </c>
      <c r="CB79" s="192">
        <f t="shared" si="209"/>
        <v>179044.93112270164</v>
      </c>
      <c r="CC79" s="192">
        <f t="shared" si="209"/>
        <v>175593.72798681093</v>
      </c>
      <c r="CD79" s="192">
        <f t="shared" si="209"/>
        <v>172108.01281956129</v>
      </c>
      <c r="CE79" s="192">
        <f t="shared" si="209"/>
        <v>168587.44050063918</v>
      </c>
      <c r="CF79" s="192">
        <f t="shared" si="209"/>
        <v>165031.66245852783</v>
      </c>
      <c r="CG79" s="192">
        <f t="shared" si="209"/>
        <v>161440.32663599539</v>
      </c>
      <c r="CH79" s="192">
        <f t="shared" si="209"/>
        <v>157813.0774552376</v>
      </c>
      <c r="CI79" s="192">
        <f t="shared" si="209"/>
        <v>154149.55578267222</v>
      </c>
      <c r="CJ79" s="192">
        <f t="shared" si="209"/>
        <v>150449.39889338121</v>
      </c>
      <c r="CK79" s="192">
        <f t="shared" si="209"/>
        <v>146712.24043519728</v>
      </c>
      <c r="CL79" s="192">
        <f t="shared" si="209"/>
        <v>142937.7103924315</v>
      </c>
      <c r="CM79" s="192">
        <f t="shared" si="209"/>
        <v>139125.43504923809</v>
      </c>
      <c r="CN79" s="192">
        <f t="shared" si="209"/>
        <v>135275.03695261275</v>
      </c>
      <c r="CO79" s="192">
        <f t="shared" si="209"/>
        <v>131386.13487502115</v>
      </c>
      <c r="CP79" s="192">
        <f t="shared" si="209"/>
        <v>127458.34377665362</v>
      </c>
      <c r="CQ79" s="192">
        <f t="shared" si="209"/>
        <v>123491.27476730241</v>
      </c>
      <c r="CR79" s="192">
        <f t="shared" si="209"/>
        <v>119484.53506785769</v>
      </c>
      <c r="CS79" s="192">
        <f t="shared" si="209"/>
        <v>115437.72797141853</v>
      </c>
      <c r="CT79" s="192">
        <f t="shared" si="209"/>
        <v>111350.45280401497</v>
      </c>
      <c r="CU79" s="192">
        <f t="shared" si="209"/>
        <v>107222.30488493739</v>
      </c>
      <c r="CV79" s="192">
        <f t="shared" si="209"/>
        <v>103052.87548666903</v>
      </c>
      <c r="CW79" s="192">
        <f t="shared" si="209"/>
        <v>98841.751794417985</v>
      </c>
      <c r="CX79" s="192">
        <f t="shared" si="209"/>
        <v>94588.516865244426</v>
      </c>
      <c r="CY79" s="192">
        <f t="shared" si="209"/>
        <v>90292.749586779129</v>
      </c>
      <c r="CZ79" s="192">
        <f t="shared" si="209"/>
        <v>85954.024635529189</v>
      </c>
      <c r="DA79" s="192">
        <f t="shared" si="209"/>
        <v>81571.912434766738</v>
      </c>
      <c r="DB79" s="192">
        <f t="shared" si="209"/>
        <v>77145.979111996669</v>
      </c>
      <c r="DC79" s="192">
        <f t="shared" si="209"/>
        <v>72675.786455998896</v>
      </c>
      <c r="DD79" s="192">
        <f t="shared" si="209"/>
        <v>68160.891873441142</v>
      </c>
      <c r="DE79" s="192">
        <f t="shared" si="209"/>
        <v>63600.848345057813</v>
      </c>
      <c r="DF79" s="192">
        <f t="shared" si="209"/>
        <v>58995.204381390649</v>
      </c>
      <c r="DG79" s="192">
        <f t="shared" si="209"/>
        <v>54343.503978086817</v>
      </c>
      <c r="DH79" s="192">
        <f t="shared" si="209"/>
        <v>49645.286570749944</v>
      </c>
      <c r="DI79" s="192">
        <f t="shared" si="209"/>
        <v>44900.086989339703</v>
      </c>
      <c r="DJ79" s="192">
        <f t="shared" si="209"/>
        <v>40107.435412115359</v>
      </c>
      <c r="DK79" s="192">
        <f t="shared" si="209"/>
        <v>35266.857319118775</v>
      </c>
      <c r="DL79" s="192">
        <f t="shared" si="209"/>
        <v>30377.873445192225</v>
      </c>
      <c r="DM79" s="192">
        <f t="shared" si="209"/>
        <v>25439.999732526408</v>
      </c>
      <c r="DN79" s="192">
        <f t="shared" si="209"/>
        <v>20452.747282733933</v>
      </c>
      <c r="DO79" s="192">
        <f t="shared" si="209"/>
        <v>15415.622308443535</v>
      </c>
      <c r="DP79" s="192">
        <f t="shared" si="209"/>
        <v>10328.126084410233</v>
      </c>
      <c r="DQ79" s="192">
        <f t="shared" si="209"/>
        <v>5189.7548981365971</v>
      </c>
      <c r="DR79" s="192">
        <f t="shared" si="209"/>
        <v>2.2464519133791327E-10</v>
      </c>
      <c r="DS79" s="192">
        <f t="shared" si="209"/>
        <v>2.2689164325129241E-10</v>
      </c>
      <c r="DT79" s="192">
        <f t="shared" si="209"/>
        <v>2.2916055968380533E-10</v>
      </c>
      <c r="DU79" s="192">
        <f t="shared" si="209"/>
        <v>2.3145216528064337E-10</v>
      </c>
      <c r="DV79" s="192">
        <f t="shared" si="209"/>
        <v>2.3376668693344982E-10</v>
      </c>
      <c r="DW79" s="192">
        <f t="shared" si="209"/>
        <v>2.3610435380278433E-10</v>
      </c>
      <c r="DX79" s="192">
        <f t="shared" si="209"/>
        <v>2.3846539734081217E-10</v>
      </c>
      <c r="DY79" s="192">
        <f t="shared" si="209"/>
        <v>2.4085005131422028E-10</v>
      </c>
      <c r="DZ79" s="192">
        <f t="shared" si="209"/>
        <v>2.4325855182736248E-10</v>
      </c>
      <c r="EA79" s="192">
        <f t="shared" si="209"/>
        <v>2.4569113734563611E-10</v>
      </c>
      <c r="EB79" s="192">
        <f t="shared" si="209"/>
        <v>2.4814804871909248E-10</v>
      </c>
      <c r="EC79" s="192">
        <f t="shared" ref="EC79:FZ79" si="210">+IF(EB79&gt;0,EB79-EC82,IF(EC4&lt;$B$77,0,$B$79-EC82))</f>
        <v>2.5062952920628341E-10</v>
      </c>
      <c r="ED79" s="192">
        <f t="shared" si="210"/>
        <v>2.5313582449834627E-10</v>
      </c>
      <c r="EE79" s="192">
        <f t="shared" si="210"/>
        <v>2.5566718274332972E-10</v>
      </c>
      <c r="EF79" s="192">
        <f t="shared" si="210"/>
        <v>2.5822385457076303E-10</v>
      </c>
      <c r="EG79" s="192">
        <f t="shared" si="210"/>
        <v>2.6080609311647064E-10</v>
      </c>
      <c r="EH79" s="192">
        <f t="shared" si="210"/>
        <v>2.6341415404763535E-10</v>
      </c>
      <c r="EI79" s="192">
        <f t="shared" si="210"/>
        <v>2.660482955881117E-10</v>
      </c>
      <c r="EJ79" s="192">
        <f t="shared" si="210"/>
        <v>2.687087785439928E-10</v>
      </c>
      <c r="EK79" s="192">
        <f t="shared" si="210"/>
        <v>2.7139586632943274E-10</v>
      </c>
      <c r="EL79" s="192">
        <f t="shared" si="210"/>
        <v>2.7410982499272706E-10</v>
      </c>
      <c r="EM79" s="192">
        <f t="shared" si="210"/>
        <v>2.7685092324265434E-10</v>
      </c>
      <c r="EN79" s="192">
        <f t="shared" si="210"/>
        <v>2.7961943247508089E-10</v>
      </c>
      <c r="EO79" s="192">
        <f t="shared" si="210"/>
        <v>2.8241562679983168E-10</v>
      </c>
      <c r="EP79" s="192">
        <f t="shared" si="210"/>
        <v>2.8523978306783002E-10</v>
      </c>
      <c r="EQ79" s="192">
        <f t="shared" si="210"/>
        <v>2.8809218089850832E-10</v>
      </c>
      <c r="ER79" s="192">
        <f t="shared" si="210"/>
        <v>2.9097310270749339E-10</v>
      </c>
      <c r="ES79" s="192">
        <f t="shared" si="210"/>
        <v>2.9388283373456833E-10</v>
      </c>
      <c r="ET79" s="192">
        <f t="shared" si="210"/>
        <v>2.96821662071914E-10</v>
      </c>
      <c r="EU79" s="192">
        <f t="shared" si="210"/>
        <v>2.9978987869263312E-10</v>
      </c>
      <c r="EV79" s="192">
        <f t="shared" si="210"/>
        <v>3.0278777747955946E-10</v>
      </c>
      <c r="EW79" s="192">
        <f t="shared" si="210"/>
        <v>3.0581565525435506E-10</v>
      </c>
      <c r="EX79" s="192">
        <f t="shared" si="210"/>
        <v>3.0887381180689861E-10</v>
      </c>
      <c r="EY79" s="192">
        <f t="shared" si="210"/>
        <v>3.119625499249676E-10</v>
      </c>
      <c r="EZ79" s="192">
        <f t="shared" si="210"/>
        <v>3.1508217542421728E-10</v>
      </c>
      <c r="FA79" s="192">
        <f t="shared" si="210"/>
        <v>3.1823299717845945E-10</v>
      </c>
      <c r="FB79" s="192">
        <f t="shared" si="210"/>
        <v>3.2141532715024403E-10</v>
      </c>
      <c r="FC79" s="192">
        <f t="shared" si="210"/>
        <v>3.2462948042174647E-10</v>
      </c>
      <c r="FD79" s="192">
        <f t="shared" si="210"/>
        <v>3.2787577522596393E-10</v>
      </c>
      <c r="FE79" s="192">
        <f t="shared" si="210"/>
        <v>3.3115453297822358E-10</v>
      </c>
      <c r="FF79" s="192">
        <f t="shared" si="210"/>
        <v>3.3446607830800583E-10</v>
      </c>
      <c r="FG79" s="192">
        <f t="shared" si="210"/>
        <v>3.3781073909108586E-10</v>
      </c>
      <c r="FH79" s="192">
        <f t="shared" si="210"/>
        <v>3.411888464819967E-10</v>
      </c>
      <c r="FI79" s="192">
        <f t="shared" si="210"/>
        <v>3.4460073494681668E-10</v>
      </c>
      <c r="FJ79" s="192">
        <f t="shared" si="210"/>
        <v>3.4804674229628482E-10</v>
      </c>
      <c r="FK79" s="192">
        <f t="shared" si="210"/>
        <v>3.5152720971924767E-10</v>
      </c>
      <c r="FL79" s="192">
        <f t="shared" si="210"/>
        <v>3.5504248181644016E-10</v>
      </c>
      <c r="FM79" s="192">
        <f t="shared" si="210"/>
        <v>3.5859290663460455E-10</v>
      </c>
      <c r="FN79" s="192">
        <f t="shared" si="210"/>
        <v>3.6217883570095059E-10</v>
      </c>
      <c r="FO79" s="192">
        <f t="shared" si="210"/>
        <v>3.658006240579601E-10</v>
      </c>
      <c r="FP79" s="192">
        <f t="shared" si="210"/>
        <v>3.694586302985397E-10</v>
      </c>
      <c r="FQ79" s="192">
        <f t="shared" si="210"/>
        <v>3.7315321660152512E-10</v>
      </c>
      <c r="FR79" s="192">
        <f t="shared" si="210"/>
        <v>3.7688474876754034E-10</v>
      </c>
      <c r="FS79" s="192">
        <f t="shared" si="210"/>
        <v>3.8065359625521573E-10</v>
      </c>
      <c r="FT79" s="192">
        <f t="shared" si="210"/>
        <v>3.8446013221776789E-10</v>
      </c>
      <c r="FU79" s="192">
        <f t="shared" si="210"/>
        <v>3.8830473353994556E-10</v>
      </c>
      <c r="FV79" s="192">
        <f t="shared" si="210"/>
        <v>3.9218778087534502E-10</v>
      </c>
      <c r="FW79" s="192">
        <f t="shared" si="210"/>
        <v>3.9610965868409846E-10</v>
      </c>
      <c r="FX79" s="192">
        <f t="shared" si="210"/>
        <v>4.0007075527093944E-10</v>
      </c>
      <c r="FY79" s="192">
        <f t="shared" si="210"/>
        <v>4.0407146282364882E-10</v>
      </c>
      <c r="FZ79" s="192">
        <f t="shared" si="210"/>
        <v>4.0811217745188531E-10</v>
      </c>
    </row>
    <row r="80" spans="1:182" outlineLevel="1" x14ac:dyDescent="0.2">
      <c r="A80" s="24" t="s">
        <v>231</v>
      </c>
      <c r="B80" s="192">
        <f>SUM(C80:EP80)</f>
        <v>314499.14682706387</v>
      </c>
      <c r="C80" s="192">
        <v>0</v>
      </c>
      <c r="D80" s="192">
        <f>+IF(C79=0,0,IF(D4&gt;$B$75+$B$77,0,$B$76))</f>
        <v>0</v>
      </c>
      <c r="E80" s="192">
        <f t="shared" ref="E80:BP80" si="211">+IF(D79=0,0,IF(E4&gt;$B$75+$B$77,0,$B$76))</f>
        <v>0</v>
      </c>
      <c r="F80" s="192">
        <f t="shared" si="211"/>
        <v>0</v>
      </c>
      <c r="G80" s="192">
        <f t="shared" si="211"/>
        <v>0</v>
      </c>
      <c r="H80" s="192">
        <f t="shared" si="211"/>
        <v>0</v>
      </c>
      <c r="I80" s="192">
        <f t="shared" si="211"/>
        <v>0</v>
      </c>
      <c r="J80" s="192">
        <f t="shared" si="211"/>
        <v>0</v>
      </c>
      <c r="K80" s="192">
        <f t="shared" si="211"/>
        <v>0</v>
      </c>
      <c r="L80" s="192">
        <f t="shared" si="211"/>
        <v>0</v>
      </c>
      <c r="M80" s="192">
        <f t="shared" si="211"/>
        <v>0</v>
      </c>
      <c r="N80" s="192">
        <f t="shared" si="211"/>
        <v>0</v>
      </c>
      <c r="O80" s="192">
        <f t="shared" si="211"/>
        <v>0</v>
      </c>
      <c r="P80" s="192">
        <f t="shared" si="211"/>
        <v>0</v>
      </c>
      <c r="Q80" s="192">
        <f t="shared" si="211"/>
        <v>0</v>
      </c>
      <c r="R80" s="192">
        <f t="shared" si="211"/>
        <v>0</v>
      </c>
      <c r="S80" s="192">
        <f t="shared" si="211"/>
        <v>0</v>
      </c>
      <c r="T80" s="192">
        <f t="shared" si="211"/>
        <v>0</v>
      </c>
      <c r="U80" s="192">
        <f t="shared" si="211"/>
        <v>0</v>
      </c>
      <c r="V80" s="192">
        <f t="shared" si="211"/>
        <v>0</v>
      </c>
      <c r="W80" s="192">
        <f t="shared" si="211"/>
        <v>0</v>
      </c>
      <c r="X80" s="192">
        <f t="shared" si="211"/>
        <v>0</v>
      </c>
      <c r="Y80" s="192">
        <f t="shared" si="211"/>
        <v>0</v>
      </c>
      <c r="Z80" s="192">
        <f t="shared" si="211"/>
        <v>0</v>
      </c>
      <c r="AA80" s="192">
        <f t="shared" si="211"/>
        <v>0</v>
      </c>
      <c r="AB80" s="192">
        <f t="shared" si="211"/>
        <v>0</v>
      </c>
      <c r="AC80" s="192">
        <f t="shared" si="211"/>
        <v>0</v>
      </c>
      <c r="AD80" s="192">
        <f t="shared" si="211"/>
        <v>0</v>
      </c>
      <c r="AE80" s="192">
        <f t="shared" si="211"/>
        <v>0</v>
      </c>
      <c r="AF80" s="192">
        <f t="shared" si="211"/>
        <v>0</v>
      </c>
      <c r="AG80" s="192">
        <f t="shared" si="211"/>
        <v>0</v>
      </c>
      <c r="AH80" s="192">
        <f t="shared" si="211"/>
        <v>0</v>
      </c>
      <c r="AI80" s="192">
        <f t="shared" si="211"/>
        <v>0</v>
      </c>
      <c r="AJ80" s="192">
        <f t="shared" si="211"/>
        <v>0</v>
      </c>
      <c r="AK80" s="192">
        <f t="shared" si="211"/>
        <v>0</v>
      </c>
      <c r="AL80" s="192">
        <f t="shared" si="211"/>
        <v>0</v>
      </c>
      <c r="AM80" s="192">
        <f t="shared" si="211"/>
        <v>0</v>
      </c>
      <c r="AN80" s="192">
        <f t="shared" si="211"/>
        <v>0</v>
      </c>
      <c r="AO80" s="192">
        <f t="shared" si="211"/>
        <v>0</v>
      </c>
      <c r="AP80" s="192">
        <f t="shared" si="211"/>
        <v>0</v>
      </c>
      <c r="AQ80" s="192">
        <f t="shared" si="211"/>
        <v>0</v>
      </c>
      <c r="AR80" s="192">
        <f t="shared" si="211"/>
        <v>0</v>
      </c>
      <c r="AS80" s="192">
        <f t="shared" si="211"/>
        <v>0</v>
      </c>
      <c r="AT80" s="192">
        <f t="shared" si="211"/>
        <v>0</v>
      </c>
      <c r="AU80" s="192">
        <f t="shared" si="211"/>
        <v>0</v>
      </c>
      <c r="AV80" s="192">
        <f t="shared" si="211"/>
        <v>0</v>
      </c>
      <c r="AW80" s="192">
        <f t="shared" si="211"/>
        <v>0</v>
      </c>
      <c r="AX80" s="192">
        <f t="shared" si="211"/>
        <v>0</v>
      </c>
      <c r="AY80" s="192">
        <f t="shared" si="211"/>
        <v>0</v>
      </c>
      <c r="AZ80" s="192">
        <f t="shared" si="211"/>
        <v>0</v>
      </c>
      <c r="BA80" s="192">
        <f t="shared" si="211"/>
        <v>0</v>
      </c>
      <c r="BB80" s="192">
        <f t="shared" si="211"/>
        <v>0</v>
      </c>
      <c r="BC80" s="192">
        <f t="shared" si="211"/>
        <v>0</v>
      </c>
      <c r="BD80" s="192">
        <f t="shared" si="211"/>
        <v>0</v>
      </c>
      <c r="BE80" s="192">
        <f t="shared" si="211"/>
        <v>0</v>
      </c>
      <c r="BF80" s="192">
        <f t="shared" si="211"/>
        <v>0</v>
      </c>
      <c r="BG80" s="192">
        <f t="shared" si="211"/>
        <v>0</v>
      </c>
      <c r="BH80" s="192">
        <f t="shared" si="211"/>
        <v>0</v>
      </c>
      <c r="BI80" s="192">
        <f t="shared" si="211"/>
        <v>0</v>
      </c>
      <c r="BJ80" s="192">
        <f t="shared" si="211"/>
        <v>0</v>
      </c>
      <c r="BK80" s="192">
        <f t="shared" si="211"/>
        <v>5241.6524471177381</v>
      </c>
      <c r="BL80" s="192">
        <f t="shared" si="211"/>
        <v>5241.6524471177381</v>
      </c>
      <c r="BM80" s="192">
        <f t="shared" si="211"/>
        <v>5241.6524471177381</v>
      </c>
      <c r="BN80" s="192">
        <f t="shared" si="211"/>
        <v>5241.6524471177381</v>
      </c>
      <c r="BO80" s="192">
        <f t="shared" si="211"/>
        <v>5241.6524471177381</v>
      </c>
      <c r="BP80" s="192">
        <f t="shared" si="211"/>
        <v>5241.6524471177381</v>
      </c>
      <c r="BQ80" s="192">
        <f t="shared" ref="BQ80:EB80" si="212">+IF(BP79=0,0,IF(BQ4&gt;$B$75+$B$77,0,$B$76))</f>
        <v>5241.6524471177381</v>
      </c>
      <c r="BR80" s="192">
        <f t="shared" si="212"/>
        <v>5241.6524471177381</v>
      </c>
      <c r="BS80" s="192">
        <f t="shared" si="212"/>
        <v>5241.6524471177381</v>
      </c>
      <c r="BT80" s="192">
        <f t="shared" si="212"/>
        <v>5241.6524471177381</v>
      </c>
      <c r="BU80" s="192">
        <f t="shared" si="212"/>
        <v>5241.6524471177381</v>
      </c>
      <c r="BV80" s="192">
        <f t="shared" si="212"/>
        <v>5241.6524471177381</v>
      </c>
      <c r="BW80" s="192">
        <f t="shared" si="212"/>
        <v>5241.6524471177381</v>
      </c>
      <c r="BX80" s="192">
        <f t="shared" si="212"/>
        <v>5241.6524471177381</v>
      </c>
      <c r="BY80" s="192">
        <f t="shared" si="212"/>
        <v>5241.6524471177381</v>
      </c>
      <c r="BZ80" s="192">
        <f t="shared" si="212"/>
        <v>5241.6524471177381</v>
      </c>
      <c r="CA80" s="192">
        <f t="shared" si="212"/>
        <v>5241.6524471177381</v>
      </c>
      <c r="CB80" s="192">
        <f t="shared" si="212"/>
        <v>5241.6524471177381</v>
      </c>
      <c r="CC80" s="192">
        <f t="shared" si="212"/>
        <v>5241.6524471177381</v>
      </c>
      <c r="CD80" s="192">
        <f t="shared" si="212"/>
        <v>5241.6524471177381</v>
      </c>
      <c r="CE80" s="192">
        <f t="shared" si="212"/>
        <v>5241.6524471177381</v>
      </c>
      <c r="CF80" s="192">
        <f t="shared" si="212"/>
        <v>5241.6524471177381</v>
      </c>
      <c r="CG80" s="192">
        <f t="shared" si="212"/>
        <v>5241.6524471177381</v>
      </c>
      <c r="CH80" s="192">
        <f t="shared" si="212"/>
        <v>5241.6524471177381</v>
      </c>
      <c r="CI80" s="192">
        <f t="shared" si="212"/>
        <v>5241.6524471177381</v>
      </c>
      <c r="CJ80" s="192">
        <f t="shared" si="212"/>
        <v>5241.6524471177381</v>
      </c>
      <c r="CK80" s="192">
        <f t="shared" si="212"/>
        <v>5241.6524471177381</v>
      </c>
      <c r="CL80" s="192">
        <f t="shared" si="212"/>
        <v>5241.6524471177381</v>
      </c>
      <c r="CM80" s="192">
        <f t="shared" si="212"/>
        <v>5241.6524471177381</v>
      </c>
      <c r="CN80" s="192">
        <f t="shared" si="212"/>
        <v>5241.6524471177381</v>
      </c>
      <c r="CO80" s="192">
        <f t="shared" si="212"/>
        <v>5241.6524471177381</v>
      </c>
      <c r="CP80" s="192">
        <f t="shared" si="212"/>
        <v>5241.6524471177381</v>
      </c>
      <c r="CQ80" s="192">
        <f t="shared" si="212"/>
        <v>5241.6524471177381</v>
      </c>
      <c r="CR80" s="192">
        <f t="shared" si="212"/>
        <v>5241.6524471177381</v>
      </c>
      <c r="CS80" s="192">
        <f t="shared" si="212"/>
        <v>5241.6524471177381</v>
      </c>
      <c r="CT80" s="192">
        <f t="shared" si="212"/>
        <v>5241.6524471177381</v>
      </c>
      <c r="CU80" s="192">
        <f t="shared" si="212"/>
        <v>5241.6524471177381</v>
      </c>
      <c r="CV80" s="192">
        <f t="shared" si="212"/>
        <v>5241.6524471177381</v>
      </c>
      <c r="CW80" s="192">
        <f t="shared" si="212"/>
        <v>5241.6524471177381</v>
      </c>
      <c r="CX80" s="192">
        <f t="shared" si="212"/>
        <v>5241.6524471177381</v>
      </c>
      <c r="CY80" s="192">
        <f t="shared" si="212"/>
        <v>5241.6524471177381</v>
      </c>
      <c r="CZ80" s="192">
        <f t="shared" si="212"/>
        <v>5241.6524471177381</v>
      </c>
      <c r="DA80" s="192">
        <f t="shared" si="212"/>
        <v>5241.6524471177381</v>
      </c>
      <c r="DB80" s="192">
        <f t="shared" si="212"/>
        <v>5241.6524471177381</v>
      </c>
      <c r="DC80" s="192">
        <f t="shared" si="212"/>
        <v>5241.6524471177381</v>
      </c>
      <c r="DD80" s="192">
        <f t="shared" si="212"/>
        <v>5241.6524471177381</v>
      </c>
      <c r="DE80" s="192">
        <f t="shared" si="212"/>
        <v>5241.6524471177381</v>
      </c>
      <c r="DF80" s="192">
        <f t="shared" si="212"/>
        <v>5241.6524471177381</v>
      </c>
      <c r="DG80" s="192">
        <f t="shared" si="212"/>
        <v>5241.6524471177381</v>
      </c>
      <c r="DH80" s="192">
        <f t="shared" si="212"/>
        <v>5241.6524471177381</v>
      </c>
      <c r="DI80" s="192">
        <f t="shared" si="212"/>
        <v>5241.6524471177381</v>
      </c>
      <c r="DJ80" s="192">
        <f t="shared" si="212"/>
        <v>5241.6524471177381</v>
      </c>
      <c r="DK80" s="192">
        <f t="shared" si="212"/>
        <v>5241.6524471177381</v>
      </c>
      <c r="DL80" s="192">
        <f t="shared" si="212"/>
        <v>5241.6524471177381</v>
      </c>
      <c r="DM80" s="192">
        <f t="shared" si="212"/>
        <v>5241.6524471177381</v>
      </c>
      <c r="DN80" s="192">
        <f t="shared" si="212"/>
        <v>5241.6524471177381</v>
      </c>
      <c r="DO80" s="192">
        <f t="shared" si="212"/>
        <v>5241.6524471177381</v>
      </c>
      <c r="DP80" s="192">
        <f t="shared" si="212"/>
        <v>5241.6524471177381</v>
      </c>
      <c r="DQ80" s="192">
        <f t="shared" si="212"/>
        <v>5241.6524471177381</v>
      </c>
      <c r="DR80" s="192">
        <f t="shared" si="212"/>
        <v>5241.6524471177381</v>
      </c>
      <c r="DS80" s="192">
        <f t="shared" si="212"/>
        <v>0</v>
      </c>
      <c r="DT80" s="192">
        <f t="shared" si="212"/>
        <v>0</v>
      </c>
      <c r="DU80" s="192">
        <f t="shared" si="212"/>
        <v>0</v>
      </c>
      <c r="DV80" s="192">
        <f t="shared" si="212"/>
        <v>0</v>
      </c>
      <c r="DW80" s="192">
        <f t="shared" si="212"/>
        <v>0</v>
      </c>
      <c r="DX80" s="192">
        <f t="shared" si="212"/>
        <v>0</v>
      </c>
      <c r="DY80" s="192">
        <f t="shared" si="212"/>
        <v>0</v>
      </c>
      <c r="DZ80" s="192">
        <f t="shared" si="212"/>
        <v>0</v>
      </c>
      <c r="EA80" s="192">
        <f t="shared" si="212"/>
        <v>0</v>
      </c>
      <c r="EB80" s="192">
        <f t="shared" si="212"/>
        <v>0</v>
      </c>
      <c r="EC80" s="192">
        <f t="shared" ref="EC80:FZ80" si="213">+IF(EB79=0,0,IF(EC4&gt;$B$75+$B$77,0,$B$76))</f>
        <v>0</v>
      </c>
      <c r="ED80" s="192">
        <f t="shared" si="213"/>
        <v>0</v>
      </c>
      <c r="EE80" s="192">
        <f t="shared" si="213"/>
        <v>0</v>
      </c>
      <c r="EF80" s="192">
        <f t="shared" si="213"/>
        <v>0</v>
      </c>
      <c r="EG80" s="192">
        <f t="shared" si="213"/>
        <v>0</v>
      </c>
      <c r="EH80" s="192">
        <f t="shared" si="213"/>
        <v>0</v>
      </c>
      <c r="EI80" s="192">
        <f t="shared" si="213"/>
        <v>0</v>
      </c>
      <c r="EJ80" s="192">
        <f t="shared" si="213"/>
        <v>0</v>
      </c>
      <c r="EK80" s="192">
        <f t="shared" si="213"/>
        <v>0</v>
      </c>
      <c r="EL80" s="192">
        <f t="shared" si="213"/>
        <v>0</v>
      </c>
      <c r="EM80" s="192">
        <f t="shared" si="213"/>
        <v>0</v>
      </c>
      <c r="EN80" s="192">
        <f t="shared" si="213"/>
        <v>0</v>
      </c>
      <c r="EO80" s="192">
        <f t="shared" si="213"/>
        <v>0</v>
      </c>
      <c r="EP80" s="192">
        <f t="shared" si="213"/>
        <v>0</v>
      </c>
      <c r="EQ80" s="192">
        <f t="shared" si="213"/>
        <v>0</v>
      </c>
      <c r="ER80" s="192">
        <f t="shared" si="213"/>
        <v>0</v>
      </c>
      <c r="ES80" s="192">
        <f t="shared" si="213"/>
        <v>0</v>
      </c>
      <c r="ET80" s="192">
        <f t="shared" si="213"/>
        <v>0</v>
      </c>
      <c r="EU80" s="192">
        <f t="shared" si="213"/>
        <v>0</v>
      </c>
      <c r="EV80" s="192">
        <f t="shared" si="213"/>
        <v>0</v>
      </c>
      <c r="EW80" s="192">
        <f t="shared" si="213"/>
        <v>0</v>
      </c>
      <c r="EX80" s="192">
        <f t="shared" si="213"/>
        <v>0</v>
      </c>
      <c r="EY80" s="192">
        <f t="shared" si="213"/>
        <v>0</v>
      </c>
      <c r="EZ80" s="192">
        <f t="shared" si="213"/>
        <v>0</v>
      </c>
      <c r="FA80" s="192">
        <f t="shared" si="213"/>
        <v>0</v>
      </c>
      <c r="FB80" s="192">
        <f t="shared" si="213"/>
        <v>0</v>
      </c>
      <c r="FC80" s="192">
        <f t="shared" si="213"/>
        <v>0</v>
      </c>
      <c r="FD80" s="192">
        <f t="shared" si="213"/>
        <v>0</v>
      </c>
      <c r="FE80" s="192">
        <f t="shared" si="213"/>
        <v>0</v>
      </c>
      <c r="FF80" s="192">
        <f t="shared" si="213"/>
        <v>0</v>
      </c>
      <c r="FG80" s="192">
        <f t="shared" si="213"/>
        <v>0</v>
      </c>
      <c r="FH80" s="192">
        <f t="shared" si="213"/>
        <v>0</v>
      </c>
      <c r="FI80" s="192">
        <f t="shared" si="213"/>
        <v>0</v>
      </c>
      <c r="FJ80" s="192">
        <f t="shared" si="213"/>
        <v>0</v>
      </c>
      <c r="FK80" s="192">
        <f t="shared" si="213"/>
        <v>0</v>
      </c>
      <c r="FL80" s="192">
        <f t="shared" si="213"/>
        <v>0</v>
      </c>
      <c r="FM80" s="192">
        <f t="shared" si="213"/>
        <v>0</v>
      </c>
      <c r="FN80" s="192">
        <f t="shared" si="213"/>
        <v>0</v>
      </c>
      <c r="FO80" s="192">
        <f t="shared" si="213"/>
        <v>0</v>
      </c>
      <c r="FP80" s="192">
        <f t="shared" si="213"/>
        <v>0</v>
      </c>
      <c r="FQ80" s="192">
        <f t="shared" si="213"/>
        <v>0</v>
      </c>
      <c r="FR80" s="192">
        <f t="shared" si="213"/>
        <v>0</v>
      </c>
      <c r="FS80" s="192">
        <f t="shared" si="213"/>
        <v>0</v>
      </c>
      <c r="FT80" s="192">
        <f t="shared" si="213"/>
        <v>0</v>
      </c>
      <c r="FU80" s="192">
        <f t="shared" si="213"/>
        <v>0</v>
      </c>
      <c r="FV80" s="192">
        <f t="shared" si="213"/>
        <v>0</v>
      </c>
      <c r="FW80" s="192">
        <f t="shared" si="213"/>
        <v>0</v>
      </c>
      <c r="FX80" s="192">
        <f t="shared" si="213"/>
        <v>0</v>
      </c>
      <c r="FY80" s="192">
        <f t="shared" si="213"/>
        <v>0</v>
      </c>
      <c r="FZ80" s="192">
        <f t="shared" si="213"/>
        <v>0</v>
      </c>
    </row>
    <row r="81" spans="1:182" outlineLevel="1" x14ac:dyDescent="0.2">
      <c r="A81" s="24" t="s">
        <v>233</v>
      </c>
      <c r="B81" s="192">
        <f>SUM(C81:DR81)</f>
        <v>78860.459754808398</v>
      </c>
      <c r="C81" s="192">
        <v>0</v>
      </c>
      <c r="D81" s="192">
        <f>+C79*($B$74/12)</f>
        <v>0</v>
      </c>
      <c r="E81" s="192">
        <f t="shared" ref="E81:BP81" si="214">+D79*($B$74/12)</f>
        <v>0</v>
      </c>
      <c r="F81" s="192">
        <f t="shared" si="214"/>
        <v>0</v>
      </c>
      <c r="G81" s="192">
        <f t="shared" si="214"/>
        <v>0</v>
      </c>
      <c r="H81" s="192">
        <f t="shared" si="214"/>
        <v>0</v>
      </c>
      <c r="I81" s="192">
        <f t="shared" si="214"/>
        <v>0</v>
      </c>
      <c r="J81" s="192">
        <f t="shared" si="214"/>
        <v>0</v>
      </c>
      <c r="K81" s="192">
        <f t="shared" si="214"/>
        <v>0</v>
      </c>
      <c r="L81" s="192">
        <f t="shared" si="214"/>
        <v>0</v>
      </c>
      <c r="M81" s="192">
        <f t="shared" si="214"/>
        <v>0</v>
      </c>
      <c r="N81" s="192">
        <f t="shared" si="214"/>
        <v>0</v>
      </c>
      <c r="O81" s="192">
        <f t="shared" si="214"/>
        <v>0</v>
      </c>
      <c r="P81" s="192">
        <f t="shared" si="214"/>
        <v>0</v>
      </c>
      <c r="Q81" s="192">
        <f t="shared" si="214"/>
        <v>0</v>
      </c>
      <c r="R81" s="192">
        <f t="shared" si="214"/>
        <v>0</v>
      </c>
      <c r="S81" s="192">
        <f t="shared" si="214"/>
        <v>0</v>
      </c>
      <c r="T81" s="192">
        <f t="shared" si="214"/>
        <v>0</v>
      </c>
      <c r="U81" s="192">
        <f t="shared" si="214"/>
        <v>0</v>
      </c>
      <c r="V81" s="192">
        <f t="shared" si="214"/>
        <v>0</v>
      </c>
      <c r="W81" s="192">
        <f t="shared" si="214"/>
        <v>0</v>
      </c>
      <c r="X81" s="192">
        <f t="shared" si="214"/>
        <v>0</v>
      </c>
      <c r="Y81" s="192">
        <f t="shared" si="214"/>
        <v>0</v>
      </c>
      <c r="Z81" s="192">
        <f t="shared" si="214"/>
        <v>0</v>
      </c>
      <c r="AA81" s="192">
        <f t="shared" si="214"/>
        <v>0</v>
      </c>
      <c r="AB81" s="192">
        <f t="shared" si="214"/>
        <v>0</v>
      </c>
      <c r="AC81" s="192">
        <f t="shared" si="214"/>
        <v>0</v>
      </c>
      <c r="AD81" s="192">
        <f t="shared" si="214"/>
        <v>0</v>
      </c>
      <c r="AE81" s="192">
        <f t="shared" si="214"/>
        <v>0</v>
      </c>
      <c r="AF81" s="192">
        <f t="shared" si="214"/>
        <v>0</v>
      </c>
      <c r="AG81" s="192">
        <f t="shared" si="214"/>
        <v>0</v>
      </c>
      <c r="AH81" s="192">
        <f t="shared" si="214"/>
        <v>0</v>
      </c>
      <c r="AI81" s="192">
        <f t="shared" si="214"/>
        <v>0</v>
      </c>
      <c r="AJ81" s="192">
        <f t="shared" si="214"/>
        <v>0</v>
      </c>
      <c r="AK81" s="192">
        <f t="shared" si="214"/>
        <v>0</v>
      </c>
      <c r="AL81" s="192">
        <f t="shared" si="214"/>
        <v>0</v>
      </c>
      <c r="AM81" s="192">
        <f t="shared" si="214"/>
        <v>0</v>
      </c>
      <c r="AN81" s="192">
        <f t="shared" si="214"/>
        <v>0</v>
      </c>
      <c r="AO81" s="192">
        <f t="shared" si="214"/>
        <v>0</v>
      </c>
      <c r="AP81" s="192">
        <f t="shared" si="214"/>
        <v>0</v>
      </c>
      <c r="AQ81" s="192">
        <f t="shared" si="214"/>
        <v>0</v>
      </c>
      <c r="AR81" s="192">
        <f t="shared" si="214"/>
        <v>0</v>
      </c>
      <c r="AS81" s="192">
        <f t="shared" si="214"/>
        <v>0</v>
      </c>
      <c r="AT81" s="192">
        <f t="shared" si="214"/>
        <v>0</v>
      </c>
      <c r="AU81" s="192">
        <f t="shared" si="214"/>
        <v>0</v>
      </c>
      <c r="AV81" s="192">
        <f t="shared" si="214"/>
        <v>0</v>
      </c>
      <c r="AW81" s="192">
        <f t="shared" si="214"/>
        <v>0</v>
      </c>
      <c r="AX81" s="192">
        <f t="shared" si="214"/>
        <v>0</v>
      </c>
      <c r="AY81" s="192">
        <f t="shared" si="214"/>
        <v>0</v>
      </c>
      <c r="AZ81" s="192">
        <f t="shared" si="214"/>
        <v>0</v>
      </c>
      <c r="BA81" s="192">
        <f t="shared" si="214"/>
        <v>0</v>
      </c>
      <c r="BB81" s="192">
        <f t="shared" si="214"/>
        <v>0</v>
      </c>
      <c r="BC81" s="192">
        <f t="shared" si="214"/>
        <v>0</v>
      </c>
      <c r="BD81" s="192">
        <f t="shared" si="214"/>
        <v>0</v>
      </c>
      <c r="BE81" s="192">
        <f t="shared" si="214"/>
        <v>0</v>
      </c>
      <c r="BF81" s="192">
        <f t="shared" si="214"/>
        <v>0</v>
      </c>
      <c r="BG81" s="192">
        <f t="shared" si="214"/>
        <v>0</v>
      </c>
      <c r="BH81" s="192">
        <f t="shared" si="214"/>
        <v>0</v>
      </c>
      <c r="BI81" s="192">
        <f t="shared" si="214"/>
        <v>0</v>
      </c>
      <c r="BJ81" s="192">
        <f t="shared" si="214"/>
        <v>0</v>
      </c>
      <c r="BK81" s="192">
        <f t="shared" si="214"/>
        <v>2356.3868707225602</v>
      </c>
      <c r="BL81" s="192">
        <f t="shared" si="214"/>
        <v>2327.5342149586081</v>
      </c>
      <c r="BM81" s="192">
        <f t="shared" si="214"/>
        <v>2298.3930326370169</v>
      </c>
      <c r="BN81" s="192">
        <f t="shared" si="214"/>
        <v>2268.96043849221</v>
      </c>
      <c r="BO81" s="192">
        <f t="shared" si="214"/>
        <v>2239.2335184059548</v>
      </c>
      <c r="BP81" s="192">
        <f t="shared" si="214"/>
        <v>2209.2093291188366</v>
      </c>
      <c r="BQ81" s="192">
        <f t="shared" ref="BQ81:EB81" si="215">+BP79*($B$74/12)</f>
        <v>2178.8848979388476</v>
      </c>
      <c r="BR81" s="192">
        <f t="shared" si="215"/>
        <v>2148.2572224470591</v>
      </c>
      <c r="BS81" s="192">
        <f t="shared" si="215"/>
        <v>2117.323270200352</v>
      </c>
      <c r="BT81" s="192">
        <f t="shared" si="215"/>
        <v>2086.0799784311785</v>
      </c>
      <c r="BU81" s="192">
        <f t="shared" si="215"/>
        <v>2054.5242537443128</v>
      </c>
      <c r="BV81" s="192">
        <f t="shared" si="215"/>
        <v>2022.6529718105787</v>
      </c>
      <c r="BW81" s="192">
        <f t="shared" si="215"/>
        <v>1990.462977057507</v>
      </c>
      <c r="BX81" s="192">
        <f t="shared" si="215"/>
        <v>1957.9510823569049</v>
      </c>
      <c r="BY81" s="192">
        <f t="shared" si="215"/>
        <v>1925.1140687092964</v>
      </c>
      <c r="BZ81" s="192">
        <f t="shared" si="215"/>
        <v>1891.9486849252121</v>
      </c>
      <c r="CA81" s="192">
        <f t="shared" si="215"/>
        <v>1858.451647303287</v>
      </c>
      <c r="CB81" s="192">
        <f t="shared" si="215"/>
        <v>1824.6196393051423</v>
      </c>
      <c r="CC81" s="192">
        <f t="shared" si="215"/>
        <v>1790.4493112270166</v>
      </c>
      <c r="CD81" s="192">
        <f t="shared" si="215"/>
        <v>1755.9372798681093</v>
      </c>
      <c r="CE81" s="192">
        <f t="shared" si="215"/>
        <v>1721.080128195613</v>
      </c>
      <c r="CF81" s="192">
        <f t="shared" si="215"/>
        <v>1685.8744050063917</v>
      </c>
      <c r="CG81" s="192">
        <f t="shared" si="215"/>
        <v>1650.3166245852783</v>
      </c>
      <c r="CH81" s="192">
        <f t="shared" si="215"/>
        <v>1614.4032663599539</v>
      </c>
      <c r="CI81" s="192">
        <f t="shared" si="215"/>
        <v>1578.1307745523759</v>
      </c>
      <c r="CJ81" s="192">
        <f t="shared" si="215"/>
        <v>1541.4955578267222</v>
      </c>
      <c r="CK81" s="192">
        <f t="shared" si="215"/>
        <v>1504.493988933812</v>
      </c>
      <c r="CL81" s="192">
        <f t="shared" si="215"/>
        <v>1467.1224043519728</v>
      </c>
      <c r="CM81" s="192">
        <f t="shared" si="215"/>
        <v>1429.377103924315</v>
      </c>
      <c r="CN81" s="192">
        <f t="shared" si="215"/>
        <v>1391.254350492381</v>
      </c>
      <c r="CO81" s="192">
        <f t="shared" si="215"/>
        <v>1352.7503695261275</v>
      </c>
      <c r="CP81" s="192">
        <f t="shared" si="215"/>
        <v>1313.8613487502114</v>
      </c>
      <c r="CQ81" s="192">
        <f t="shared" si="215"/>
        <v>1274.5834377665362</v>
      </c>
      <c r="CR81" s="192">
        <f t="shared" si="215"/>
        <v>1234.9127476730241</v>
      </c>
      <c r="CS81" s="192">
        <f t="shared" si="215"/>
        <v>1194.845350678577</v>
      </c>
      <c r="CT81" s="192">
        <f t="shared" si="215"/>
        <v>1154.3772797141853</v>
      </c>
      <c r="CU81" s="192">
        <f t="shared" si="215"/>
        <v>1113.5045280401498</v>
      </c>
      <c r="CV81" s="192">
        <f t="shared" si="215"/>
        <v>1072.223048849374</v>
      </c>
      <c r="CW81" s="192">
        <f t="shared" si="215"/>
        <v>1030.5287548666904</v>
      </c>
      <c r="CX81" s="192">
        <f t="shared" si="215"/>
        <v>988.41751794417985</v>
      </c>
      <c r="CY81" s="192">
        <f t="shared" si="215"/>
        <v>945.88516865244424</v>
      </c>
      <c r="CZ81" s="192">
        <f t="shared" si="215"/>
        <v>902.92749586779132</v>
      </c>
      <c r="DA81" s="192">
        <f t="shared" si="215"/>
        <v>859.54024635529186</v>
      </c>
      <c r="DB81" s="192">
        <f t="shared" si="215"/>
        <v>815.71912434766739</v>
      </c>
      <c r="DC81" s="192">
        <f t="shared" si="215"/>
        <v>771.45979111996667</v>
      </c>
      <c r="DD81" s="192">
        <f t="shared" si="215"/>
        <v>726.757864559989</v>
      </c>
      <c r="DE81" s="192">
        <f t="shared" si="215"/>
        <v>681.60891873441142</v>
      </c>
      <c r="DF81" s="192">
        <f t="shared" si="215"/>
        <v>636.00848345057818</v>
      </c>
      <c r="DG81" s="192">
        <f t="shared" si="215"/>
        <v>589.95204381390647</v>
      </c>
      <c r="DH81" s="192">
        <f t="shared" si="215"/>
        <v>543.43503978086824</v>
      </c>
      <c r="DI81" s="192">
        <f t="shared" si="215"/>
        <v>496.45286570749943</v>
      </c>
      <c r="DJ81" s="192">
        <f t="shared" si="215"/>
        <v>449.00086989339707</v>
      </c>
      <c r="DK81" s="192">
        <f t="shared" si="215"/>
        <v>401.07435412115359</v>
      </c>
      <c r="DL81" s="192">
        <f t="shared" si="215"/>
        <v>352.66857319118776</v>
      </c>
      <c r="DM81" s="192">
        <f t="shared" si="215"/>
        <v>303.77873445192228</v>
      </c>
      <c r="DN81" s="192">
        <f t="shared" si="215"/>
        <v>254.39999732526408</v>
      </c>
      <c r="DO81" s="192">
        <f t="shared" si="215"/>
        <v>204.52747282733935</v>
      </c>
      <c r="DP81" s="192">
        <f t="shared" si="215"/>
        <v>154.15622308443537</v>
      </c>
      <c r="DQ81" s="192">
        <f t="shared" si="215"/>
        <v>103.28126084410233</v>
      </c>
      <c r="DR81" s="192">
        <f t="shared" si="215"/>
        <v>51.897548981365972</v>
      </c>
      <c r="DS81" s="192">
        <f t="shared" si="215"/>
        <v>2.2464519133791329E-12</v>
      </c>
      <c r="DT81" s="192">
        <f t="shared" si="215"/>
        <v>2.268916432512924E-12</v>
      </c>
      <c r="DU81" s="192">
        <f t="shared" si="215"/>
        <v>2.2916055968380533E-12</v>
      </c>
      <c r="DV81" s="192">
        <f t="shared" si="215"/>
        <v>2.3145216528064338E-12</v>
      </c>
      <c r="DW81" s="192">
        <f t="shared" si="215"/>
        <v>2.3376668693344981E-12</v>
      </c>
      <c r="DX81" s="192">
        <f t="shared" si="215"/>
        <v>2.3610435380278432E-12</v>
      </c>
      <c r="DY81" s="192">
        <f t="shared" si="215"/>
        <v>2.3846539734081218E-12</v>
      </c>
      <c r="DZ81" s="192">
        <f t="shared" si="215"/>
        <v>2.4085005131422027E-12</v>
      </c>
      <c r="EA81" s="192">
        <f t="shared" si="215"/>
        <v>2.432585518273625E-12</v>
      </c>
      <c r="EB81" s="192">
        <f t="shared" si="215"/>
        <v>2.4569113734563613E-12</v>
      </c>
      <c r="EC81" s="192">
        <f t="shared" ref="EC81:FZ81" si="216">+EB79*($B$74/12)</f>
        <v>2.4814804871909248E-12</v>
      </c>
      <c r="ED81" s="192">
        <f t="shared" si="216"/>
        <v>2.5062952920628341E-12</v>
      </c>
      <c r="EE81" s="192">
        <f t="shared" si="216"/>
        <v>2.5313582449834626E-12</v>
      </c>
      <c r="EF81" s="192">
        <f t="shared" si="216"/>
        <v>2.5566718274332973E-12</v>
      </c>
      <c r="EG81" s="192">
        <f t="shared" si="216"/>
        <v>2.5822385457076302E-12</v>
      </c>
      <c r="EH81" s="192">
        <f t="shared" si="216"/>
        <v>2.6080609311647063E-12</v>
      </c>
      <c r="EI81" s="192">
        <f t="shared" si="216"/>
        <v>2.6341415404763534E-12</v>
      </c>
      <c r="EJ81" s="192">
        <f t="shared" si="216"/>
        <v>2.6604829558811169E-12</v>
      </c>
      <c r="EK81" s="192">
        <f t="shared" si="216"/>
        <v>2.687087785439928E-12</v>
      </c>
      <c r="EL81" s="192">
        <f t="shared" si="216"/>
        <v>2.7139586632943276E-12</v>
      </c>
      <c r="EM81" s="192">
        <f t="shared" si="216"/>
        <v>2.7410982499272706E-12</v>
      </c>
      <c r="EN81" s="192">
        <f t="shared" si="216"/>
        <v>2.7685092324265433E-12</v>
      </c>
      <c r="EO81" s="192">
        <f t="shared" si="216"/>
        <v>2.7961943247508091E-12</v>
      </c>
      <c r="EP81" s="192">
        <f t="shared" si="216"/>
        <v>2.824156267998317E-12</v>
      </c>
      <c r="EQ81" s="192">
        <f t="shared" si="216"/>
        <v>2.8523978306783003E-12</v>
      </c>
      <c r="ER81" s="192">
        <f t="shared" si="216"/>
        <v>2.8809218089850834E-12</v>
      </c>
      <c r="ES81" s="192">
        <f t="shared" si="216"/>
        <v>2.9097310270749338E-12</v>
      </c>
      <c r="ET81" s="192">
        <f t="shared" si="216"/>
        <v>2.9388283373456833E-12</v>
      </c>
      <c r="EU81" s="192">
        <f t="shared" si="216"/>
        <v>2.9682166207191401E-12</v>
      </c>
      <c r="EV81" s="192">
        <f t="shared" si="216"/>
        <v>2.9978987869263313E-12</v>
      </c>
      <c r="EW81" s="192">
        <f t="shared" si="216"/>
        <v>3.0278777747955944E-12</v>
      </c>
      <c r="EX81" s="192">
        <f t="shared" si="216"/>
        <v>3.0581565525435505E-12</v>
      </c>
      <c r="EY81" s="192">
        <f t="shared" si="216"/>
        <v>3.0887381180689859E-12</v>
      </c>
      <c r="EZ81" s="192">
        <f t="shared" si="216"/>
        <v>3.119625499249676E-12</v>
      </c>
      <c r="FA81" s="192">
        <f t="shared" si="216"/>
        <v>3.1508217542421731E-12</v>
      </c>
      <c r="FB81" s="192">
        <f t="shared" si="216"/>
        <v>3.1823299717845945E-12</v>
      </c>
      <c r="FC81" s="192">
        <f t="shared" si="216"/>
        <v>3.2141532715024403E-12</v>
      </c>
      <c r="FD81" s="192">
        <f t="shared" si="216"/>
        <v>3.2462948042174646E-12</v>
      </c>
      <c r="FE81" s="192">
        <f t="shared" si="216"/>
        <v>3.2787577522596393E-12</v>
      </c>
      <c r="FF81" s="192">
        <f t="shared" si="216"/>
        <v>3.3115453297822357E-12</v>
      </c>
      <c r="FG81" s="192">
        <f t="shared" si="216"/>
        <v>3.3446607830800582E-12</v>
      </c>
      <c r="FH81" s="192">
        <f t="shared" si="216"/>
        <v>3.3781073909108588E-12</v>
      </c>
      <c r="FI81" s="192">
        <f t="shared" si="216"/>
        <v>3.4118884648199672E-12</v>
      </c>
      <c r="FJ81" s="192">
        <f t="shared" si="216"/>
        <v>3.4460073494681667E-12</v>
      </c>
      <c r="FK81" s="192">
        <f t="shared" si="216"/>
        <v>3.4804674229628482E-12</v>
      </c>
      <c r="FL81" s="192">
        <f t="shared" si="216"/>
        <v>3.5152720971924769E-12</v>
      </c>
      <c r="FM81" s="192">
        <f t="shared" si="216"/>
        <v>3.5504248181644017E-12</v>
      </c>
      <c r="FN81" s="192">
        <f t="shared" si="216"/>
        <v>3.5859290663460454E-12</v>
      </c>
      <c r="FO81" s="192">
        <f t="shared" si="216"/>
        <v>3.6217883570095058E-12</v>
      </c>
      <c r="FP81" s="192">
        <f t="shared" si="216"/>
        <v>3.6580062405796014E-12</v>
      </c>
      <c r="FQ81" s="192">
        <f t="shared" si="216"/>
        <v>3.6945863029853968E-12</v>
      </c>
      <c r="FR81" s="192">
        <f t="shared" si="216"/>
        <v>3.731532166015251E-12</v>
      </c>
      <c r="FS81" s="192">
        <f t="shared" si="216"/>
        <v>3.7688474876754037E-12</v>
      </c>
      <c r="FT81" s="192">
        <f t="shared" si="216"/>
        <v>3.806535962552157E-12</v>
      </c>
      <c r="FU81" s="192">
        <f t="shared" si="216"/>
        <v>3.8446013221776791E-12</v>
      </c>
      <c r="FV81" s="192">
        <f t="shared" si="216"/>
        <v>3.8830473353994554E-12</v>
      </c>
      <c r="FW81" s="192">
        <f t="shared" si="216"/>
        <v>3.92187780875345E-12</v>
      </c>
      <c r="FX81" s="192">
        <f t="shared" si="216"/>
        <v>3.9610965868409844E-12</v>
      </c>
      <c r="FY81" s="192">
        <f t="shared" si="216"/>
        <v>4.0007075527093942E-12</v>
      </c>
      <c r="FZ81" s="192">
        <f t="shared" si="216"/>
        <v>4.0407146282364882E-12</v>
      </c>
    </row>
    <row r="82" spans="1:182" outlineLevel="1" x14ac:dyDescent="0.2">
      <c r="A82" s="24" t="s">
        <v>234</v>
      </c>
      <c r="B82" s="192">
        <f>SUM(C82:DR82)</f>
        <v>235638.68707225582</v>
      </c>
      <c r="C82" s="192">
        <v>0</v>
      </c>
      <c r="D82" s="192">
        <f t="shared" ref="D82:AI82" si="217">+D80-D81</f>
        <v>0</v>
      </c>
      <c r="E82" s="192">
        <f t="shared" si="217"/>
        <v>0</v>
      </c>
      <c r="F82" s="192">
        <f t="shared" si="217"/>
        <v>0</v>
      </c>
      <c r="G82" s="192">
        <f t="shared" si="217"/>
        <v>0</v>
      </c>
      <c r="H82" s="192">
        <f t="shared" si="217"/>
        <v>0</v>
      </c>
      <c r="I82" s="192">
        <f t="shared" si="217"/>
        <v>0</v>
      </c>
      <c r="J82" s="192">
        <f t="shared" si="217"/>
        <v>0</v>
      </c>
      <c r="K82" s="192">
        <f t="shared" si="217"/>
        <v>0</v>
      </c>
      <c r="L82" s="192">
        <f t="shared" si="217"/>
        <v>0</v>
      </c>
      <c r="M82" s="192">
        <f t="shared" si="217"/>
        <v>0</v>
      </c>
      <c r="N82" s="192">
        <f t="shared" si="217"/>
        <v>0</v>
      </c>
      <c r="O82" s="192">
        <f t="shared" si="217"/>
        <v>0</v>
      </c>
      <c r="P82" s="192">
        <f t="shared" si="217"/>
        <v>0</v>
      </c>
      <c r="Q82" s="192">
        <f t="shared" si="217"/>
        <v>0</v>
      </c>
      <c r="R82" s="192">
        <f t="shared" si="217"/>
        <v>0</v>
      </c>
      <c r="S82" s="192">
        <f t="shared" si="217"/>
        <v>0</v>
      </c>
      <c r="T82" s="192">
        <f t="shared" si="217"/>
        <v>0</v>
      </c>
      <c r="U82" s="192">
        <f t="shared" si="217"/>
        <v>0</v>
      </c>
      <c r="V82" s="192">
        <f t="shared" si="217"/>
        <v>0</v>
      </c>
      <c r="W82" s="192">
        <f t="shared" si="217"/>
        <v>0</v>
      </c>
      <c r="X82" s="192">
        <f t="shared" si="217"/>
        <v>0</v>
      </c>
      <c r="Y82" s="192">
        <f t="shared" si="217"/>
        <v>0</v>
      </c>
      <c r="Z82" s="192">
        <f t="shared" si="217"/>
        <v>0</v>
      </c>
      <c r="AA82" s="192">
        <f t="shared" si="217"/>
        <v>0</v>
      </c>
      <c r="AB82" s="192">
        <f t="shared" si="217"/>
        <v>0</v>
      </c>
      <c r="AC82" s="192">
        <f t="shared" si="217"/>
        <v>0</v>
      </c>
      <c r="AD82" s="192">
        <f t="shared" si="217"/>
        <v>0</v>
      </c>
      <c r="AE82" s="192">
        <f t="shared" si="217"/>
        <v>0</v>
      </c>
      <c r="AF82" s="192">
        <f t="shared" si="217"/>
        <v>0</v>
      </c>
      <c r="AG82" s="192">
        <f t="shared" si="217"/>
        <v>0</v>
      </c>
      <c r="AH82" s="192">
        <f t="shared" si="217"/>
        <v>0</v>
      </c>
      <c r="AI82" s="192">
        <f t="shared" si="217"/>
        <v>0</v>
      </c>
      <c r="AJ82" s="192">
        <f t="shared" ref="AJ82:BO82" si="218">+AJ80-AJ81</f>
        <v>0</v>
      </c>
      <c r="AK82" s="192">
        <f t="shared" si="218"/>
        <v>0</v>
      </c>
      <c r="AL82" s="192">
        <f t="shared" si="218"/>
        <v>0</v>
      </c>
      <c r="AM82" s="192">
        <f t="shared" si="218"/>
        <v>0</v>
      </c>
      <c r="AN82" s="192">
        <f t="shared" si="218"/>
        <v>0</v>
      </c>
      <c r="AO82" s="192">
        <f t="shared" si="218"/>
        <v>0</v>
      </c>
      <c r="AP82" s="192">
        <f t="shared" si="218"/>
        <v>0</v>
      </c>
      <c r="AQ82" s="192">
        <f t="shared" si="218"/>
        <v>0</v>
      </c>
      <c r="AR82" s="192">
        <f t="shared" si="218"/>
        <v>0</v>
      </c>
      <c r="AS82" s="192">
        <f t="shared" si="218"/>
        <v>0</v>
      </c>
      <c r="AT82" s="192">
        <f t="shared" si="218"/>
        <v>0</v>
      </c>
      <c r="AU82" s="192">
        <f t="shared" si="218"/>
        <v>0</v>
      </c>
      <c r="AV82" s="192">
        <f t="shared" si="218"/>
        <v>0</v>
      </c>
      <c r="AW82" s="192">
        <f t="shared" si="218"/>
        <v>0</v>
      </c>
      <c r="AX82" s="192">
        <f t="shared" si="218"/>
        <v>0</v>
      </c>
      <c r="AY82" s="192">
        <f t="shared" si="218"/>
        <v>0</v>
      </c>
      <c r="AZ82" s="192">
        <f t="shared" si="218"/>
        <v>0</v>
      </c>
      <c r="BA82" s="192">
        <f t="shared" si="218"/>
        <v>0</v>
      </c>
      <c r="BB82" s="192">
        <f t="shared" si="218"/>
        <v>0</v>
      </c>
      <c r="BC82" s="192">
        <f t="shared" si="218"/>
        <v>0</v>
      </c>
      <c r="BD82" s="192">
        <f t="shared" si="218"/>
        <v>0</v>
      </c>
      <c r="BE82" s="192">
        <f t="shared" si="218"/>
        <v>0</v>
      </c>
      <c r="BF82" s="192">
        <f t="shared" si="218"/>
        <v>0</v>
      </c>
      <c r="BG82" s="192">
        <f t="shared" si="218"/>
        <v>0</v>
      </c>
      <c r="BH82" s="192">
        <f t="shared" si="218"/>
        <v>0</v>
      </c>
      <c r="BI82" s="192">
        <f t="shared" si="218"/>
        <v>0</v>
      </c>
      <c r="BJ82" s="192">
        <f t="shared" si="218"/>
        <v>0</v>
      </c>
      <c r="BK82" s="192">
        <f t="shared" si="218"/>
        <v>2885.265576395178</v>
      </c>
      <c r="BL82" s="192">
        <f t="shared" si="218"/>
        <v>2914.11823215913</v>
      </c>
      <c r="BM82" s="192">
        <f t="shared" si="218"/>
        <v>2943.2594144807213</v>
      </c>
      <c r="BN82" s="192">
        <f t="shared" si="218"/>
        <v>2972.6920086255282</v>
      </c>
      <c r="BO82" s="192">
        <f t="shared" si="218"/>
        <v>3002.4189287117833</v>
      </c>
      <c r="BP82" s="192">
        <f t="shared" ref="BP82:CU82" si="219">+BP80-BP81</f>
        <v>3032.4431179989015</v>
      </c>
      <c r="BQ82" s="192">
        <f t="shared" si="219"/>
        <v>3062.7675491788905</v>
      </c>
      <c r="BR82" s="192">
        <f t="shared" si="219"/>
        <v>3093.395224670679</v>
      </c>
      <c r="BS82" s="192">
        <f t="shared" si="219"/>
        <v>3124.3291769173861</v>
      </c>
      <c r="BT82" s="192">
        <f t="shared" si="219"/>
        <v>3155.5724686865597</v>
      </c>
      <c r="BU82" s="192">
        <f t="shared" si="219"/>
        <v>3187.1281933734253</v>
      </c>
      <c r="BV82" s="192">
        <f t="shared" si="219"/>
        <v>3218.9994753071596</v>
      </c>
      <c r="BW82" s="192">
        <f t="shared" si="219"/>
        <v>3251.1894700602311</v>
      </c>
      <c r="BX82" s="192">
        <f t="shared" si="219"/>
        <v>3283.7013647608333</v>
      </c>
      <c r="BY82" s="192">
        <f t="shared" si="219"/>
        <v>3316.5383784084415</v>
      </c>
      <c r="BZ82" s="192">
        <f t="shared" si="219"/>
        <v>3349.703762192526</v>
      </c>
      <c r="CA82" s="192">
        <f t="shared" si="219"/>
        <v>3383.2007998144509</v>
      </c>
      <c r="CB82" s="192">
        <f t="shared" si="219"/>
        <v>3417.0328078125958</v>
      </c>
      <c r="CC82" s="192">
        <f t="shared" si="219"/>
        <v>3451.2031358907216</v>
      </c>
      <c r="CD82" s="192">
        <f t="shared" si="219"/>
        <v>3485.7151672496288</v>
      </c>
      <c r="CE82" s="192">
        <f t="shared" si="219"/>
        <v>3520.5723189221253</v>
      </c>
      <c r="CF82" s="192">
        <f t="shared" si="219"/>
        <v>3555.7780421113466</v>
      </c>
      <c r="CG82" s="192">
        <f t="shared" si="219"/>
        <v>3591.33582253246</v>
      </c>
      <c r="CH82" s="192">
        <f t="shared" si="219"/>
        <v>3627.2491807577844</v>
      </c>
      <c r="CI82" s="192">
        <f t="shared" si="219"/>
        <v>3663.5216725653622</v>
      </c>
      <c r="CJ82" s="192">
        <f t="shared" si="219"/>
        <v>3700.1568892910159</v>
      </c>
      <c r="CK82" s="192">
        <f t="shared" si="219"/>
        <v>3737.1584581839261</v>
      </c>
      <c r="CL82" s="192">
        <f t="shared" si="219"/>
        <v>3774.5300427657653</v>
      </c>
      <c r="CM82" s="192">
        <f t="shared" si="219"/>
        <v>3812.2753431934234</v>
      </c>
      <c r="CN82" s="192">
        <f t="shared" si="219"/>
        <v>3850.3980966253571</v>
      </c>
      <c r="CO82" s="192">
        <f t="shared" si="219"/>
        <v>3888.9020775916106</v>
      </c>
      <c r="CP82" s="192">
        <f t="shared" si="219"/>
        <v>3927.7910983675265</v>
      </c>
      <c r="CQ82" s="192">
        <f t="shared" si="219"/>
        <v>3967.0690093512021</v>
      </c>
      <c r="CR82" s="192">
        <f t="shared" si="219"/>
        <v>4006.739699444714</v>
      </c>
      <c r="CS82" s="192">
        <f t="shared" si="219"/>
        <v>4046.8070964391609</v>
      </c>
      <c r="CT82" s="192">
        <f t="shared" si="219"/>
        <v>4087.2751674035526</v>
      </c>
      <c r="CU82" s="192">
        <f t="shared" si="219"/>
        <v>4128.1479190775881</v>
      </c>
      <c r="CV82" s="192">
        <f t="shared" ref="CV82:EA82" si="220">+CV80-CV81</f>
        <v>4169.4293982683639</v>
      </c>
      <c r="CW82" s="192">
        <f t="shared" si="220"/>
        <v>4211.1236922510479</v>
      </c>
      <c r="CX82" s="192">
        <f t="shared" si="220"/>
        <v>4253.2349291735582</v>
      </c>
      <c r="CY82" s="192">
        <f t="shared" si="220"/>
        <v>4295.7672784652941</v>
      </c>
      <c r="CZ82" s="192">
        <f t="shared" si="220"/>
        <v>4338.7249512499466</v>
      </c>
      <c r="DA82" s="192">
        <f t="shared" si="220"/>
        <v>4382.1122007624463</v>
      </c>
      <c r="DB82" s="192">
        <f t="shared" si="220"/>
        <v>4425.9333227700708</v>
      </c>
      <c r="DC82" s="192">
        <f t="shared" si="220"/>
        <v>4470.192655997771</v>
      </c>
      <c r="DD82" s="192">
        <f t="shared" si="220"/>
        <v>4514.8945825577493</v>
      </c>
      <c r="DE82" s="192">
        <f t="shared" si="220"/>
        <v>4560.0435283833267</v>
      </c>
      <c r="DF82" s="192">
        <f t="shared" si="220"/>
        <v>4605.6439636671603</v>
      </c>
      <c r="DG82" s="192">
        <f t="shared" si="220"/>
        <v>4651.700403303832</v>
      </c>
      <c r="DH82" s="192">
        <f t="shared" si="220"/>
        <v>4698.2174073368697</v>
      </c>
      <c r="DI82" s="192">
        <f t="shared" si="220"/>
        <v>4745.1995814102384</v>
      </c>
      <c r="DJ82" s="192">
        <f t="shared" si="220"/>
        <v>4792.6515772243411</v>
      </c>
      <c r="DK82" s="192">
        <f t="shared" si="220"/>
        <v>4840.5780929965849</v>
      </c>
      <c r="DL82" s="192">
        <f t="shared" si="220"/>
        <v>4888.9838739265506</v>
      </c>
      <c r="DM82" s="192">
        <f t="shared" si="220"/>
        <v>4937.8737126658161</v>
      </c>
      <c r="DN82" s="192">
        <f t="shared" si="220"/>
        <v>4987.2524497924742</v>
      </c>
      <c r="DO82" s="192">
        <f t="shared" si="220"/>
        <v>5037.1249742903983</v>
      </c>
      <c r="DP82" s="192">
        <f t="shared" si="220"/>
        <v>5087.4962240333025</v>
      </c>
      <c r="DQ82" s="192">
        <f t="shared" si="220"/>
        <v>5138.3711862736354</v>
      </c>
      <c r="DR82" s="192">
        <f t="shared" si="220"/>
        <v>5189.7548981363725</v>
      </c>
      <c r="DS82" s="192">
        <f t="shared" si="220"/>
        <v>-2.2464519133791329E-12</v>
      </c>
      <c r="DT82" s="192">
        <f t="shared" si="220"/>
        <v>-2.268916432512924E-12</v>
      </c>
      <c r="DU82" s="192">
        <f t="shared" si="220"/>
        <v>-2.2916055968380533E-12</v>
      </c>
      <c r="DV82" s="192">
        <f t="shared" si="220"/>
        <v>-2.3145216528064338E-12</v>
      </c>
      <c r="DW82" s="192">
        <f t="shared" si="220"/>
        <v>-2.3376668693344981E-12</v>
      </c>
      <c r="DX82" s="192">
        <f t="shared" si="220"/>
        <v>-2.3610435380278432E-12</v>
      </c>
      <c r="DY82" s="192">
        <f t="shared" si="220"/>
        <v>-2.3846539734081218E-12</v>
      </c>
      <c r="DZ82" s="192">
        <f t="shared" si="220"/>
        <v>-2.4085005131422027E-12</v>
      </c>
      <c r="EA82" s="192">
        <f t="shared" si="220"/>
        <v>-2.432585518273625E-12</v>
      </c>
      <c r="EB82" s="192">
        <f t="shared" ref="EB82:FG82" si="221">+EB80-EB81</f>
        <v>-2.4569113734563613E-12</v>
      </c>
      <c r="EC82" s="192">
        <f t="shared" si="221"/>
        <v>-2.4814804871909248E-12</v>
      </c>
      <c r="ED82" s="192">
        <f t="shared" si="221"/>
        <v>-2.5062952920628341E-12</v>
      </c>
      <c r="EE82" s="192">
        <f t="shared" si="221"/>
        <v>-2.5313582449834626E-12</v>
      </c>
      <c r="EF82" s="192">
        <f t="shared" si="221"/>
        <v>-2.5566718274332973E-12</v>
      </c>
      <c r="EG82" s="192">
        <f t="shared" si="221"/>
        <v>-2.5822385457076302E-12</v>
      </c>
      <c r="EH82" s="192">
        <f t="shared" si="221"/>
        <v>-2.6080609311647063E-12</v>
      </c>
      <c r="EI82" s="192">
        <f t="shared" si="221"/>
        <v>-2.6341415404763534E-12</v>
      </c>
      <c r="EJ82" s="192">
        <f t="shared" si="221"/>
        <v>-2.6604829558811169E-12</v>
      </c>
      <c r="EK82" s="192">
        <f t="shared" si="221"/>
        <v>-2.687087785439928E-12</v>
      </c>
      <c r="EL82" s="192">
        <f t="shared" si="221"/>
        <v>-2.7139586632943276E-12</v>
      </c>
      <c r="EM82" s="192">
        <f t="shared" si="221"/>
        <v>-2.7410982499272706E-12</v>
      </c>
      <c r="EN82" s="192">
        <f t="shared" si="221"/>
        <v>-2.7685092324265433E-12</v>
      </c>
      <c r="EO82" s="192">
        <f t="shared" si="221"/>
        <v>-2.7961943247508091E-12</v>
      </c>
      <c r="EP82" s="192">
        <f t="shared" si="221"/>
        <v>-2.824156267998317E-12</v>
      </c>
      <c r="EQ82" s="192">
        <f t="shared" si="221"/>
        <v>-2.8523978306783003E-12</v>
      </c>
      <c r="ER82" s="192">
        <f t="shared" si="221"/>
        <v>-2.8809218089850834E-12</v>
      </c>
      <c r="ES82" s="192">
        <f t="shared" si="221"/>
        <v>-2.9097310270749338E-12</v>
      </c>
      <c r="ET82" s="192">
        <f t="shared" si="221"/>
        <v>-2.9388283373456833E-12</v>
      </c>
      <c r="EU82" s="192">
        <f t="shared" si="221"/>
        <v>-2.9682166207191401E-12</v>
      </c>
      <c r="EV82" s="192">
        <f t="shared" si="221"/>
        <v>-2.9978987869263313E-12</v>
      </c>
      <c r="EW82" s="192">
        <f t="shared" si="221"/>
        <v>-3.0278777747955944E-12</v>
      </c>
      <c r="EX82" s="192">
        <f t="shared" si="221"/>
        <v>-3.0581565525435505E-12</v>
      </c>
      <c r="EY82" s="192">
        <f t="shared" si="221"/>
        <v>-3.0887381180689859E-12</v>
      </c>
      <c r="EZ82" s="192">
        <f t="shared" si="221"/>
        <v>-3.119625499249676E-12</v>
      </c>
      <c r="FA82" s="192">
        <f t="shared" si="221"/>
        <v>-3.1508217542421731E-12</v>
      </c>
      <c r="FB82" s="192">
        <f t="shared" si="221"/>
        <v>-3.1823299717845945E-12</v>
      </c>
      <c r="FC82" s="192">
        <f t="shared" si="221"/>
        <v>-3.2141532715024403E-12</v>
      </c>
      <c r="FD82" s="192">
        <f t="shared" si="221"/>
        <v>-3.2462948042174646E-12</v>
      </c>
      <c r="FE82" s="192">
        <f t="shared" si="221"/>
        <v>-3.2787577522596393E-12</v>
      </c>
      <c r="FF82" s="192">
        <f t="shared" si="221"/>
        <v>-3.3115453297822357E-12</v>
      </c>
      <c r="FG82" s="192">
        <f t="shared" si="221"/>
        <v>-3.3446607830800582E-12</v>
      </c>
      <c r="FH82" s="192">
        <f t="shared" ref="FH82:FZ82" si="222">+FH80-FH81</f>
        <v>-3.3781073909108588E-12</v>
      </c>
      <c r="FI82" s="192">
        <f t="shared" si="222"/>
        <v>-3.4118884648199672E-12</v>
      </c>
      <c r="FJ82" s="192">
        <f t="shared" si="222"/>
        <v>-3.4460073494681667E-12</v>
      </c>
      <c r="FK82" s="192">
        <f t="shared" si="222"/>
        <v>-3.4804674229628482E-12</v>
      </c>
      <c r="FL82" s="192">
        <f t="shared" si="222"/>
        <v>-3.5152720971924769E-12</v>
      </c>
      <c r="FM82" s="192">
        <f t="shared" si="222"/>
        <v>-3.5504248181644017E-12</v>
      </c>
      <c r="FN82" s="192">
        <f t="shared" si="222"/>
        <v>-3.5859290663460454E-12</v>
      </c>
      <c r="FO82" s="192">
        <f t="shared" si="222"/>
        <v>-3.6217883570095058E-12</v>
      </c>
      <c r="FP82" s="192">
        <f t="shared" si="222"/>
        <v>-3.6580062405796014E-12</v>
      </c>
      <c r="FQ82" s="192">
        <f t="shared" si="222"/>
        <v>-3.6945863029853968E-12</v>
      </c>
      <c r="FR82" s="192">
        <f t="shared" si="222"/>
        <v>-3.731532166015251E-12</v>
      </c>
      <c r="FS82" s="192">
        <f t="shared" si="222"/>
        <v>-3.7688474876754037E-12</v>
      </c>
      <c r="FT82" s="192">
        <f t="shared" si="222"/>
        <v>-3.806535962552157E-12</v>
      </c>
      <c r="FU82" s="192">
        <f t="shared" si="222"/>
        <v>-3.8446013221776791E-12</v>
      </c>
      <c r="FV82" s="192">
        <f t="shared" si="222"/>
        <v>-3.8830473353994554E-12</v>
      </c>
      <c r="FW82" s="192">
        <f t="shared" si="222"/>
        <v>-3.92187780875345E-12</v>
      </c>
      <c r="FX82" s="192">
        <f t="shared" si="222"/>
        <v>-3.9610965868409844E-12</v>
      </c>
      <c r="FY82" s="192">
        <f t="shared" si="222"/>
        <v>-4.0007075527093942E-12</v>
      </c>
      <c r="FZ82" s="192">
        <f t="shared" si="222"/>
        <v>-4.0407146282364882E-12</v>
      </c>
    </row>
    <row r="85" spans="1:182" x14ac:dyDescent="0.2">
      <c r="A85" s="145" t="s">
        <v>440</v>
      </c>
    </row>
    <row r="86" spans="1:182" outlineLevel="1" x14ac:dyDescent="0.2">
      <c r="A86" s="24" t="s">
        <v>228</v>
      </c>
      <c r="B86" s="166">
        <f>+Inv.Rep.!I58</f>
        <v>245064.23455514625</v>
      </c>
    </row>
    <row r="87" spans="1:182" outlineLevel="1" x14ac:dyDescent="0.2">
      <c r="A87" s="24" t="s">
        <v>229</v>
      </c>
      <c r="B87" s="191">
        <f>+Condiciones!$B$20</f>
        <v>0.12</v>
      </c>
    </row>
    <row r="88" spans="1:182" outlineLevel="1" x14ac:dyDescent="0.2">
      <c r="A88" s="24" t="s">
        <v>230</v>
      </c>
      <c r="B88" s="139">
        <v>48</v>
      </c>
    </row>
    <row r="89" spans="1:182" outlineLevel="1" x14ac:dyDescent="0.2">
      <c r="A89" s="24" t="s">
        <v>231</v>
      </c>
      <c r="B89" s="192">
        <f>PMT(B87/12,B88,-B86)</f>
        <v>6453.481223026567</v>
      </c>
    </row>
    <row r="90" spans="1:182" outlineLevel="1" x14ac:dyDescent="0.2">
      <c r="A90" s="24" t="s">
        <v>356</v>
      </c>
      <c r="B90" s="139">
        <v>72</v>
      </c>
    </row>
    <row r="91" spans="1:182" outlineLevel="1" x14ac:dyDescent="0.2"/>
    <row r="92" spans="1:182" outlineLevel="1" x14ac:dyDescent="0.2">
      <c r="A92" s="24" t="s">
        <v>232</v>
      </c>
      <c r="B92" s="166">
        <f>+B86</f>
        <v>245064.23455514625</v>
      </c>
      <c r="C92" s="192">
        <v>0</v>
      </c>
      <c r="D92" s="192">
        <f>+IF(C92&gt;0,C92-D95,IF(D4&lt;$B$90,0,$B$92-D95))</f>
        <v>0</v>
      </c>
      <c r="E92" s="192">
        <f t="shared" ref="E92:BP92" si="223">+IF(D92&gt;0,D92-E95,IF(E4&lt;$B$90,0,$B$92-E95))</f>
        <v>0</v>
      </c>
      <c r="F92" s="192">
        <f t="shared" si="223"/>
        <v>0</v>
      </c>
      <c r="G92" s="192">
        <f t="shared" si="223"/>
        <v>0</v>
      </c>
      <c r="H92" s="192">
        <f t="shared" si="223"/>
        <v>0</v>
      </c>
      <c r="I92" s="192">
        <f t="shared" si="223"/>
        <v>0</v>
      </c>
      <c r="J92" s="192">
        <f t="shared" si="223"/>
        <v>0</v>
      </c>
      <c r="K92" s="192">
        <f t="shared" si="223"/>
        <v>0</v>
      </c>
      <c r="L92" s="192">
        <f t="shared" si="223"/>
        <v>0</v>
      </c>
      <c r="M92" s="192">
        <f t="shared" si="223"/>
        <v>0</v>
      </c>
      <c r="N92" s="192">
        <f t="shared" si="223"/>
        <v>0</v>
      </c>
      <c r="O92" s="192">
        <f t="shared" si="223"/>
        <v>0</v>
      </c>
      <c r="P92" s="192">
        <f t="shared" si="223"/>
        <v>0</v>
      </c>
      <c r="Q92" s="192">
        <f t="shared" si="223"/>
        <v>0</v>
      </c>
      <c r="R92" s="192">
        <f t="shared" si="223"/>
        <v>0</v>
      </c>
      <c r="S92" s="192">
        <f t="shared" si="223"/>
        <v>0</v>
      </c>
      <c r="T92" s="192">
        <f t="shared" si="223"/>
        <v>0</v>
      </c>
      <c r="U92" s="192">
        <f t="shared" si="223"/>
        <v>0</v>
      </c>
      <c r="V92" s="192">
        <f t="shared" si="223"/>
        <v>0</v>
      </c>
      <c r="W92" s="192">
        <f t="shared" si="223"/>
        <v>0</v>
      </c>
      <c r="X92" s="192">
        <f t="shared" si="223"/>
        <v>0</v>
      </c>
      <c r="Y92" s="192">
        <f t="shared" si="223"/>
        <v>0</v>
      </c>
      <c r="Z92" s="192">
        <f t="shared" si="223"/>
        <v>0</v>
      </c>
      <c r="AA92" s="192">
        <f t="shared" si="223"/>
        <v>0</v>
      </c>
      <c r="AB92" s="192">
        <f t="shared" si="223"/>
        <v>0</v>
      </c>
      <c r="AC92" s="192">
        <f t="shared" si="223"/>
        <v>0</v>
      </c>
      <c r="AD92" s="192">
        <f t="shared" si="223"/>
        <v>0</v>
      </c>
      <c r="AE92" s="192">
        <f t="shared" si="223"/>
        <v>0</v>
      </c>
      <c r="AF92" s="192">
        <f t="shared" si="223"/>
        <v>0</v>
      </c>
      <c r="AG92" s="192">
        <f t="shared" si="223"/>
        <v>0</v>
      </c>
      <c r="AH92" s="192">
        <f t="shared" si="223"/>
        <v>0</v>
      </c>
      <c r="AI92" s="192">
        <f t="shared" si="223"/>
        <v>0</v>
      </c>
      <c r="AJ92" s="192">
        <f t="shared" si="223"/>
        <v>0</v>
      </c>
      <c r="AK92" s="192">
        <f t="shared" si="223"/>
        <v>0</v>
      </c>
      <c r="AL92" s="192">
        <f t="shared" si="223"/>
        <v>0</v>
      </c>
      <c r="AM92" s="192">
        <f t="shared" si="223"/>
        <v>0</v>
      </c>
      <c r="AN92" s="192">
        <f t="shared" si="223"/>
        <v>0</v>
      </c>
      <c r="AO92" s="192">
        <f t="shared" si="223"/>
        <v>0</v>
      </c>
      <c r="AP92" s="192">
        <f t="shared" si="223"/>
        <v>0</v>
      </c>
      <c r="AQ92" s="192">
        <f t="shared" si="223"/>
        <v>0</v>
      </c>
      <c r="AR92" s="192">
        <f t="shared" si="223"/>
        <v>0</v>
      </c>
      <c r="AS92" s="192">
        <f t="shared" si="223"/>
        <v>0</v>
      </c>
      <c r="AT92" s="192">
        <f t="shared" si="223"/>
        <v>0</v>
      </c>
      <c r="AU92" s="192">
        <f t="shared" si="223"/>
        <v>0</v>
      </c>
      <c r="AV92" s="192">
        <f t="shared" si="223"/>
        <v>0</v>
      </c>
      <c r="AW92" s="192">
        <f t="shared" si="223"/>
        <v>0</v>
      </c>
      <c r="AX92" s="192">
        <f t="shared" si="223"/>
        <v>0</v>
      </c>
      <c r="AY92" s="192">
        <f t="shared" si="223"/>
        <v>0</v>
      </c>
      <c r="AZ92" s="192">
        <f t="shared" si="223"/>
        <v>0</v>
      </c>
      <c r="BA92" s="192">
        <f t="shared" si="223"/>
        <v>0</v>
      </c>
      <c r="BB92" s="192">
        <f t="shared" si="223"/>
        <v>0</v>
      </c>
      <c r="BC92" s="192">
        <f t="shared" si="223"/>
        <v>0</v>
      </c>
      <c r="BD92" s="192">
        <f t="shared" si="223"/>
        <v>0</v>
      </c>
      <c r="BE92" s="192">
        <f t="shared" si="223"/>
        <v>0</v>
      </c>
      <c r="BF92" s="192">
        <f t="shared" si="223"/>
        <v>0</v>
      </c>
      <c r="BG92" s="192">
        <f t="shared" si="223"/>
        <v>0</v>
      </c>
      <c r="BH92" s="192">
        <f t="shared" si="223"/>
        <v>0</v>
      </c>
      <c r="BI92" s="192">
        <f t="shared" si="223"/>
        <v>0</v>
      </c>
      <c r="BJ92" s="192">
        <f t="shared" si="223"/>
        <v>0</v>
      </c>
      <c r="BK92" s="192">
        <f t="shared" si="223"/>
        <v>0</v>
      </c>
      <c r="BL92" s="192">
        <f t="shared" si="223"/>
        <v>0</v>
      </c>
      <c r="BM92" s="192">
        <f t="shared" si="223"/>
        <v>0</v>
      </c>
      <c r="BN92" s="192">
        <f t="shared" si="223"/>
        <v>0</v>
      </c>
      <c r="BO92" s="192">
        <f t="shared" si="223"/>
        <v>0</v>
      </c>
      <c r="BP92" s="192">
        <f t="shared" si="223"/>
        <v>0</v>
      </c>
      <c r="BQ92" s="192">
        <f t="shared" ref="BQ92:EB92" si="224">+IF(BP92&gt;0,BP92-BQ95,IF(BQ4&lt;$B$90,0,$B$92-BQ95))</f>
        <v>0</v>
      </c>
      <c r="BR92" s="192">
        <f t="shared" si="224"/>
        <v>0</v>
      </c>
      <c r="BS92" s="192">
        <f t="shared" si="224"/>
        <v>0</v>
      </c>
      <c r="BT92" s="192">
        <f t="shared" si="224"/>
        <v>0</v>
      </c>
      <c r="BU92" s="192">
        <f t="shared" si="224"/>
        <v>0</v>
      </c>
      <c r="BV92" s="192">
        <f t="shared" si="224"/>
        <v>245064.23455514625</v>
      </c>
      <c r="BW92" s="192">
        <f t="shared" si="224"/>
        <v>241061.39567767116</v>
      </c>
      <c r="BX92" s="192">
        <f t="shared" si="224"/>
        <v>237018.52841142131</v>
      </c>
      <c r="BY92" s="192">
        <f t="shared" si="224"/>
        <v>232935.23247250897</v>
      </c>
      <c r="BZ92" s="192">
        <f t="shared" si="224"/>
        <v>228811.10357420749</v>
      </c>
      <c r="CA92" s="192">
        <f t="shared" si="224"/>
        <v>224645.73338692301</v>
      </c>
      <c r="CB92" s="192">
        <f t="shared" si="224"/>
        <v>220438.70949776567</v>
      </c>
      <c r="CC92" s="192">
        <f t="shared" si="224"/>
        <v>216189.61536971675</v>
      </c>
      <c r="CD92" s="192">
        <f t="shared" si="224"/>
        <v>211898.03030038736</v>
      </c>
      <c r="CE92" s="192">
        <f t="shared" si="224"/>
        <v>207563.52938036466</v>
      </c>
      <c r="CF92" s="192">
        <f t="shared" si="224"/>
        <v>203185.68345114175</v>
      </c>
      <c r="CG92" s="192">
        <f t="shared" si="224"/>
        <v>198764.05906262662</v>
      </c>
      <c r="CH92" s="192">
        <f t="shared" si="224"/>
        <v>194298.21843022632</v>
      </c>
      <c r="CI92" s="192">
        <f t="shared" si="224"/>
        <v>189787.719391502</v>
      </c>
      <c r="CJ92" s="192">
        <f t="shared" si="224"/>
        <v>185232.11536239047</v>
      </c>
      <c r="CK92" s="192">
        <f t="shared" si="224"/>
        <v>180630.95529298781</v>
      </c>
      <c r="CL92" s="192">
        <f t="shared" si="224"/>
        <v>175983.78362289112</v>
      </c>
      <c r="CM92" s="192">
        <f t="shared" si="224"/>
        <v>171290.14023609346</v>
      </c>
      <c r="CN92" s="192">
        <f t="shared" si="224"/>
        <v>166549.56041542784</v>
      </c>
      <c r="CO92" s="192">
        <f t="shared" si="224"/>
        <v>161761.57479655556</v>
      </c>
      <c r="CP92" s="192">
        <f t="shared" si="224"/>
        <v>156925.70932149456</v>
      </c>
      <c r="CQ92" s="192">
        <f t="shared" si="224"/>
        <v>152041.48519168294</v>
      </c>
      <c r="CR92" s="192">
        <f t="shared" si="224"/>
        <v>147108.41882057319</v>
      </c>
      <c r="CS92" s="192">
        <f t="shared" si="224"/>
        <v>142126.02178575235</v>
      </c>
      <c r="CT92" s="192">
        <f t="shared" si="224"/>
        <v>137093.80078058332</v>
      </c>
      <c r="CU92" s="192">
        <f t="shared" si="224"/>
        <v>132011.25756536258</v>
      </c>
      <c r="CV92" s="192">
        <f t="shared" si="224"/>
        <v>126877.88891798964</v>
      </c>
      <c r="CW92" s="192">
        <f t="shared" si="224"/>
        <v>121693.18658414297</v>
      </c>
      <c r="CX92" s="192">
        <f t="shared" si="224"/>
        <v>116456.63722695783</v>
      </c>
      <c r="CY92" s="192">
        <f t="shared" si="224"/>
        <v>111167.72237620084</v>
      </c>
      <c r="CZ92" s="192">
        <f t="shared" si="224"/>
        <v>105825.91837693627</v>
      </c>
      <c r="DA92" s="192">
        <f t="shared" si="224"/>
        <v>100430.69633767907</v>
      </c>
      <c r="DB92" s="192">
        <f t="shared" si="224"/>
        <v>94981.522078029288</v>
      </c>
      <c r="DC92" s="192">
        <f t="shared" si="224"/>
        <v>89477.856075783013</v>
      </c>
      <c r="DD92" s="192">
        <f t="shared" si="224"/>
        <v>83919.153413514272</v>
      </c>
      <c r="DE92" s="192">
        <f t="shared" si="224"/>
        <v>78304.863724622846</v>
      </c>
      <c r="DF92" s="192">
        <f t="shared" si="224"/>
        <v>72634.431138842512</v>
      </c>
      <c r="DG92" s="192">
        <f t="shared" si="224"/>
        <v>66907.294227204373</v>
      </c>
      <c r="DH92" s="192">
        <f t="shared" si="224"/>
        <v>61122.885946449853</v>
      </c>
      <c r="DI92" s="192">
        <f t="shared" si="224"/>
        <v>55280.633582887785</v>
      </c>
      <c r="DJ92" s="192">
        <f t="shared" si="224"/>
        <v>49379.958695690097</v>
      </c>
      <c r="DK92" s="192">
        <f t="shared" si="224"/>
        <v>43420.277059620428</v>
      </c>
      <c r="DL92" s="192">
        <f t="shared" si="224"/>
        <v>37400.998607190064</v>
      </c>
      <c r="DM92" s="192">
        <f t="shared" si="224"/>
        <v>31321.527370235399</v>
      </c>
      <c r="DN92" s="192">
        <f t="shared" si="224"/>
        <v>25181.261420911185</v>
      </c>
      <c r="DO92" s="192">
        <f t="shared" si="224"/>
        <v>18979.592812093731</v>
      </c>
      <c r="DP92" s="192">
        <f t="shared" si="224"/>
        <v>12715.907517188101</v>
      </c>
      <c r="DQ92" s="192">
        <f t="shared" si="224"/>
        <v>6389.5853693334157</v>
      </c>
      <c r="DR92" s="192">
        <f t="shared" si="224"/>
        <v>1.8280843505635858E-10</v>
      </c>
      <c r="DS92" s="192">
        <f t="shared" si="224"/>
        <v>1.8463651940692215E-10</v>
      </c>
      <c r="DT92" s="192">
        <f t="shared" si="224"/>
        <v>1.8648288460099138E-10</v>
      </c>
      <c r="DU92" s="192">
        <f t="shared" si="224"/>
        <v>1.8834771344700129E-10</v>
      </c>
      <c r="DV92" s="192">
        <f t="shared" si="224"/>
        <v>1.9023119058147129E-10</v>
      </c>
      <c r="DW92" s="192">
        <f t="shared" si="224"/>
        <v>1.92133502487286E-10</v>
      </c>
      <c r="DX92" s="192">
        <f t="shared" si="224"/>
        <v>1.9405483751215887E-10</v>
      </c>
      <c r="DY92" s="192">
        <f t="shared" si="224"/>
        <v>1.9599538588728047E-10</v>
      </c>
      <c r="DZ92" s="192">
        <f t="shared" si="224"/>
        <v>1.9795533974615327E-10</v>
      </c>
      <c r="EA92" s="192">
        <f t="shared" si="224"/>
        <v>1.9993489314361479E-10</v>
      </c>
      <c r="EB92" s="192">
        <f t="shared" si="224"/>
        <v>2.0193424207505092E-10</v>
      </c>
      <c r="EC92" s="192">
        <f t="shared" ref="EC92:FZ92" si="225">+IF(EB92&gt;0,EB92-EC95,IF(EC4&lt;$B$90,0,$B$92-EC95))</f>
        <v>2.0395358449580144E-10</v>
      </c>
      <c r="ED92" s="192">
        <f t="shared" si="225"/>
        <v>2.0599312034075945E-10</v>
      </c>
      <c r="EE92" s="192">
        <f t="shared" si="225"/>
        <v>2.0805305154416705E-10</v>
      </c>
      <c r="EF92" s="192">
        <f t="shared" si="225"/>
        <v>2.1013358205960872E-10</v>
      </c>
      <c r="EG92" s="192">
        <f t="shared" si="225"/>
        <v>2.1223491788020482E-10</v>
      </c>
      <c r="EH92" s="192">
        <f t="shared" si="225"/>
        <v>2.1435726705900685E-10</v>
      </c>
      <c r="EI92" s="192">
        <f t="shared" si="225"/>
        <v>2.1650083972959693E-10</v>
      </c>
      <c r="EJ92" s="192">
        <f t="shared" si="225"/>
        <v>2.1866584812689291E-10</v>
      </c>
      <c r="EK92" s="192">
        <f t="shared" si="225"/>
        <v>2.2085250660816183E-10</v>
      </c>
      <c r="EL92" s="192">
        <f t="shared" si="225"/>
        <v>2.2306103167424346E-10</v>
      </c>
      <c r="EM92" s="192">
        <f t="shared" si="225"/>
        <v>2.2529164199098589E-10</v>
      </c>
      <c r="EN92" s="192">
        <f t="shared" si="225"/>
        <v>2.2754455841089574E-10</v>
      </c>
      <c r="EO92" s="192">
        <f t="shared" si="225"/>
        <v>2.298200039950047E-10</v>
      </c>
      <c r="EP92" s="192">
        <f t="shared" si="225"/>
        <v>2.3211820403495473E-10</v>
      </c>
      <c r="EQ92" s="192">
        <f t="shared" si="225"/>
        <v>2.3443938607530426E-10</v>
      </c>
      <c r="ER92" s="192">
        <f t="shared" si="225"/>
        <v>2.367837799360573E-10</v>
      </c>
      <c r="ES92" s="192">
        <f t="shared" si="225"/>
        <v>2.3915161773541789E-10</v>
      </c>
      <c r="ET92" s="192">
        <f t="shared" si="225"/>
        <v>2.4154313391277209E-10</v>
      </c>
      <c r="EU92" s="192">
        <f t="shared" si="225"/>
        <v>2.4395856525189978E-10</v>
      </c>
      <c r="EV92" s="192">
        <f t="shared" si="225"/>
        <v>2.4639815090441878E-10</v>
      </c>
      <c r="EW92" s="192">
        <f t="shared" si="225"/>
        <v>2.48862132413463E-10</v>
      </c>
      <c r="EX92" s="192">
        <f t="shared" si="225"/>
        <v>2.513507537375976E-10</v>
      </c>
      <c r="EY92" s="192">
        <f t="shared" si="225"/>
        <v>2.5386426127497359E-10</v>
      </c>
      <c r="EZ92" s="192">
        <f t="shared" si="225"/>
        <v>2.5640290388772335E-10</v>
      </c>
      <c r="FA92" s="192">
        <f t="shared" si="225"/>
        <v>2.5896693292660059E-10</v>
      </c>
      <c r="FB92" s="192">
        <f t="shared" si="225"/>
        <v>2.6155660225586657E-10</v>
      </c>
      <c r="FC92" s="192">
        <f t="shared" si="225"/>
        <v>2.6417216827842526E-10</v>
      </c>
      <c r="FD92" s="192">
        <f t="shared" si="225"/>
        <v>2.6681388996120951E-10</v>
      </c>
      <c r="FE92" s="192">
        <f t="shared" si="225"/>
        <v>2.6948202886082163E-10</v>
      </c>
      <c r="FF92" s="192">
        <f t="shared" si="225"/>
        <v>2.7217684914942984E-10</v>
      </c>
      <c r="FG92" s="192">
        <f t="shared" si="225"/>
        <v>2.7489861764092412E-10</v>
      </c>
      <c r="FH92" s="192">
        <f t="shared" si="225"/>
        <v>2.7764760381733335E-10</v>
      </c>
      <c r="FI92" s="192">
        <f t="shared" si="225"/>
        <v>2.8042407985550667E-10</v>
      </c>
      <c r="FJ92" s="192">
        <f t="shared" si="225"/>
        <v>2.8322832065406171E-10</v>
      </c>
      <c r="FK92" s="192">
        <f t="shared" si="225"/>
        <v>2.8606060386060234E-10</v>
      </c>
      <c r="FL92" s="192">
        <f t="shared" si="225"/>
        <v>2.8892120989920839E-10</v>
      </c>
      <c r="FM92" s="192">
        <f t="shared" si="225"/>
        <v>2.9181042199820046E-10</v>
      </c>
      <c r="FN92" s="192">
        <f t="shared" si="225"/>
        <v>2.9472852621818245E-10</v>
      </c>
      <c r="FO92" s="192">
        <f t="shared" si="225"/>
        <v>2.9767581148036425E-10</v>
      </c>
      <c r="FP92" s="192">
        <f t="shared" si="225"/>
        <v>3.006525695951679E-10</v>
      </c>
      <c r="FQ92" s="192">
        <f t="shared" si="225"/>
        <v>3.0365909529111956E-10</v>
      </c>
      <c r="FR92" s="192">
        <f t="shared" si="225"/>
        <v>3.0669568624403078E-10</v>
      </c>
      <c r="FS92" s="192">
        <f t="shared" si="225"/>
        <v>3.097626431064711E-10</v>
      </c>
      <c r="FT92" s="192">
        <f t="shared" si="225"/>
        <v>3.1286026953753584E-10</v>
      </c>
      <c r="FU92" s="192">
        <f t="shared" si="225"/>
        <v>3.1598887223291119E-10</v>
      </c>
      <c r="FV92" s="192">
        <f t="shared" si="225"/>
        <v>3.1914876095524031E-10</v>
      </c>
      <c r="FW92" s="192">
        <f t="shared" si="225"/>
        <v>3.223402485647927E-10</v>
      </c>
      <c r="FX92" s="192">
        <f t="shared" si="225"/>
        <v>3.2556365105044063E-10</v>
      </c>
      <c r="FY92" s="192">
        <f t="shared" si="225"/>
        <v>3.2881928756094505E-10</v>
      </c>
      <c r="FZ92" s="192">
        <f t="shared" si="225"/>
        <v>3.3210748043655449E-10</v>
      </c>
    </row>
    <row r="93" spans="1:182" outlineLevel="1" x14ac:dyDescent="0.2">
      <c r="A93" s="24" t="s">
        <v>231</v>
      </c>
      <c r="B93" s="192">
        <f>SUM(C93:EP93)</f>
        <v>309767.09870527562</v>
      </c>
      <c r="C93" s="192">
        <v>0</v>
      </c>
      <c r="D93" s="192">
        <f>+IF(C92=0,0,IF(D4&gt;$B$88+$B$90,0,$B$89))</f>
        <v>0</v>
      </c>
      <c r="E93" s="192">
        <f t="shared" ref="E93:BP93" si="226">+IF(D92=0,0,IF(E4&gt;$B$88+$B$90,0,$B$89))</f>
        <v>0</v>
      </c>
      <c r="F93" s="192">
        <f t="shared" si="226"/>
        <v>0</v>
      </c>
      <c r="G93" s="192">
        <f t="shared" si="226"/>
        <v>0</v>
      </c>
      <c r="H93" s="192">
        <f t="shared" si="226"/>
        <v>0</v>
      </c>
      <c r="I93" s="192">
        <f t="shared" si="226"/>
        <v>0</v>
      </c>
      <c r="J93" s="192">
        <f t="shared" si="226"/>
        <v>0</v>
      </c>
      <c r="K93" s="192">
        <f t="shared" si="226"/>
        <v>0</v>
      </c>
      <c r="L93" s="192">
        <f t="shared" si="226"/>
        <v>0</v>
      </c>
      <c r="M93" s="192">
        <f t="shared" si="226"/>
        <v>0</v>
      </c>
      <c r="N93" s="192">
        <f t="shared" si="226"/>
        <v>0</v>
      </c>
      <c r="O93" s="192">
        <f t="shared" si="226"/>
        <v>0</v>
      </c>
      <c r="P93" s="192">
        <f t="shared" si="226"/>
        <v>0</v>
      </c>
      <c r="Q93" s="192">
        <f t="shared" si="226"/>
        <v>0</v>
      </c>
      <c r="R93" s="192">
        <f t="shared" si="226"/>
        <v>0</v>
      </c>
      <c r="S93" s="192">
        <f t="shared" si="226"/>
        <v>0</v>
      </c>
      <c r="T93" s="192">
        <f t="shared" si="226"/>
        <v>0</v>
      </c>
      <c r="U93" s="192">
        <f t="shared" si="226"/>
        <v>0</v>
      </c>
      <c r="V93" s="192">
        <f t="shared" si="226"/>
        <v>0</v>
      </c>
      <c r="W93" s="192">
        <f t="shared" si="226"/>
        <v>0</v>
      </c>
      <c r="X93" s="192">
        <f t="shared" si="226"/>
        <v>0</v>
      </c>
      <c r="Y93" s="192">
        <f t="shared" si="226"/>
        <v>0</v>
      </c>
      <c r="Z93" s="192">
        <f t="shared" si="226"/>
        <v>0</v>
      </c>
      <c r="AA93" s="192">
        <f t="shared" si="226"/>
        <v>0</v>
      </c>
      <c r="AB93" s="192">
        <f t="shared" si="226"/>
        <v>0</v>
      </c>
      <c r="AC93" s="192">
        <f t="shared" si="226"/>
        <v>0</v>
      </c>
      <c r="AD93" s="192">
        <f t="shared" si="226"/>
        <v>0</v>
      </c>
      <c r="AE93" s="192">
        <f t="shared" si="226"/>
        <v>0</v>
      </c>
      <c r="AF93" s="192">
        <f t="shared" si="226"/>
        <v>0</v>
      </c>
      <c r="AG93" s="192">
        <f t="shared" si="226"/>
        <v>0</v>
      </c>
      <c r="AH93" s="192">
        <f t="shared" si="226"/>
        <v>0</v>
      </c>
      <c r="AI93" s="192">
        <f t="shared" si="226"/>
        <v>0</v>
      </c>
      <c r="AJ93" s="192">
        <f t="shared" si="226"/>
        <v>0</v>
      </c>
      <c r="AK93" s="192">
        <f t="shared" si="226"/>
        <v>0</v>
      </c>
      <c r="AL93" s="192">
        <f t="shared" si="226"/>
        <v>0</v>
      </c>
      <c r="AM93" s="192">
        <f t="shared" si="226"/>
        <v>0</v>
      </c>
      <c r="AN93" s="192">
        <f t="shared" si="226"/>
        <v>0</v>
      </c>
      <c r="AO93" s="192">
        <f t="shared" si="226"/>
        <v>0</v>
      </c>
      <c r="AP93" s="192">
        <f t="shared" si="226"/>
        <v>0</v>
      </c>
      <c r="AQ93" s="192">
        <f t="shared" si="226"/>
        <v>0</v>
      </c>
      <c r="AR93" s="192">
        <f t="shared" si="226"/>
        <v>0</v>
      </c>
      <c r="AS93" s="192">
        <f t="shared" si="226"/>
        <v>0</v>
      </c>
      <c r="AT93" s="192">
        <f t="shared" si="226"/>
        <v>0</v>
      </c>
      <c r="AU93" s="192">
        <f t="shared" si="226"/>
        <v>0</v>
      </c>
      <c r="AV93" s="192">
        <f t="shared" si="226"/>
        <v>0</v>
      </c>
      <c r="AW93" s="192">
        <f t="shared" si="226"/>
        <v>0</v>
      </c>
      <c r="AX93" s="192">
        <f t="shared" si="226"/>
        <v>0</v>
      </c>
      <c r="AY93" s="192">
        <f t="shared" si="226"/>
        <v>0</v>
      </c>
      <c r="AZ93" s="192">
        <f t="shared" si="226"/>
        <v>0</v>
      </c>
      <c r="BA93" s="192">
        <f t="shared" si="226"/>
        <v>0</v>
      </c>
      <c r="BB93" s="192">
        <f t="shared" si="226"/>
        <v>0</v>
      </c>
      <c r="BC93" s="192">
        <f t="shared" si="226"/>
        <v>0</v>
      </c>
      <c r="BD93" s="192">
        <f t="shared" si="226"/>
        <v>0</v>
      </c>
      <c r="BE93" s="192">
        <f t="shared" si="226"/>
        <v>0</v>
      </c>
      <c r="BF93" s="192">
        <f t="shared" si="226"/>
        <v>0</v>
      </c>
      <c r="BG93" s="192">
        <f t="shared" si="226"/>
        <v>0</v>
      </c>
      <c r="BH93" s="192">
        <f t="shared" si="226"/>
        <v>0</v>
      </c>
      <c r="BI93" s="192">
        <f t="shared" si="226"/>
        <v>0</v>
      </c>
      <c r="BJ93" s="192">
        <f t="shared" si="226"/>
        <v>0</v>
      </c>
      <c r="BK93" s="192">
        <f t="shared" si="226"/>
        <v>0</v>
      </c>
      <c r="BL93" s="192">
        <f t="shared" si="226"/>
        <v>0</v>
      </c>
      <c r="BM93" s="192">
        <f t="shared" si="226"/>
        <v>0</v>
      </c>
      <c r="BN93" s="192">
        <f t="shared" si="226"/>
        <v>0</v>
      </c>
      <c r="BO93" s="192">
        <f t="shared" si="226"/>
        <v>0</v>
      </c>
      <c r="BP93" s="192">
        <f t="shared" si="226"/>
        <v>0</v>
      </c>
      <c r="BQ93" s="192">
        <f t="shared" ref="BQ93:EB93" si="227">+IF(BP92=0,0,IF(BQ4&gt;$B$88+$B$90,0,$B$89))</f>
        <v>0</v>
      </c>
      <c r="BR93" s="192">
        <f t="shared" si="227"/>
        <v>0</v>
      </c>
      <c r="BS93" s="192">
        <f t="shared" si="227"/>
        <v>0</v>
      </c>
      <c r="BT93" s="192">
        <f t="shared" si="227"/>
        <v>0</v>
      </c>
      <c r="BU93" s="192">
        <f t="shared" si="227"/>
        <v>0</v>
      </c>
      <c r="BV93" s="192">
        <f t="shared" si="227"/>
        <v>0</v>
      </c>
      <c r="BW93" s="192">
        <f t="shared" si="227"/>
        <v>6453.481223026567</v>
      </c>
      <c r="BX93" s="192">
        <f t="shared" si="227"/>
        <v>6453.481223026567</v>
      </c>
      <c r="BY93" s="192">
        <f t="shared" si="227"/>
        <v>6453.481223026567</v>
      </c>
      <c r="BZ93" s="192">
        <f t="shared" si="227"/>
        <v>6453.481223026567</v>
      </c>
      <c r="CA93" s="192">
        <f t="shared" si="227"/>
        <v>6453.481223026567</v>
      </c>
      <c r="CB93" s="192">
        <f t="shared" si="227"/>
        <v>6453.481223026567</v>
      </c>
      <c r="CC93" s="192">
        <f t="shared" si="227"/>
        <v>6453.481223026567</v>
      </c>
      <c r="CD93" s="192">
        <f t="shared" si="227"/>
        <v>6453.481223026567</v>
      </c>
      <c r="CE93" s="192">
        <f t="shared" si="227"/>
        <v>6453.481223026567</v>
      </c>
      <c r="CF93" s="192">
        <f t="shared" si="227"/>
        <v>6453.481223026567</v>
      </c>
      <c r="CG93" s="192">
        <f t="shared" si="227"/>
        <v>6453.481223026567</v>
      </c>
      <c r="CH93" s="192">
        <f t="shared" si="227"/>
        <v>6453.481223026567</v>
      </c>
      <c r="CI93" s="192">
        <f t="shared" si="227"/>
        <v>6453.481223026567</v>
      </c>
      <c r="CJ93" s="192">
        <f t="shared" si="227"/>
        <v>6453.481223026567</v>
      </c>
      <c r="CK93" s="192">
        <f t="shared" si="227"/>
        <v>6453.481223026567</v>
      </c>
      <c r="CL93" s="192">
        <f t="shared" si="227"/>
        <v>6453.481223026567</v>
      </c>
      <c r="CM93" s="192">
        <f t="shared" si="227"/>
        <v>6453.481223026567</v>
      </c>
      <c r="CN93" s="192">
        <f t="shared" si="227"/>
        <v>6453.481223026567</v>
      </c>
      <c r="CO93" s="192">
        <f t="shared" si="227"/>
        <v>6453.481223026567</v>
      </c>
      <c r="CP93" s="192">
        <f t="shared" si="227"/>
        <v>6453.481223026567</v>
      </c>
      <c r="CQ93" s="192">
        <f t="shared" si="227"/>
        <v>6453.481223026567</v>
      </c>
      <c r="CR93" s="192">
        <f t="shared" si="227"/>
        <v>6453.481223026567</v>
      </c>
      <c r="CS93" s="192">
        <f t="shared" si="227"/>
        <v>6453.481223026567</v>
      </c>
      <c r="CT93" s="192">
        <f t="shared" si="227"/>
        <v>6453.481223026567</v>
      </c>
      <c r="CU93" s="192">
        <f t="shared" si="227"/>
        <v>6453.481223026567</v>
      </c>
      <c r="CV93" s="192">
        <f t="shared" si="227"/>
        <v>6453.481223026567</v>
      </c>
      <c r="CW93" s="192">
        <f t="shared" si="227"/>
        <v>6453.481223026567</v>
      </c>
      <c r="CX93" s="192">
        <f t="shared" si="227"/>
        <v>6453.481223026567</v>
      </c>
      <c r="CY93" s="192">
        <f t="shared" si="227"/>
        <v>6453.481223026567</v>
      </c>
      <c r="CZ93" s="192">
        <f t="shared" si="227"/>
        <v>6453.481223026567</v>
      </c>
      <c r="DA93" s="192">
        <f t="shared" si="227"/>
        <v>6453.481223026567</v>
      </c>
      <c r="DB93" s="192">
        <f t="shared" si="227"/>
        <v>6453.481223026567</v>
      </c>
      <c r="DC93" s="192">
        <f t="shared" si="227"/>
        <v>6453.481223026567</v>
      </c>
      <c r="DD93" s="192">
        <f t="shared" si="227"/>
        <v>6453.481223026567</v>
      </c>
      <c r="DE93" s="192">
        <f t="shared" si="227"/>
        <v>6453.481223026567</v>
      </c>
      <c r="DF93" s="192">
        <f t="shared" si="227"/>
        <v>6453.481223026567</v>
      </c>
      <c r="DG93" s="192">
        <f t="shared" si="227"/>
        <v>6453.481223026567</v>
      </c>
      <c r="DH93" s="192">
        <f t="shared" si="227"/>
        <v>6453.481223026567</v>
      </c>
      <c r="DI93" s="192">
        <f t="shared" si="227"/>
        <v>6453.481223026567</v>
      </c>
      <c r="DJ93" s="192">
        <f t="shared" si="227"/>
        <v>6453.481223026567</v>
      </c>
      <c r="DK93" s="192">
        <f t="shared" si="227"/>
        <v>6453.481223026567</v>
      </c>
      <c r="DL93" s="192">
        <f t="shared" si="227"/>
        <v>6453.481223026567</v>
      </c>
      <c r="DM93" s="192">
        <f t="shared" si="227"/>
        <v>6453.481223026567</v>
      </c>
      <c r="DN93" s="192">
        <f t="shared" si="227"/>
        <v>6453.481223026567</v>
      </c>
      <c r="DO93" s="192">
        <f t="shared" si="227"/>
        <v>6453.481223026567</v>
      </c>
      <c r="DP93" s="192">
        <f t="shared" si="227"/>
        <v>6453.481223026567</v>
      </c>
      <c r="DQ93" s="192">
        <f t="shared" si="227"/>
        <v>6453.481223026567</v>
      </c>
      <c r="DR93" s="192">
        <f t="shared" si="227"/>
        <v>6453.481223026567</v>
      </c>
      <c r="DS93" s="192">
        <f t="shared" si="227"/>
        <v>0</v>
      </c>
      <c r="DT93" s="192">
        <f t="shared" si="227"/>
        <v>0</v>
      </c>
      <c r="DU93" s="192">
        <f t="shared" si="227"/>
        <v>0</v>
      </c>
      <c r="DV93" s="192">
        <f t="shared" si="227"/>
        <v>0</v>
      </c>
      <c r="DW93" s="192">
        <f t="shared" si="227"/>
        <v>0</v>
      </c>
      <c r="DX93" s="192">
        <f t="shared" si="227"/>
        <v>0</v>
      </c>
      <c r="DY93" s="192">
        <f t="shared" si="227"/>
        <v>0</v>
      </c>
      <c r="DZ93" s="192">
        <f t="shared" si="227"/>
        <v>0</v>
      </c>
      <c r="EA93" s="192">
        <f t="shared" si="227"/>
        <v>0</v>
      </c>
      <c r="EB93" s="192">
        <f t="shared" si="227"/>
        <v>0</v>
      </c>
      <c r="EC93" s="192">
        <f t="shared" ref="EC93:FZ93" si="228">+IF(EB92=0,0,IF(EC4&gt;$B$88+$B$90,0,$B$89))</f>
        <v>0</v>
      </c>
      <c r="ED93" s="192">
        <f t="shared" si="228"/>
        <v>0</v>
      </c>
      <c r="EE93" s="192">
        <f t="shared" si="228"/>
        <v>0</v>
      </c>
      <c r="EF93" s="192">
        <f t="shared" si="228"/>
        <v>0</v>
      </c>
      <c r="EG93" s="192">
        <f t="shared" si="228"/>
        <v>0</v>
      </c>
      <c r="EH93" s="192">
        <f t="shared" si="228"/>
        <v>0</v>
      </c>
      <c r="EI93" s="192">
        <f t="shared" si="228"/>
        <v>0</v>
      </c>
      <c r="EJ93" s="192">
        <f t="shared" si="228"/>
        <v>0</v>
      </c>
      <c r="EK93" s="192">
        <f t="shared" si="228"/>
        <v>0</v>
      </c>
      <c r="EL93" s="192">
        <f t="shared" si="228"/>
        <v>0</v>
      </c>
      <c r="EM93" s="192">
        <f t="shared" si="228"/>
        <v>0</v>
      </c>
      <c r="EN93" s="192">
        <f t="shared" si="228"/>
        <v>0</v>
      </c>
      <c r="EO93" s="192">
        <f t="shared" si="228"/>
        <v>0</v>
      </c>
      <c r="EP93" s="192">
        <f t="shared" si="228"/>
        <v>0</v>
      </c>
      <c r="EQ93" s="192">
        <f t="shared" si="228"/>
        <v>0</v>
      </c>
      <c r="ER93" s="192">
        <f t="shared" si="228"/>
        <v>0</v>
      </c>
      <c r="ES93" s="192">
        <f t="shared" si="228"/>
        <v>0</v>
      </c>
      <c r="ET93" s="192">
        <f t="shared" si="228"/>
        <v>0</v>
      </c>
      <c r="EU93" s="192">
        <f t="shared" si="228"/>
        <v>0</v>
      </c>
      <c r="EV93" s="192">
        <f t="shared" si="228"/>
        <v>0</v>
      </c>
      <c r="EW93" s="192">
        <f t="shared" si="228"/>
        <v>0</v>
      </c>
      <c r="EX93" s="192">
        <f t="shared" si="228"/>
        <v>0</v>
      </c>
      <c r="EY93" s="192">
        <f t="shared" si="228"/>
        <v>0</v>
      </c>
      <c r="EZ93" s="192">
        <f t="shared" si="228"/>
        <v>0</v>
      </c>
      <c r="FA93" s="192">
        <f t="shared" si="228"/>
        <v>0</v>
      </c>
      <c r="FB93" s="192">
        <f t="shared" si="228"/>
        <v>0</v>
      </c>
      <c r="FC93" s="192">
        <f t="shared" si="228"/>
        <v>0</v>
      </c>
      <c r="FD93" s="192">
        <f t="shared" si="228"/>
        <v>0</v>
      </c>
      <c r="FE93" s="192">
        <f t="shared" si="228"/>
        <v>0</v>
      </c>
      <c r="FF93" s="192">
        <f t="shared" si="228"/>
        <v>0</v>
      </c>
      <c r="FG93" s="192">
        <f t="shared" si="228"/>
        <v>0</v>
      </c>
      <c r="FH93" s="192">
        <f t="shared" si="228"/>
        <v>0</v>
      </c>
      <c r="FI93" s="192">
        <f t="shared" si="228"/>
        <v>0</v>
      </c>
      <c r="FJ93" s="192">
        <f t="shared" si="228"/>
        <v>0</v>
      </c>
      <c r="FK93" s="192">
        <f t="shared" si="228"/>
        <v>0</v>
      </c>
      <c r="FL93" s="192">
        <f t="shared" si="228"/>
        <v>0</v>
      </c>
      <c r="FM93" s="192">
        <f t="shared" si="228"/>
        <v>0</v>
      </c>
      <c r="FN93" s="192">
        <f t="shared" si="228"/>
        <v>0</v>
      </c>
      <c r="FO93" s="192">
        <f t="shared" si="228"/>
        <v>0</v>
      </c>
      <c r="FP93" s="192">
        <f t="shared" si="228"/>
        <v>0</v>
      </c>
      <c r="FQ93" s="192">
        <f t="shared" si="228"/>
        <v>0</v>
      </c>
      <c r="FR93" s="192">
        <f t="shared" si="228"/>
        <v>0</v>
      </c>
      <c r="FS93" s="192">
        <f t="shared" si="228"/>
        <v>0</v>
      </c>
      <c r="FT93" s="192">
        <f t="shared" si="228"/>
        <v>0</v>
      </c>
      <c r="FU93" s="192">
        <f t="shared" si="228"/>
        <v>0</v>
      </c>
      <c r="FV93" s="192">
        <f t="shared" si="228"/>
        <v>0</v>
      </c>
      <c r="FW93" s="192">
        <f t="shared" si="228"/>
        <v>0</v>
      </c>
      <c r="FX93" s="192">
        <f t="shared" si="228"/>
        <v>0</v>
      </c>
      <c r="FY93" s="192">
        <f t="shared" si="228"/>
        <v>0</v>
      </c>
      <c r="FZ93" s="192">
        <f t="shared" si="228"/>
        <v>0</v>
      </c>
    </row>
    <row r="94" spans="1:182" outlineLevel="1" x14ac:dyDescent="0.2">
      <c r="A94" s="24" t="s">
        <v>233</v>
      </c>
      <c r="B94" s="192">
        <f>SUM(C94:DR94)</f>
        <v>64702.864150129077</v>
      </c>
      <c r="C94" s="192">
        <v>0</v>
      </c>
      <c r="D94" s="192">
        <f>+C92*($B$87/12)</f>
        <v>0</v>
      </c>
      <c r="E94" s="192">
        <f t="shared" ref="E94:BP94" si="229">+D92*($B$87/12)</f>
        <v>0</v>
      </c>
      <c r="F94" s="192">
        <f t="shared" si="229"/>
        <v>0</v>
      </c>
      <c r="G94" s="192">
        <f t="shared" si="229"/>
        <v>0</v>
      </c>
      <c r="H94" s="192">
        <f t="shared" si="229"/>
        <v>0</v>
      </c>
      <c r="I94" s="192">
        <f t="shared" si="229"/>
        <v>0</v>
      </c>
      <c r="J94" s="192">
        <f t="shared" si="229"/>
        <v>0</v>
      </c>
      <c r="K94" s="192">
        <f t="shared" si="229"/>
        <v>0</v>
      </c>
      <c r="L94" s="192">
        <f t="shared" si="229"/>
        <v>0</v>
      </c>
      <c r="M94" s="192">
        <f t="shared" si="229"/>
        <v>0</v>
      </c>
      <c r="N94" s="192">
        <f t="shared" si="229"/>
        <v>0</v>
      </c>
      <c r="O94" s="192">
        <f t="shared" si="229"/>
        <v>0</v>
      </c>
      <c r="P94" s="192">
        <f t="shared" si="229"/>
        <v>0</v>
      </c>
      <c r="Q94" s="192">
        <f t="shared" si="229"/>
        <v>0</v>
      </c>
      <c r="R94" s="192">
        <f t="shared" si="229"/>
        <v>0</v>
      </c>
      <c r="S94" s="192">
        <f t="shared" si="229"/>
        <v>0</v>
      </c>
      <c r="T94" s="192">
        <f t="shared" si="229"/>
        <v>0</v>
      </c>
      <c r="U94" s="192">
        <f t="shared" si="229"/>
        <v>0</v>
      </c>
      <c r="V94" s="192">
        <f t="shared" si="229"/>
        <v>0</v>
      </c>
      <c r="W94" s="192">
        <f t="shared" si="229"/>
        <v>0</v>
      </c>
      <c r="X94" s="192">
        <f t="shared" si="229"/>
        <v>0</v>
      </c>
      <c r="Y94" s="192">
        <f t="shared" si="229"/>
        <v>0</v>
      </c>
      <c r="Z94" s="192">
        <f t="shared" si="229"/>
        <v>0</v>
      </c>
      <c r="AA94" s="192">
        <f t="shared" si="229"/>
        <v>0</v>
      </c>
      <c r="AB94" s="192">
        <f t="shared" si="229"/>
        <v>0</v>
      </c>
      <c r="AC94" s="192">
        <f t="shared" si="229"/>
        <v>0</v>
      </c>
      <c r="AD94" s="192">
        <f t="shared" si="229"/>
        <v>0</v>
      </c>
      <c r="AE94" s="192">
        <f t="shared" si="229"/>
        <v>0</v>
      </c>
      <c r="AF94" s="192">
        <f t="shared" si="229"/>
        <v>0</v>
      </c>
      <c r="AG94" s="192">
        <f t="shared" si="229"/>
        <v>0</v>
      </c>
      <c r="AH94" s="192">
        <f t="shared" si="229"/>
        <v>0</v>
      </c>
      <c r="AI94" s="192">
        <f t="shared" si="229"/>
        <v>0</v>
      </c>
      <c r="AJ94" s="192">
        <f t="shared" si="229"/>
        <v>0</v>
      </c>
      <c r="AK94" s="192">
        <f t="shared" si="229"/>
        <v>0</v>
      </c>
      <c r="AL94" s="192">
        <f t="shared" si="229"/>
        <v>0</v>
      </c>
      <c r="AM94" s="192">
        <f t="shared" si="229"/>
        <v>0</v>
      </c>
      <c r="AN94" s="192">
        <f t="shared" si="229"/>
        <v>0</v>
      </c>
      <c r="AO94" s="192">
        <f t="shared" si="229"/>
        <v>0</v>
      </c>
      <c r="AP94" s="192">
        <f t="shared" si="229"/>
        <v>0</v>
      </c>
      <c r="AQ94" s="192">
        <f t="shared" si="229"/>
        <v>0</v>
      </c>
      <c r="AR94" s="192">
        <f t="shared" si="229"/>
        <v>0</v>
      </c>
      <c r="AS94" s="192">
        <f t="shared" si="229"/>
        <v>0</v>
      </c>
      <c r="AT94" s="192">
        <f t="shared" si="229"/>
        <v>0</v>
      </c>
      <c r="AU94" s="192">
        <f t="shared" si="229"/>
        <v>0</v>
      </c>
      <c r="AV94" s="192">
        <f t="shared" si="229"/>
        <v>0</v>
      </c>
      <c r="AW94" s="192">
        <f t="shared" si="229"/>
        <v>0</v>
      </c>
      <c r="AX94" s="192">
        <f t="shared" si="229"/>
        <v>0</v>
      </c>
      <c r="AY94" s="192">
        <f t="shared" si="229"/>
        <v>0</v>
      </c>
      <c r="AZ94" s="192">
        <f t="shared" si="229"/>
        <v>0</v>
      </c>
      <c r="BA94" s="192">
        <f t="shared" si="229"/>
        <v>0</v>
      </c>
      <c r="BB94" s="192">
        <f t="shared" si="229"/>
        <v>0</v>
      </c>
      <c r="BC94" s="192">
        <f t="shared" si="229"/>
        <v>0</v>
      </c>
      <c r="BD94" s="192">
        <f t="shared" si="229"/>
        <v>0</v>
      </c>
      <c r="BE94" s="192">
        <f t="shared" si="229"/>
        <v>0</v>
      </c>
      <c r="BF94" s="192">
        <f t="shared" si="229"/>
        <v>0</v>
      </c>
      <c r="BG94" s="192">
        <f t="shared" si="229"/>
        <v>0</v>
      </c>
      <c r="BH94" s="192">
        <f t="shared" si="229"/>
        <v>0</v>
      </c>
      <c r="BI94" s="192">
        <f t="shared" si="229"/>
        <v>0</v>
      </c>
      <c r="BJ94" s="192">
        <f t="shared" si="229"/>
        <v>0</v>
      </c>
      <c r="BK94" s="192">
        <f t="shared" si="229"/>
        <v>0</v>
      </c>
      <c r="BL94" s="192">
        <f t="shared" si="229"/>
        <v>0</v>
      </c>
      <c r="BM94" s="192">
        <f t="shared" si="229"/>
        <v>0</v>
      </c>
      <c r="BN94" s="192">
        <f t="shared" si="229"/>
        <v>0</v>
      </c>
      <c r="BO94" s="192">
        <f t="shared" si="229"/>
        <v>0</v>
      </c>
      <c r="BP94" s="192">
        <f t="shared" si="229"/>
        <v>0</v>
      </c>
      <c r="BQ94" s="192">
        <f t="shared" ref="BQ94:EB94" si="230">+BP92*($B$87/12)</f>
        <v>0</v>
      </c>
      <c r="BR94" s="192">
        <f t="shared" si="230"/>
        <v>0</v>
      </c>
      <c r="BS94" s="192">
        <f t="shared" si="230"/>
        <v>0</v>
      </c>
      <c r="BT94" s="192">
        <f t="shared" si="230"/>
        <v>0</v>
      </c>
      <c r="BU94" s="192">
        <f t="shared" si="230"/>
        <v>0</v>
      </c>
      <c r="BV94" s="192">
        <f t="shared" si="230"/>
        <v>0</v>
      </c>
      <c r="BW94" s="192">
        <f t="shared" si="230"/>
        <v>2450.6423455514628</v>
      </c>
      <c r="BX94" s="192">
        <f t="shared" si="230"/>
        <v>2410.6139567767118</v>
      </c>
      <c r="BY94" s="192">
        <f t="shared" si="230"/>
        <v>2370.1852841142131</v>
      </c>
      <c r="BZ94" s="192">
        <f t="shared" si="230"/>
        <v>2329.3523247250896</v>
      </c>
      <c r="CA94" s="192">
        <f t="shared" si="230"/>
        <v>2288.1110357420748</v>
      </c>
      <c r="CB94" s="192">
        <f t="shared" si="230"/>
        <v>2246.4573338692303</v>
      </c>
      <c r="CC94" s="192">
        <f t="shared" si="230"/>
        <v>2204.3870949776569</v>
      </c>
      <c r="CD94" s="192">
        <f t="shared" si="230"/>
        <v>2161.8961536971674</v>
      </c>
      <c r="CE94" s="192">
        <f t="shared" si="230"/>
        <v>2118.9803030038738</v>
      </c>
      <c r="CF94" s="192">
        <f t="shared" si="230"/>
        <v>2075.6352938036466</v>
      </c>
      <c r="CG94" s="192">
        <f t="shared" si="230"/>
        <v>2031.8568345114177</v>
      </c>
      <c r="CH94" s="192">
        <f t="shared" si="230"/>
        <v>1987.6405906262662</v>
      </c>
      <c r="CI94" s="192">
        <f t="shared" si="230"/>
        <v>1942.9821843022632</v>
      </c>
      <c r="CJ94" s="192">
        <f t="shared" si="230"/>
        <v>1897.8771939150201</v>
      </c>
      <c r="CK94" s="192">
        <f t="shared" si="230"/>
        <v>1852.3211536239048</v>
      </c>
      <c r="CL94" s="192">
        <f t="shared" si="230"/>
        <v>1806.3095529298782</v>
      </c>
      <c r="CM94" s="192">
        <f t="shared" si="230"/>
        <v>1759.8378362289113</v>
      </c>
      <c r="CN94" s="192">
        <f t="shared" si="230"/>
        <v>1712.9014023609345</v>
      </c>
      <c r="CO94" s="192">
        <f t="shared" si="230"/>
        <v>1665.4956041542785</v>
      </c>
      <c r="CP94" s="192">
        <f t="shared" si="230"/>
        <v>1617.6157479655558</v>
      </c>
      <c r="CQ94" s="192">
        <f t="shared" si="230"/>
        <v>1569.2570932149456</v>
      </c>
      <c r="CR94" s="192">
        <f t="shared" si="230"/>
        <v>1520.4148519168293</v>
      </c>
      <c r="CS94" s="192">
        <f t="shared" si="230"/>
        <v>1471.0841882057318</v>
      </c>
      <c r="CT94" s="192">
        <f t="shared" si="230"/>
        <v>1421.2602178575235</v>
      </c>
      <c r="CU94" s="192">
        <f t="shared" si="230"/>
        <v>1370.9380078058332</v>
      </c>
      <c r="CV94" s="192">
        <f t="shared" si="230"/>
        <v>1320.1125756536258</v>
      </c>
      <c r="CW94" s="192">
        <f t="shared" si="230"/>
        <v>1268.7788891798964</v>
      </c>
      <c r="CX94" s="192">
        <f t="shared" si="230"/>
        <v>1216.9318658414297</v>
      </c>
      <c r="CY94" s="192">
        <f t="shared" si="230"/>
        <v>1164.5663722695783</v>
      </c>
      <c r="CZ94" s="192">
        <f t="shared" si="230"/>
        <v>1111.6772237620085</v>
      </c>
      <c r="DA94" s="192">
        <f t="shared" si="230"/>
        <v>1058.2591837693628</v>
      </c>
      <c r="DB94" s="192">
        <f t="shared" si="230"/>
        <v>1004.3069633767907</v>
      </c>
      <c r="DC94" s="192">
        <f t="shared" si="230"/>
        <v>949.81522078029286</v>
      </c>
      <c r="DD94" s="192">
        <f t="shared" si="230"/>
        <v>894.77856075783018</v>
      </c>
      <c r="DE94" s="192">
        <f t="shared" si="230"/>
        <v>839.19153413514277</v>
      </c>
      <c r="DF94" s="192">
        <f t="shared" si="230"/>
        <v>783.04863724622851</v>
      </c>
      <c r="DG94" s="192">
        <f t="shared" si="230"/>
        <v>726.34431138842513</v>
      </c>
      <c r="DH94" s="192">
        <f t="shared" si="230"/>
        <v>669.07294227204375</v>
      </c>
      <c r="DI94" s="192">
        <f t="shared" si="230"/>
        <v>611.22885946449856</v>
      </c>
      <c r="DJ94" s="192">
        <f t="shared" si="230"/>
        <v>552.80633582887788</v>
      </c>
      <c r="DK94" s="192">
        <f t="shared" si="230"/>
        <v>493.79958695690095</v>
      </c>
      <c r="DL94" s="192">
        <f t="shared" si="230"/>
        <v>434.20277059620429</v>
      </c>
      <c r="DM94" s="192">
        <f t="shared" si="230"/>
        <v>374.00998607190064</v>
      </c>
      <c r="DN94" s="192">
        <f t="shared" si="230"/>
        <v>313.21527370235401</v>
      </c>
      <c r="DO94" s="192">
        <f t="shared" si="230"/>
        <v>251.81261420911187</v>
      </c>
      <c r="DP94" s="192">
        <f t="shared" si="230"/>
        <v>189.7959281209373</v>
      </c>
      <c r="DQ94" s="192">
        <f t="shared" si="230"/>
        <v>127.15907517188101</v>
      </c>
      <c r="DR94" s="192">
        <f t="shared" si="230"/>
        <v>63.895853693334161</v>
      </c>
      <c r="DS94" s="192">
        <f t="shared" si="230"/>
        <v>1.828084350563586E-12</v>
      </c>
      <c r="DT94" s="192">
        <f t="shared" si="230"/>
        <v>1.8463651940692216E-12</v>
      </c>
      <c r="DU94" s="192">
        <f t="shared" si="230"/>
        <v>1.8648288460099138E-12</v>
      </c>
      <c r="DV94" s="192">
        <f t="shared" si="230"/>
        <v>1.8834771344700127E-12</v>
      </c>
      <c r="DW94" s="192">
        <f t="shared" si="230"/>
        <v>1.9023119058147131E-12</v>
      </c>
      <c r="DX94" s="192">
        <f t="shared" si="230"/>
        <v>1.9213350248728601E-12</v>
      </c>
      <c r="DY94" s="192">
        <f t="shared" si="230"/>
        <v>1.9405483751215888E-12</v>
      </c>
      <c r="DZ94" s="192">
        <f t="shared" si="230"/>
        <v>1.9599538588728047E-12</v>
      </c>
      <c r="EA94" s="192">
        <f t="shared" si="230"/>
        <v>1.9795533974615329E-12</v>
      </c>
      <c r="EB94" s="192">
        <f t="shared" si="230"/>
        <v>1.9993489314361479E-12</v>
      </c>
      <c r="EC94" s="192">
        <f t="shared" ref="EC94:FZ94" si="231">+EB92*($B$87/12)</f>
        <v>2.0193424207505094E-12</v>
      </c>
      <c r="ED94" s="192">
        <f t="shared" si="231"/>
        <v>2.0395358449580143E-12</v>
      </c>
      <c r="EE94" s="192">
        <f t="shared" si="231"/>
        <v>2.0599312034075947E-12</v>
      </c>
      <c r="EF94" s="192">
        <f t="shared" si="231"/>
        <v>2.0805305154416705E-12</v>
      </c>
      <c r="EG94" s="192">
        <f t="shared" si="231"/>
        <v>2.1013358205960872E-12</v>
      </c>
      <c r="EH94" s="192">
        <f t="shared" si="231"/>
        <v>2.1223491788020481E-12</v>
      </c>
      <c r="EI94" s="192">
        <f t="shared" si="231"/>
        <v>2.1435726705900686E-12</v>
      </c>
      <c r="EJ94" s="192">
        <f t="shared" si="231"/>
        <v>2.1650083972959694E-12</v>
      </c>
      <c r="EK94" s="192">
        <f t="shared" si="231"/>
        <v>2.1866584812689291E-12</v>
      </c>
      <c r="EL94" s="192">
        <f t="shared" si="231"/>
        <v>2.2085250660816182E-12</v>
      </c>
      <c r="EM94" s="192">
        <f t="shared" si="231"/>
        <v>2.2306103167424346E-12</v>
      </c>
      <c r="EN94" s="192">
        <f t="shared" si="231"/>
        <v>2.2529164199098589E-12</v>
      </c>
      <c r="EO94" s="192">
        <f t="shared" si="231"/>
        <v>2.2754455841089576E-12</v>
      </c>
      <c r="EP94" s="192">
        <f t="shared" si="231"/>
        <v>2.2982000399500468E-12</v>
      </c>
      <c r="EQ94" s="192">
        <f t="shared" si="231"/>
        <v>2.3211820403495475E-12</v>
      </c>
      <c r="ER94" s="192">
        <f t="shared" si="231"/>
        <v>2.3443938607530427E-12</v>
      </c>
      <c r="ES94" s="192">
        <f t="shared" si="231"/>
        <v>2.3678377993605729E-12</v>
      </c>
      <c r="ET94" s="192">
        <f t="shared" si="231"/>
        <v>2.3915161773541792E-12</v>
      </c>
      <c r="EU94" s="192">
        <f t="shared" si="231"/>
        <v>2.4154313391277209E-12</v>
      </c>
      <c r="EV94" s="192">
        <f t="shared" si="231"/>
        <v>2.439585652518998E-12</v>
      </c>
      <c r="EW94" s="192">
        <f t="shared" si="231"/>
        <v>2.4639815090441879E-12</v>
      </c>
      <c r="EX94" s="192">
        <f t="shared" si="231"/>
        <v>2.48862132413463E-12</v>
      </c>
      <c r="EY94" s="192">
        <f t="shared" si="231"/>
        <v>2.5135075373759763E-12</v>
      </c>
      <c r="EZ94" s="192">
        <f t="shared" si="231"/>
        <v>2.5386426127497359E-12</v>
      </c>
      <c r="FA94" s="192">
        <f t="shared" si="231"/>
        <v>2.5640290388772337E-12</v>
      </c>
      <c r="FB94" s="192">
        <f t="shared" si="231"/>
        <v>2.5896693292660057E-12</v>
      </c>
      <c r="FC94" s="192">
        <f t="shared" si="231"/>
        <v>2.6155660225586657E-12</v>
      </c>
      <c r="FD94" s="192">
        <f t="shared" si="231"/>
        <v>2.6417216827842526E-12</v>
      </c>
      <c r="FE94" s="192">
        <f t="shared" si="231"/>
        <v>2.6681388996120953E-12</v>
      </c>
      <c r="FF94" s="192">
        <f t="shared" si="231"/>
        <v>2.6948202886082162E-12</v>
      </c>
      <c r="FG94" s="192">
        <f t="shared" si="231"/>
        <v>2.7217684914942984E-12</v>
      </c>
      <c r="FH94" s="192">
        <f t="shared" si="231"/>
        <v>2.7489861764092413E-12</v>
      </c>
      <c r="FI94" s="192">
        <f t="shared" si="231"/>
        <v>2.7764760381733335E-12</v>
      </c>
      <c r="FJ94" s="192">
        <f t="shared" si="231"/>
        <v>2.8042407985550668E-12</v>
      </c>
      <c r="FK94" s="192">
        <f t="shared" si="231"/>
        <v>2.8322832065406172E-12</v>
      </c>
      <c r="FL94" s="192">
        <f t="shared" si="231"/>
        <v>2.8606060386060233E-12</v>
      </c>
      <c r="FM94" s="192">
        <f t="shared" si="231"/>
        <v>2.889212098992084E-12</v>
      </c>
      <c r="FN94" s="192">
        <f t="shared" si="231"/>
        <v>2.9181042199820048E-12</v>
      </c>
      <c r="FO94" s="192">
        <f t="shared" si="231"/>
        <v>2.9472852621818244E-12</v>
      </c>
      <c r="FP94" s="192">
        <f t="shared" si="231"/>
        <v>2.9767581148036427E-12</v>
      </c>
      <c r="FQ94" s="192">
        <f t="shared" si="231"/>
        <v>3.0065256959516792E-12</v>
      </c>
      <c r="FR94" s="192">
        <f t="shared" si="231"/>
        <v>3.0365909529111958E-12</v>
      </c>
      <c r="FS94" s="192">
        <f t="shared" si="231"/>
        <v>3.066956862440308E-12</v>
      </c>
      <c r="FT94" s="192">
        <f t="shared" si="231"/>
        <v>3.0976264310647109E-12</v>
      </c>
      <c r="FU94" s="192">
        <f t="shared" si="231"/>
        <v>3.1286026953753586E-12</v>
      </c>
      <c r="FV94" s="192">
        <f t="shared" si="231"/>
        <v>3.159888722329112E-12</v>
      </c>
      <c r="FW94" s="192">
        <f t="shared" si="231"/>
        <v>3.1914876095524033E-12</v>
      </c>
      <c r="FX94" s="192">
        <f t="shared" si="231"/>
        <v>3.2234024856479273E-12</v>
      </c>
      <c r="FY94" s="192">
        <f t="shared" si="231"/>
        <v>3.2556365105044062E-12</v>
      </c>
      <c r="FZ94" s="192">
        <f t="shared" si="231"/>
        <v>3.2881928756094508E-12</v>
      </c>
    </row>
    <row r="95" spans="1:182" outlineLevel="1" x14ac:dyDescent="0.2">
      <c r="A95" s="24" t="s">
        <v>234</v>
      </c>
      <c r="B95" s="192">
        <f>SUM(C95:DR95)</f>
        <v>245064.23455514613</v>
      </c>
      <c r="C95" s="192">
        <f t="shared" ref="C95:AH95" si="232">+C93-C94</f>
        <v>0</v>
      </c>
      <c r="D95" s="192">
        <f t="shared" si="232"/>
        <v>0</v>
      </c>
      <c r="E95" s="192">
        <f t="shared" si="232"/>
        <v>0</v>
      </c>
      <c r="F95" s="192">
        <f t="shared" si="232"/>
        <v>0</v>
      </c>
      <c r="G95" s="192">
        <f t="shared" si="232"/>
        <v>0</v>
      </c>
      <c r="H95" s="192">
        <f t="shared" si="232"/>
        <v>0</v>
      </c>
      <c r="I95" s="192">
        <f t="shared" si="232"/>
        <v>0</v>
      </c>
      <c r="J95" s="192">
        <f t="shared" si="232"/>
        <v>0</v>
      </c>
      <c r="K95" s="192">
        <f t="shared" si="232"/>
        <v>0</v>
      </c>
      <c r="L95" s="192">
        <f t="shared" si="232"/>
        <v>0</v>
      </c>
      <c r="M95" s="192">
        <f t="shared" si="232"/>
        <v>0</v>
      </c>
      <c r="N95" s="192">
        <f t="shared" si="232"/>
        <v>0</v>
      </c>
      <c r="O95" s="192">
        <f t="shared" si="232"/>
        <v>0</v>
      </c>
      <c r="P95" s="192">
        <f t="shared" si="232"/>
        <v>0</v>
      </c>
      <c r="Q95" s="192">
        <f t="shared" si="232"/>
        <v>0</v>
      </c>
      <c r="R95" s="192">
        <f t="shared" si="232"/>
        <v>0</v>
      </c>
      <c r="S95" s="192">
        <f t="shared" si="232"/>
        <v>0</v>
      </c>
      <c r="T95" s="192">
        <f t="shared" si="232"/>
        <v>0</v>
      </c>
      <c r="U95" s="192">
        <f t="shared" si="232"/>
        <v>0</v>
      </c>
      <c r="V95" s="192">
        <f t="shared" si="232"/>
        <v>0</v>
      </c>
      <c r="W95" s="192">
        <f t="shared" si="232"/>
        <v>0</v>
      </c>
      <c r="X95" s="192">
        <f t="shared" si="232"/>
        <v>0</v>
      </c>
      <c r="Y95" s="192">
        <f t="shared" si="232"/>
        <v>0</v>
      </c>
      <c r="Z95" s="192">
        <f t="shared" si="232"/>
        <v>0</v>
      </c>
      <c r="AA95" s="192">
        <f t="shared" si="232"/>
        <v>0</v>
      </c>
      <c r="AB95" s="192">
        <f t="shared" si="232"/>
        <v>0</v>
      </c>
      <c r="AC95" s="192">
        <f t="shared" si="232"/>
        <v>0</v>
      </c>
      <c r="AD95" s="192">
        <f t="shared" si="232"/>
        <v>0</v>
      </c>
      <c r="AE95" s="192">
        <f t="shared" si="232"/>
        <v>0</v>
      </c>
      <c r="AF95" s="192">
        <f t="shared" si="232"/>
        <v>0</v>
      </c>
      <c r="AG95" s="192">
        <f t="shared" si="232"/>
        <v>0</v>
      </c>
      <c r="AH95" s="192">
        <f t="shared" si="232"/>
        <v>0</v>
      </c>
      <c r="AI95" s="192">
        <f t="shared" ref="AI95:BN95" si="233">+AI93-AI94</f>
        <v>0</v>
      </c>
      <c r="AJ95" s="192">
        <f t="shared" si="233"/>
        <v>0</v>
      </c>
      <c r="AK95" s="192">
        <f t="shared" si="233"/>
        <v>0</v>
      </c>
      <c r="AL95" s="192">
        <f t="shared" si="233"/>
        <v>0</v>
      </c>
      <c r="AM95" s="192">
        <f t="shared" si="233"/>
        <v>0</v>
      </c>
      <c r="AN95" s="192">
        <f t="shared" si="233"/>
        <v>0</v>
      </c>
      <c r="AO95" s="192">
        <f t="shared" si="233"/>
        <v>0</v>
      </c>
      <c r="AP95" s="192">
        <f t="shared" si="233"/>
        <v>0</v>
      </c>
      <c r="AQ95" s="192">
        <f t="shared" si="233"/>
        <v>0</v>
      </c>
      <c r="AR95" s="192">
        <f t="shared" si="233"/>
        <v>0</v>
      </c>
      <c r="AS95" s="192">
        <f t="shared" si="233"/>
        <v>0</v>
      </c>
      <c r="AT95" s="192">
        <f t="shared" si="233"/>
        <v>0</v>
      </c>
      <c r="AU95" s="192">
        <f t="shared" si="233"/>
        <v>0</v>
      </c>
      <c r="AV95" s="192">
        <f t="shared" si="233"/>
        <v>0</v>
      </c>
      <c r="AW95" s="192">
        <f t="shared" si="233"/>
        <v>0</v>
      </c>
      <c r="AX95" s="192">
        <f t="shared" si="233"/>
        <v>0</v>
      </c>
      <c r="AY95" s="192">
        <f t="shared" si="233"/>
        <v>0</v>
      </c>
      <c r="AZ95" s="192">
        <f t="shared" si="233"/>
        <v>0</v>
      </c>
      <c r="BA95" s="192">
        <f t="shared" si="233"/>
        <v>0</v>
      </c>
      <c r="BB95" s="192">
        <f t="shared" si="233"/>
        <v>0</v>
      </c>
      <c r="BC95" s="192">
        <f t="shared" si="233"/>
        <v>0</v>
      </c>
      <c r="BD95" s="192">
        <f t="shared" si="233"/>
        <v>0</v>
      </c>
      <c r="BE95" s="192">
        <f t="shared" si="233"/>
        <v>0</v>
      </c>
      <c r="BF95" s="192">
        <f t="shared" si="233"/>
        <v>0</v>
      </c>
      <c r="BG95" s="192">
        <f t="shared" si="233"/>
        <v>0</v>
      </c>
      <c r="BH95" s="192">
        <f t="shared" si="233"/>
        <v>0</v>
      </c>
      <c r="BI95" s="192">
        <f t="shared" si="233"/>
        <v>0</v>
      </c>
      <c r="BJ95" s="192">
        <f t="shared" si="233"/>
        <v>0</v>
      </c>
      <c r="BK95" s="192">
        <f t="shared" si="233"/>
        <v>0</v>
      </c>
      <c r="BL95" s="192">
        <f t="shared" si="233"/>
        <v>0</v>
      </c>
      <c r="BM95" s="192">
        <f t="shared" si="233"/>
        <v>0</v>
      </c>
      <c r="BN95" s="192">
        <f t="shared" si="233"/>
        <v>0</v>
      </c>
      <c r="BO95" s="192">
        <f t="shared" ref="BO95:CT95" si="234">+BO93-BO94</f>
        <v>0</v>
      </c>
      <c r="BP95" s="192">
        <f t="shared" si="234"/>
        <v>0</v>
      </c>
      <c r="BQ95" s="192">
        <f t="shared" si="234"/>
        <v>0</v>
      </c>
      <c r="BR95" s="192">
        <f t="shared" si="234"/>
        <v>0</v>
      </c>
      <c r="BS95" s="192">
        <f t="shared" si="234"/>
        <v>0</v>
      </c>
      <c r="BT95" s="192">
        <f t="shared" si="234"/>
        <v>0</v>
      </c>
      <c r="BU95" s="192">
        <f t="shared" si="234"/>
        <v>0</v>
      </c>
      <c r="BV95" s="192">
        <f t="shared" si="234"/>
        <v>0</v>
      </c>
      <c r="BW95" s="192">
        <f t="shared" si="234"/>
        <v>4002.8388774751043</v>
      </c>
      <c r="BX95" s="192">
        <f t="shared" si="234"/>
        <v>4042.8672662498552</v>
      </c>
      <c r="BY95" s="192">
        <f t="shared" si="234"/>
        <v>4083.2959389123539</v>
      </c>
      <c r="BZ95" s="192">
        <f t="shared" si="234"/>
        <v>4124.1288983014774</v>
      </c>
      <c r="CA95" s="192">
        <f t="shared" si="234"/>
        <v>4165.3701872844922</v>
      </c>
      <c r="CB95" s="192">
        <f t="shared" si="234"/>
        <v>4207.0238891573372</v>
      </c>
      <c r="CC95" s="192">
        <f t="shared" si="234"/>
        <v>4249.0941280489096</v>
      </c>
      <c r="CD95" s="192">
        <f t="shared" si="234"/>
        <v>4291.5850693293996</v>
      </c>
      <c r="CE95" s="192">
        <f t="shared" si="234"/>
        <v>4334.5009200226932</v>
      </c>
      <c r="CF95" s="192">
        <f t="shared" si="234"/>
        <v>4377.8459292229199</v>
      </c>
      <c r="CG95" s="192">
        <f t="shared" si="234"/>
        <v>4421.6243885151489</v>
      </c>
      <c r="CH95" s="192">
        <f t="shared" si="234"/>
        <v>4465.8406324003008</v>
      </c>
      <c r="CI95" s="192">
        <f t="shared" si="234"/>
        <v>4510.4990387243033</v>
      </c>
      <c r="CJ95" s="192">
        <f t="shared" si="234"/>
        <v>4555.6040291115469</v>
      </c>
      <c r="CK95" s="192">
        <f t="shared" si="234"/>
        <v>4601.160069402662</v>
      </c>
      <c r="CL95" s="192">
        <f t="shared" si="234"/>
        <v>4647.171670096689</v>
      </c>
      <c r="CM95" s="192">
        <f t="shared" si="234"/>
        <v>4693.6433867976557</v>
      </c>
      <c r="CN95" s="192">
        <f t="shared" si="234"/>
        <v>4740.5798206656327</v>
      </c>
      <c r="CO95" s="192">
        <f t="shared" si="234"/>
        <v>4787.9856188722888</v>
      </c>
      <c r="CP95" s="192">
        <f t="shared" si="234"/>
        <v>4835.8654750610112</v>
      </c>
      <c r="CQ95" s="192">
        <f t="shared" si="234"/>
        <v>4884.2241298116214</v>
      </c>
      <c r="CR95" s="192">
        <f t="shared" si="234"/>
        <v>4933.0663711097377</v>
      </c>
      <c r="CS95" s="192">
        <f t="shared" si="234"/>
        <v>4982.397034820835</v>
      </c>
      <c r="CT95" s="192">
        <f t="shared" si="234"/>
        <v>5032.2210051690436</v>
      </c>
      <c r="CU95" s="192">
        <f t="shared" ref="CU95:DZ95" si="235">+CU93-CU94</f>
        <v>5082.5432152207341</v>
      </c>
      <c r="CV95" s="192">
        <f t="shared" si="235"/>
        <v>5133.3686473729413</v>
      </c>
      <c r="CW95" s="192">
        <f t="shared" si="235"/>
        <v>5184.7023338466706</v>
      </c>
      <c r="CX95" s="192">
        <f t="shared" si="235"/>
        <v>5236.5493571851375</v>
      </c>
      <c r="CY95" s="192">
        <f t="shared" si="235"/>
        <v>5288.9148507569889</v>
      </c>
      <c r="CZ95" s="192">
        <f t="shared" si="235"/>
        <v>5341.803999264559</v>
      </c>
      <c r="DA95" s="192">
        <f t="shared" si="235"/>
        <v>5395.2220392572044</v>
      </c>
      <c r="DB95" s="192">
        <f t="shared" si="235"/>
        <v>5449.1742596497761</v>
      </c>
      <c r="DC95" s="192">
        <f t="shared" si="235"/>
        <v>5503.6660022462738</v>
      </c>
      <c r="DD95" s="192">
        <f t="shared" si="235"/>
        <v>5558.7026622687372</v>
      </c>
      <c r="DE95" s="192">
        <f t="shared" si="235"/>
        <v>5614.2896888914238</v>
      </c>
      <c r="DF95" s="192">
        <f t="shared" si="235"/>
        <v>5670.4325857803387</v>
      </c>
      <c r="DG95" s="192">
        <f t="shared" si="235"/>
        <v>5727.136911638142</v>
      </c>
      <c r="DH95" s="192">
        <f t="shared" si="235"/>
        <v>5784.4082807545237</v>
      </c>
      <c r="DI95" s="192">
        <f t="shared" si="235"/>
        <v>5842.2523635620682</v>
      </c>
      <c r="DJ95" s="192">
        <f t="shared" si="235"/>
        <v>5900.6748871976888</v>
      </c>
      <c r="DK95" s="192">
        <f t="shared" si="235"/>
        <v>5959.6816360696657</v>
      </c>
      <c r="DL95" s="192">
        <f t="shared" si="235"/>
        <v>6019.2784524303624</v>
      </c>
      <c r="DM95" s="192">
        <f t="shared" si="235"/>
        <v>6079.471236954666</v>
      </c>
      <c r="DN95" s="192">
        <f t="shared" si="235"/>
        <v>6140.2659493242127</v>
      </c>
      <c r="DO95" s="192">
        <f t="shared" si="235"/>
        <v>6201.6686088174556</v>
      </c>
      <c r="DP95" s="192">
        <f t="shared" si="235"/>
        <v>6263.6852949056301</v>
      </c>
      <c r="DQ95" s="192">
        <f t="shared" si="235"/>
        <v>6326.3221478546857</v>
      </c>
      <c r="DR95" s="192">
        <f t="shared" si="235"/>
        <v>6389.5853693332328</v>
      </c>
      <c r="DS95" s="192">
        <f t="shared" si="235"/>
        <v>-1.828084350563586E-12</v>
      </c>
      <c r="DT95" s="192">
        <f t="shared" si="235"/>
        <v>-1.8463651940692216E-12</v>
      </c>
      <c r="DU95" s="192">
        <f t="shared" si="235"/>
        <v>-1.8648288460099138E-12</v>
      </c>
      <c r="DV95" s="192">
        <f t="shared" si="235"/>
        <v>-1.8834771344700127E-12</v>
      </c>
      <c r="DW95" s="192">
        <f t="shared" si="235"/>
        <v>-1.9023119058147131E-12</v>
      </c>
      <c r="DX95" s="192">
        <f t="shared" si="235"/>
        <v>-1.9213350248728601E-12</v>
      </c>
      <c r="DY95" s="192">
        <f t="shared" si="235"/>
        <v>-1.9405483751215888E-12</v>
      </c>
      <c r="DZ95" s="192">
        <f t="shared" si="235"/>
        <v>-1.9599538588728047E-12</v>
      </c>
      <c r="EA95" s="192">
        <f t="shared" ref="EA95:FF95" si="236">+EA93-EA94</f>
        <v>-1.9795533974615329E-12</v>
      </c>
      <c r="EB95" s="192">
        <f t="shared" si="236"/>
        <v>-1.9993489314361479E-12</v>
      </c>
      <c r="EC95" s="192">
        <f t="shared" si="236"/>
        <v>-2.0193424207505094E-12</v>
      </c>
      <c r="ED95" s="192">
        <f t="shared" si="236"/>
        <v>-2.0395358449580143E-12</v>
      </c>
      <c r="EE95" s="192">
        <f t="shared" si="236"/>
        <v>-2.0599312034075947E-12</v>
      </c>
      <c r="EF95" s="192">
        <f t="shared" si="236"/>
        <v>-2.0805305154416705E-12</v>
      </c>
      <c r="EG95" s="192">
        <f t="shared" si="236"/>
        <v>-2.1013358205960872E-12</v>
      </c>
      <c r="EH95" s="192">
        <f t="shared" si="236"/>
        <v>-2.1223491788020481E-12</v>
      </c>
      <c r="EI95" s="192">
        <f t="shared" si="236"/>
        <v>-2.1435726705900686E-12</v>
      </c>
      <c r="EJ95" s="192">
        <f t="shared" si="236"/>
        <v>-2.1650083972959694E-12</v>
      </c>
      <c r="EK95" s="192">
        <f t="shared" si="236"/>
        <v>-2.1866584812689291E-12</v>
      </c>
      <c r="EL95" s="192">
        <f t="shared" si="236"/>
        <v>-2.2085250660816182E-12</v>
      </c>
      <c r="EM95" s="192">
        <f t="shared" si="236"/>
        <v>-2.2306103167424346E-12</v>
      </c>
      <c r="EN95" s="192">
        <f t="shared" si="236"/>
        <v>-2.2529164199098589E-12</v>
      </c>
      <c r="EO95" s="192">
        <f t="shared" si="236"/>
        <v>-2.2754455841089576E-12</v>
      </c>
      <c r="EP95" s="192">
        <f t="shared" si="236"/>
        <v>-2.2982000399500468E-12</v>
      </c>
      <c r="EQ95" s="192">
        <f t="shared" si="236"/>
        <v>-2.3211820403495475E-12</v>
      </c>
      <c r="ER95" s="192">
        <f t="shared" si="236"/>
        <v>-2.3443938607530427E-12</v>
      </c>
      <c r="ES95" s="192">
        <f t="shared" si="236"/>
        <v>-2.3678377993605729E-12</v>
      </c>
      <c r="ET95" s="192">
        <f t="shared" si="236"/>
        <v>-2.3915161773541792E-12</v>
      </c>
      <c r="EU95" s="192">
        <f t="shared" si="236"/>
        <v>-2.4154313391277209E-12</v>
      </c>
      <c r="EV95" s="192">
        <f t="shared" si="236"/>
        <v>-2.439585652518998E-12</v>
      </c>
      <c r="EW95" s="192">
        <f t="shared" si="236"/>
        <v>-2.4639815090441879E-12</v>
      </c>
      <c r="EX95" s="192">
        <f t="shared" si="236"/>
        <v>-2.48862132413463E-12</v>
      </c>
      <c r="EY95" s="192">
        <f t="shared" si="236"/>
        <v>-2.5135075373759763E-12</v>
      </c>
      <c r="EZ95" s="192">
        <f t="shared" si="236"/>
        <v>-2.5386426127497359E-12</v>
      </c>
      <c r="FA95" s="192">
        <f t="shared" si="236"/>
        <v>-2.5640290388772337E-12</v>
      </c>
      <c r="FB95" s="192">
        <f t="shared" si="236"/>
        <v>-2.5896693292660057E-12</v>
      </c>
      <c r="FC95" s="192">
        <f t="shared" si="236"/>
        <v>-2.6155660225586657E-12</v>
      </c>
      <c r="FD95" s="192">
        <f t="shared" si="236"/>
        <v>-2.6417216827842526E-12</v>
      </c>
      <c r="FE95" s="192">
        <f t="shared" si="236"/>
        <v>-2.6681388996120953E-12</v>
      </c>
      <c r="FF95" s="192">
        <f t="shared" si="236"/>
        <v>-2.6948202886082162E-12</v>
      </c>
      <c r="FG95" s="192">
        <f t="shared" ref="FG95:FZ95" si="237">+FG93-FG94</f>
        <v>-2.7217684914942984E-12</v>
      </c>
      <c r="FH95" s="192">
        <f t="shared" si="237"/>
        <v>-2.7489861764092413E-12</v>
      </c>
      <c r="FI95" s="192">
        <f t="shared" si="237"/>
        <v>-2.7764760381733335E-12</v>
      </c>
      <c r="FJ95" s="192">
        <f t="shared" si="237"/>
        <v>-2.8042407985550668E-12</v>
      </c>
      <c r="FK95" s="192">
        <f t="shared" si="237"/>
        <v>-2.8322832065406172E-12</v>
      </c>
      <c r="FL95" s="192">
        <f t="shared" si="237"/>
        <v>-2.8606060386060233E-12</v>
      </c>
      <c r="FM95" s="192">
        <f t="shared" si="237"/>
        <v>-2.889212098992084E-12</v>
      </c>
      <c r="FN95" s="192">
        <f t="shared" si="237"/>
        <v>-2.9181042199820048E-12</v>
      </c>
      <c r="FO95" s="192">
        <f t="shared" si="237"/>
        <v>-2.9472852621818244E-12</v>
      </c>
      <c r="FP95" s="192">
        <f t="shared" si="237"/>
        <v>-2.9767581148036427E-12</v>
      </c>
      <c r="FQ95" s="192">
        <f t="shared" si="237"/>
        <v>-3.0065256959516792E-12</v>
      </c>
      <c r="FR95" s="192">
        <f t="shared" si="237"/>
        <v>-3.0365909529111958E-12</v>
      </c>
      <c r="FS95" s="192">
        <f t="shared" si="237"/>
        <v>-3.066956862440308E-12</v>
      </c>
      <c r="FT95" s="192">
        <f t="shared" si="237"/>
        <v>-3.0976264310647109E-12</v>
      </c>
      <c r="FU95" s="192">
        <f t="shared" si="237"/>
        <v>-3.1286026953753586E-12</v>
      </c>
      <c r="FV95" s="192">
        <f t="shared" si="237"/>
        <v>-3.159888722329112E-12</v>
      </c>
      <c r="FW95" s="192">
        <f t="shared" si="237"/>
        <v>-3.1914876095524033E-12</v>
      </c>
      <c r="FX95" s="192">
        <f t="shared" si="237"/>
        <v>-3.2234024856479273E-12</v>
      </c>
      <c r="FY95" s="192">
        <f t="shared" si="237"/>
        <v>-3.2556365105044062E-12</v>
      </c>
      <c r="FZ95" s="192">
        <f t="shared" si="237"/>
        <v>-3.2881928756094508E-12</v>
      </c>
    </row>
    <row r="98" spans="1:182" x14ac:dyDescent="0.2">
      <c r="A98" s="145" t="s">
        <v>441</v>
      </c>
    </row>
    <row r="99" spans="1:182" outlineLevel="1" x14ac:dyDescent="0.2">
      <c r="A99" s="24" t="s">
        <v>228</v>
      </c>
      <c r="B99" s="166">
        <f>+Inv.Rep.!J58</f>
        <v>254866.80393735206</v>
      </c>
    </row>
    <row r="100" spans="1:182" outlineLevel="1" x14ac:dyDescent="0.2">
      <c r="A100" s="24" t="s">
        <v>229</v>
      </c>
      <c r="B100" s="191">
        <f>+Condiciones!$B$20</f>
        <v>0.12</v>
      </c>
    </row>
    <row r="101" spans="1:182" outlineLevel="1" x14ac:dyDescent="0.2">
      <c r="A101" s="24" t="s">
        <v>230</v>
      </c>
      <c r="B101" s="139">
        <v>36</v>
      </c>
    </row>
    <row r="102" spans="1:182" outlineLevel="1" x14ac:dyDescent="0.2">
      <c r="A102" s="24" t="s">
        <v>231</v>
      </c>
      <c r="B102" s="192">
        <f>PMT(B100/12,B101,-B99)</f>
        <v>8465.2249869864136</v>
      </c>
    </row>
    <row r="103" spans="1:182" outlineLevel="1" x14ac:dyDescent="0.2">
      <c r="A103" s="24" t="s">
        <v>356</v>
      </c>
      <c r="B103" s="139">
        <v>84</v>
      </c>
    </row>
    <row r="104" spans="1:182" outlineLevel="1" x14ac:dyDescent="0.2"/>
    <row r="105" spans="1:182" outlineLevel="1" x14ac:dyDescent="0.2">
      <c r="A105" s="24" t="s">
        <v>232</v>
      </c>
      <c r="B105" s="166">
        <f>+B99</f>
        <v>254866.80393735206</v>
      </c>
      <c r="C105" s="192">
        <v>0</v>
      </c>
      <c r="D105" s="192">
        <f>+IF(C105&gt;0,C105-D108,IF(D4&lt;$B$103,0,$B$105-D108))</f>
        <v>0</v>
      </c>
      <c r="E105" s="192">
        <f t="shared" ref="E105:BP105" si="238">+IF(D105&gt;0,D105-E108,IF(E4&lt;$B$103,0,$B$105-E108))</f>
        <v>0</v>
      </c>
      <c r="F105" s="192">
        <f t="shared" si="238"/>
        <v>0</v>
      </c>
      <c r="G105" s="192">
        <f t="shared" si="238"/>
        <v>0</v>
      </c>
      <c r="H105" s="192">
        <f t="shared" si="238"/>
        <v>0</v>
      </c>
      <c r="I105" s="192">
        <f t="shared" si="238"/>
        <v>0</v>
      </c>
      <c r="J105" s="192">
        <f t="shared" si="238"/>
        <v>0</v>
      </c>
      <c r="K105" s="192">
        <f t="shared" si="238"/>
        <v>0</v>
      </c>
      <c r="L105" s="192">
        <f t="shared" si="238"/>
        <v>0</v>
      </c>
      <c r="M105" s="192">
        <f t="shared" si="238"/>
        <v>0</v>
      </c>
      <c r="N105" s="192">
        <f t="shared" si="238"/>
        <v>0</v>
      </c>
      <c r="O105" s="192">
        <f t="shared" si="238"/>
        <v>0</v>
      </c>
      <c r="P105" s="192">
        <f t="shared" si="238"/>
        <v>0</v>
      </c>
      <c r="Q105" s="192">
        <f t="shared" si="238"/>
        <v>0</v>
      </c>
      <c r="R105" s="192">
        <f t="shared" si="238"/>
        <v>0</v>
      </c>
      <c r="S105" s="192">
        <f t="shared" si="238"/>
        <v>0</v>
      </c>
      <c r="T105" s="192">
        <f t="shared" si="238"/>
        <v>0</v>
      </c>
      <c r="U105" s="192">
        <f t="shared" si="238"/>
        <v>0</v>
      </c>
      <c r="V105" s="192">
        <f t="shared" si="238"/>
        <v>0</v>
      </c>
      <c r="W105" s="192">
        <f t="shared" si="238"/>
        <v>0</v>
      </c>
      <c r="X105" s="192">
        <f t="shared" si="238"/>
        <v>0</v>
      </c>
      <c r="Y105" s="192">
        <f t="shared" si="238"/>
        <v>0</v>
      </c>
      <c r="Z105" s="192">
        <f t="shared" si="238"/>
        <v>0</v>
      </c>
      <c r="AA105" s="192">
        <f t="shared" si="238"/>
        <v>0</v>
      </c>
      <c r="AB105" s="192">
        <f t="shared" si="238"/>
        <v>0</v>
      </c>
      <c r="AC105" s="192">
        <f t="shared" si="238"/>
        <v>0</v>
      </c>
      <c r="AD105" s="192">
        <f t="shared" si="238"/>
        <v>0</v>
      </c>
      <c r="AE105" s="192">
        <f t="shared" si="238"/>
        <v>0</v>
      </c>
      <c r="AF105" s="192">
        <f t="shared" si="238"/>
        <v>0</v>
      </c>
      <c r="AG105" s="192">
        <f t="shared" si="238"/>
        <v>0</v>
      </c>
      <c r="AH105" s="192">
        <f t="shared" si="238"/>
        <v>0</v>
      </c>
      <c r="AI105" s="192">
        <f t="shared" si="238"/>
        <v>0</v>
      </c>
      <c r="AJ105" s="192">
        <f t="shared" si="238"/>
        <v>0</v>
      </c>
      <c r="AK105" s="192">
        <f t="shared" si="238"/>
        <v>0</v>
      </c>
      <c r="AL105" s="192">
        <f t="shared" si="238"/>
        <v>0</v>
      </c>
      <c r="AM105" s="192">
        <f t="shared" si="238"/>
        <v>0</v>
      </c>
      <c r="AN105" s="192">
        <f t="shared" si="238"/>
        <v>0</v>
      </c>
      <c r="AO105" s="192">
        <f t="shared" si="238"/>
        <v>0</v>
      </c>
      <c r="AP105" s="192">
        <f t="shared" si="238"/>
        <v>0</v>
      </c>
      <c r="AQ105" s="192">
        <f t="shared" si="238"/>
        <v>0</v>
      </c>
      <c r="AR105" s="192">
        <f t="shared" si="238"/>
        <v>0</v>
      </c>
      <c r="AS105" s="192">
        <f t="shared" si="238"/>
        <v>0</v>
      </c>
      <c r="AT105" s="192">
        <f t="shared" si="238"/>
        <v>0</v>
      </c>
      <c r="AU105" s="192">
        <f t="shared" si="238"/>
        <v>0</v>
      </c>
      <c r="AV105" s="192">
        <f t="shared" si="238"/>
        <v>0</v>
      </c>
      <c r="AW105" s="192">
        <f t="shared" si="238"/>
        <v>0</v>
      </c>
      <c r="AX105" s="192">
        <f t="shared" si="238"/>
        <v>0</v>
      </c>
      <c r="AY105" s="192">
        <f t="shared" si="238"/>
        <v>0</v>
      </c>
      <c r="AZ105" s="192">
        <f t="shared" si="238"/>
        <v>0</v>
      </c>
      <c r="BA105" s="192">
        <f t="shared" si="238"/>
        <v>0</v>
      </c>
      <c r="BB105" s="192">
        <f t="shared" si="238"/>
        <v>0</v>
      </c>
      <c r="BC105" s="192">
        <f t="shared" si="238"/>
        <v>0</v>
      </c>
      <c r="BD105" s="192">
        <f t="shared" si="238"/>
        <v>0</v>
      </c>
      <c r="BE105" s="192">
        <f t="shared" si="238"/>
        <v>0</v>
      </c>
      <c r="BF105" s="192">
        <f t="shared" si="238"/>
        <v>0</v>
      </c>
      <c r="BG105" s="192">
        <f t="shared" si="238"/>
        <v>0</v>
      </c>
      <c r="BH105" s="192">
        <f t="shared" si="238"/>
        <v>0</v>
      </c>
      <c r="BI105" s="192">
        <f t="shared" si="238"/>
        <v>0</v>
      </c>
      <c r="BJ105" s="192">
        <f t="shared" si="238"/>
        <v>0</v>
      </c>
      <c r="BK105" s="192">
        <f t="shared" si="238"/>
        <v>0</v>
      </c>
      <c r="BL105" s="192">
        <f t="shared" si="238"/>
        <v>0</v>
      </c>
      <c r="BM105" s="192">
        <f t="shared" si="238"/>
        <v>0</v>
      </c>
      <c r="BN105" s="192">
        <f t="shared" si="238"/>
        <v>0</v>
      </c>
      <c r="BO105" s="192">
        <f t="shared" si="238"/>
        <v>0</v>
      </c>
      <c r="BP105" s="192">
        <f t="shared" si="238"/>
        <v>0</v>
      </c>
      <c r="BQ105" s="192">
        <f t="shared" ref="BQ105:EB105" si="239">+IF(BP105&gt;0,BP105-BQ108,IF(BQ4&lt;$B$103,0,$B$105-BQ108))</f>
        <v>0</v>
      </c>
      <c r="BR105" s="192">
        <f t="shared" si="239"/>
        <v>0</v>
      </c>
      <c r="BS105" s="192">
        <f t="shared" si="239"/>
        <v>0</v>
      </c>
      <c r="BT105" s="192">
        <f t="shared" si="239"/>
        <v>0</v>
      </c>
      <c r="BU105" s="192">
        <f t="shared" si="239"/>
        <v>0</v>
      </c>
      <c r="BV105" s="192">
        <f t="shared" si="239"/>
        <v>0</v>
      </c>
      <c r="BW105" s="192">
        <f t="shared" si="239"/>
        <v>0</v>
      </c>
      <c r="BX105" s="192">
        <f t="shared" si="239"/>
        <v>0</v>
      </c>
      <c r="BY105" s="192">
        <f t="shared" si="239"/>
        <v>0</v>
      </c>
      <c r="BZ105" s="192">
        <f t="shared" si="239"/>
        <v>0</v>
      </c>
      <c r="CA105" s="192">
        <f t="shared" si="239"/>
        <v>0</v>
      </c>
      <c r="CB105" s="192">
        <f t="shared" si="239"/>
        <v>0</v>
      </c>
      <c r="CC105" s="192">
        <f t="shared" si="239"/>
        <v>0</v>
      </c>
      <c r="CD105" s="192">
        <f t="shared" si="239"/>
        <v>0</v>
      </c>
      <c r="CE105" s="192">
        <f t="shared" si="239"/>
        <v>0</v>
      </c>
      <c r="CF105" s="192">
        <f t="shared" si="239"/>
        <v>0</v>
      </c>
      <c r="CG105" s="192">
        <f t="shared" si="239"/>
        <v>0</v>
      </c>
      <c r="CH105" s="192">
        <f t="shared" si="239"/>
        <v>254866.80393735206</v>
      </c>
      <c r="CI105" s="192">
        <f t="shared" si="239"/>
        <v>248950.24698973916</v>
      </c>
      <c r="CJ105" s="192">
        <f t="shared" si="239"/>
        <v>242974.52447265014</v>
      </c>
      <c r="CK105" s="192">
        <f t="shared" si="239"/>
        <v>236939.04473039022</v>
      </c>
      <c r="CL105" s="192">
        <f t="shared" si="239"/>
        <v>230843.2101907077</v>
      </c>
      <c r="CM105" s="192">
        <f t="shared" si="239"/>
        <v>224686.41730562836</v>
      </c>
      <c r="CN105" s="192">
        <f t="shared" si="239"/>
        <v>218468.05649169823</v>
      </c>
      <c r="CO105" s="192">
        <f t="shared" si="239"/>
        <v>212187.51206962881</v>
      </c>
      <c r="CP105" s="192">
        <f t="shared" si="239"/>
        <v>205844.1622033387</v>
      </c>
      <c r="CQ105" s="192">
        <f t="shared" si="239"/>
        <v>199437.37883838566</v>
      </c>
      <c r="CR105" s="192">
        <f t="shared" si="239"/>
        <v>192966.5276397831</v>
      </c>
      <c r="CS105" s="192">
        <f t="shared" si="239"/>
        <v>186430.96792919451</v>
      </c>
      <c r="CT105" s="192">
        <f t="shared" si="239"/>
        <v>179830.05262150004</v>
      </c>
      <c r="CU105" s="192">
        <f t="shared" si="239"/>
        <v>173163.12816072864</v>
      </c>
      <c r="CV105" s="192">
        <f t="shared" si="239"/>
        <v>166429.53445534949</v>
      </c>
      <c r="CW105" s="192">
        <f t="shared" si="239"/>
        <v>159628.60481291657</v>
      </c>
      <c r="CX105" s="192">
        <f t="shared" si="239"/>
        <v>152759.66587405931</v>
      </c>
      <c r="CY105" s="192">
        <f t="shared" si="239"/>
        <v>145822.03754581348</v>
      </c>
      <c r="CZ105" s="192">
        <f t="shared" si="239"/>
        <v>138815.03293428521</v>
      </c>
      <c r="DA105" s="192">
        <f t="shared" si="239"/>
        <v>131737.95827664164</v>
      </c>
      <c r="DB105" s="192">
        <f t="shared" si="239"/>
        <v>124590.11287242164</v>
      </c>
      <c r="DC105" s="192">
        <f t="shared" si="239"/>
        <v>117370.78901415944</v>
      </c>
      <c r="DD105" s="192">
        <f t="shared" si="239"/>
        <v>110079.27191731462</v>
      </c>
      <c r="DE105" s="192">
        <f t="shared" si="239"/>
        <v>102714.83964950134</v>
      </c>
      <c r="DF105" s="192">
        <f t="shared" si="239"/>
        <v>95276.763059009943</v>
      </c>
      <c r="DG105" s="192">
        <f t="shared" si="239"/>
        <v>87764.305702613623</v>
      </c>
      <c r="DH105" s="192">
        <f t="shared" si="239"/>
        <v>80176.723772653349</v>
      </c>
      <c r="DI105" s="192">
        <f t="shared" si="239"/>
        <v>72513.266023393473</v>
      </c>
      <c r="DJ105" s="192">
        <f t="shared" si="239"/>
        <v>64773.173696640995</v>
      </c>
      <c r="DK105" s="192">
        <f t="shared" si="239"/>
        <v>56955.680446620994</v>
      </c>
      <c r="DL105" s="192">
        <f t="shared" si="239"/>
        <v>49060.012264100791</v>
      </c>
      <c r="DM105" s="192">
        <f t="shared" si="239"/>
        <v>41085.387399755389</v>
      </c>
      <c r="DN105" s="192">
        <f t="shared" si="239"/>
        <v>33031.016286766528</v>
      </c>
      <c r="DO105" s="192">
        <f t="shared" si="239"/>
        <v>24896.101462647777</v>
      </c>
      <c r="DP105" s="192">
        <f t="shared" si="239"/>
        <v>16679.837490287842</v>
      </c>
      <c r="DQ105" s="192">
        <f t="shared" si="239"/>
        <v>8381.4108782043077</v>
      </c>
      <c r="DR105" s="192">
        <f t="shared" si="239"/>
        <v>-6.3664629124104977E-11</v>
      </c>
      <c r="DS105" s="192">
        <f t="shared" si="239"/>
        <v>254866.80393735206</v>
      </c>
      <c r="DT105" s="192">
        <f t="shared" si="239"/>
        <v>257415.47197672559</v>
      </c>
      <c r="DU105" s="192">
        <f t="shared" si="239"/>
        <v>259989.62669649284</v>
      </c>
      <c r="DV105" s="192">
        <f t="shared" si="239"/>
        <v>262589.52296345774</v>
      </c>
      <c r="DW105" s="192">
        <f t="shared" si="239"/>
        <v>265215.41819309234</v>
      </c>
      <c r="DX105" s="192">
        <f t="shared" si="239"/>
        <v>267867.57237502327</v>
      </c>
      <c r="DY105" s="192">
        <f t="shared" si="239"/>
        <v>270546.24809877353</v>
      </c>
      <c r="DZ105" s="192">
        <f t="shared" si="239"/>
        <v>273251.71057976125</v>
      </c>
      <c r="EA105" s="192">
        <f t="shared" si="239"/>
        <v>275984.22768555884</v>
      </c>
      <c r="EB105" s="192">
        <f t="shared" si="239"/>
        <v>278744.06996241445</v>
      </c>
      <c r="EC105" s="192">
        <f t="shared" ref="EC105:FZ105" si="240">+IF(EB105&gt;0,EB105-EC108,IF(EC4&lt;$B$103,0,$B$105-EC108))</f>
        <v>281531.51066203858</v>
      </c>
      <c r="ED105" s="192">
        <f t="shared" si="240"/>
        <v>284346.82576865895</v>
      </c>
      <c r="EE105" s="192">
        <f t="shared" si="240"/>
        <v>287190.29402634554</v>
      </c>
      <c r="EF105" s="192">
        <f t="shared" si="240"/>
        <v>290062.19696660899</v>
      </c>
      <c r="EG105" s="192">
        <f t="shared" si="240"/>
        <v>292962.81893627509</v>
      </c>
      <c r="EH105" s="192">
        <f t="shared" si="240"/>
        <v>295892.44712563785</v>
      </c>
      <c r="EI105" s="192">
        <f t="shared" si="240"/>
        <v>298851.37159689423</v>
      </c>
      <c r="EJ105" s="192">
        <f t="shared" si="240"/>
        <v>301839.88531286316</v>
      </c>
      <c r="EK105" s="192">
        <f t="shared" si="240"/>
        <v>304858.28416599182</v>
      </c>
      <c r="EL105" s="192">
        <f t="shared" si="240"/>
        <v>307906.86700765172</v>
      </c>
      <c r="EM105" s="192">
        <f t="shared" si="240"/>
        <v>310985.93567772821</v>
      </c>
      <c r="EN105" s="192">
        <f t="shared" si="240"/>
        <v>314095.79503450549</v>
      </c>
      <c r="EO105" s="192">
        <f t="shared" si="240"/>
        <v>317236.75298485055</v>
      </c>
      <c r="EP105" s="192">
        <f t="shared" si="240"/>
        <v>320409.12051469908</v>
      </c>
      <c r="EQ105" s="192">
        <f t="shared" si="240"/>
        <v>323613.21171984606</v>
      </c>
      <c r="ER105" s="192">
        <f t="shared" si="240"/>
        <v>326849.34383704455</v>
      </c>
      <c r="ES105" s="192">
        <f t="shared" si="240"/>
        <v>330117.83727541502</v>
      </c>
      <c r="ET105" s="192">
        <f t="shared" si="240"/>
        <v>333419.01564816915</v>
      </c>
      <c r="EU105" s="192">
        <f t="shared" si="240"/>
        <v>336753.20580465085</v>
      </c>
      <c r="EV105" s="192">
        <f t="shared" si="240"/>
        <v>340120.73786269734</v>
      </c>
      <c r="EW105" s="192">
        <f t="shared" si="240"/>
        <v>343521.94524132431</v>
      </c>
      <c r="EX105" s="192">
        <f t="shared" si="240"/>
        <v>346957.16469373758</v>
      </c>
      <c r="EY105" s="192">
        <f t="shared" si="240"/>
        <v>350426.73634067498</v>
      </c>
      <c r="EZ105" s="192">
        <f t="shared" si="240"/>
        <v>353931.00370408176</v>
      </c>
      <c r="FA105" s="192">
        <f t="shared" si="240"/>
        <v>357470.31374112255</v>
      </c>
      <c r="FB105" s="192">
        <f t="shared" si="240"/>
        <v>361045.01687853376</v>
      </c>
      <c r="FC105" s="192">
        <f t="shared" si="240"/>
        <v>364655.46704731911</v>
      </c>
      <c r="FD105" s="192">
        <f t="shared" si="240"/>
        <v>368302.02171779232</v>
      </c>
      <c r="FE105" s="192">
        <f t="shared" si="240"/>
        <v>371985.04193497024</v>
      </c>
      <c r="FF105" s="192">
        <f t="shared" si="240"/>
        <v>375704.89235431992</v>
      </c>
      <c r="FG105" s="192">
        <f t="shared" si="240"/>
        <v>379461.94127786311</v>
      </c>
      <c r="FH105" s="192">
        <f t="shared" si="240"/>
        <v>383256.56069064175</v>
      </c>
      <c r="FI105" s="192">
        <f t="shared" si="240"/>
        <v>387089.12629754818</v>
      </c>
      <c r="FJ105" s="192">
        <f t="shared" si="240"/>
        <v>390960.01756052364</v>
      </c>
      <c r="FK105" s="192">
        <f t="shared" si="240"/>
        <v>394869.61773612886</v>
      </c>
      <c r="FL105" s="192">
        <f t="shared" si="240"/>
        <v>398818.31391349016</v>
      </c>
      <c r="FM105" s="192">
        <f t="shared" si="240"/>
        <v>402806.49705262505</v>
      </c>
      <c r="FN105" s="192">
        <f t="shared" si="240"/>
        <v>406834.56202315132</v>
      </c>
      <c r="FO105" s="192">
        <f t="shared" si="240"/>
        <v>410902.90764338284</v>
      </c>
      <c r="FP105" s="192">
        <f t="shared" si="240"/>
        <v>415011.9367198167</v>
      </c>
      <c r="FQ105" s="192">
        <f t="shared" si="240"/>
        <v>419162.05608701485</v>
      </c>
      <c r="FR105" s="192">
        <f t="shared" si="240"/>
        <v>423353.676647885</v>
      </c>
      <c r="FS105" s="192">
        <f t="shared" si="240"/>
        <v>427587.21341436385</v>
      </c>
      <c r="FT105" s="192">
        <f t="shared" si="240"/>
        <v>431863.08554850752</v>
      </c>
      <c r="FU105" s="192">
        <f t="shared" si="240"/>
        <v>436181.71640399261</v>
      </c>
      <c r="FV105" s="192">
        <f t="shared" si="240"/>
        <v>440543.53356803255</v>
      </c>
      <c r="FW105" s="192">
        <f t="shared" si="240"/>
        <v>444948.96890371287</v>
      </c>
      <c r="FX105" s="192">
        <f t="shared" si="240"/>
        <v>449398.45859275002</v>
      </c>
      <c r="FY105" s="192">
        <f t="shared" si="240"/>
        <v>453892.44317867752</v>
      </c>
      <c r="FZ105" s="192">
        <f t="shared" si="240"/>
        <v>458431.36761046428</v>
      </c>
    </row>
    <row r="106" spans="1:182" outlineLevel="1" x14ac:dyDescent="0.2">
      <c r="A106" s="24" t="s">
        <v>231</v>
      </c>
      <c r="B106" s="192">
        <f>SUM(C106:EP106)</f>
        <v>304748.09953151084</v>
      </c>
      <c r="C106" s="192">
        <v>0</v>
      </c>
      <c r="D106" s="192">
        <f>+IF(C105=0,0,IF(D4&gt;$B$101+$B$103,0,$B$102))</f>
        <v>0</v>
      </c>
      <c r="E106" s="192">
        <f t="shared" ref="E106:BP106" si="241">+IF(D105=0,0,IF(E4&gt;$B$101+$B$103,0,$B$102))</f>
        <v>0</v>
      </c>
      <c r="F106" s="192">
        <f t="shared" si="241"/>
        <v>0</v>
      </c>
      <c r="G106" s="192">
        <f t="shared" si="241"/>
        <v>0</v>
      </c>
      <c r="H106" s="192">
        <f t="shared" si="241"/>
        <v>0</v>
      </c>
      <c r="I106" s="192">
        <f t="shared" si="241"/>
        <v>0</v>
      </c>
      <c r="J106" s="192">
        <f t="shared" si="241"/>
        <v>0</v>
      </c>
      <c r="K106" s="192">
        <f t="shared" si="241"/>
        <v>0</v>
      </c>
      <c r="L106" s="192">
        <f t="shared" si="241"/>
        <v>0</v>
      </c>
      <c r="M106" s="192">
        <f t="shared" si="241"/>
        <v>0</v>
      </c>
      <c r="N106" s="192">
        <f t="shared" si="241"/>
        <v>0</v>
      </c>
      <c r="O106" s="192">
        <f t="shared" si="241"/>
        <v>0</v>
      </c>
      <c r="P106" s="192">
        <f t="shared" si="241"/>
        <v>0</v>
      </c>
      <c r="Q106" s="192">
        <f t="shared" si="241"/>
        <v>0</v>
      </c>
      <c r="R106" s="192">
        <f t="shared" si="241"/>
        <v>0</v>
      </c>
      <c r="S106" s="192">
        <f t="shared" si="241"/>
        <v>0</v>
      </c>
      <c r="T106" s="192">
        <f t="shared" si="241"/>
        <v>0</v>
      </c>
      <c r="U106" s="192">
        <f t="shared" si="241"/>
        <v>0</v>
      </c>
      <c r="V106" s="192">
        <f t="shared" si="241"/>
        <v>0</v>
      </c>
      <c r="W106" s="192">
        <f t="shared" si="241"/>
        <v>0</v>
      </c>
      <c r="X106" s="192">
        <f t="shared" si="241"/>
        <v>0</v>
      </c>
      <c r="Y106" s="192">
        <f t="shared" si="241"/>
        <v>0</v>
      </c>
      <c r="Z106" s="192">
        <f t="shared" si="241"/>
        <v>0</v>
      </c>
      <c r="AA106" s="192">
        <f t="shared" si="241"/>
        <v>0</v>
      </c>
      <c r="AB106" s="192">
        <f t="shared" si="241"/>
        <v>0</v>
      </c>
      <c r="AC106" s="192">
        <f t="shared" si="241"/>
        <v>0</v>
      </c>
      <c r="AD106" s="192">
        <f t="shared" si="241"/>
        <v>0</v>
      </c>
      <c r="AE106" s="192">
        <f t="shared" si="241"/>
        <v>0</v>
      </c>
      <c r="AF106" s="192">
        <f t="shared" si="241"/>
        <v>0</v>
      </c>
      <c r="AG106" s="192">
        <f t="shared" si="241"/>
        <v>0</v>
      </c>
      <c r="AH106" s="192">
        <f t="shared" si="241"/>
        <v>0</v>
      </c>
      <c r="AI106" s="192">
        <f t="shared" si="241"/>
        <v>0</v>
      </c>
      <c r="AJ106" s="192">
        <f t="shared" si="241"/>
        <v>0</v>
      </c>
      <c r="AK106" s="192">
        <f t="shared" si="241"/>
        <v>0</v>
      </c>
      <c r="AL106" s="192">
        <f t="shared" si="241"/>
        <v>0</v>
      </c>
      <c r="AM106" s="192">
        <f t="shared" si="241"/>
        <v>0</v>
      </c>
      <c r="AN106" s="192">
        <f t="shared" si="241"/>
        <v>0</v>
      </c>
      <c r="AO106" s="192">
        <f t="shared" si="241"/>
        <v>0</v>
      </c>
      <c r="AP106" s="192">
        <f t="shared" si="241"/>
        <v>0</v>
      </c>
      <c r="AQ106" s="192">
        <f t="shared" si="241"/>
        <v>0</v>
      </c>
      <c r="AR106" s="192">
        <f t="shared" si="241"/>
        <v>0</v>
      </c>
      <c r="AS106" s="192">
        <f t="shared" si="241"/>
        <v>0</v>
      </c>
      <c r="AT106" s="192">
        <f t="shared" si="241"/>
        <v>0</v>
      </c>
      <c r="AU106" s="192">
        <f t="shared" si="241"/>
        <v>0</v>
      </c>
      <c r="AV106" s="192">
        <f t="shared" si="241"/>
        <v>0</v>
      </c>
      <c r="AW106" s="192">
        <f t="shared" si="241"/>
        <v>0</v>
      </c>
      <c r="AX106" s="192">
        <f t="shared" si="241"/>
        <v>0</v>
      </c>
      <c r="AY106" s="192">
        <f t="shared" si="241"/>
        <v>0</v>
      </c>
      <c r="AZ106" s="192">
        <f t="shared" si="241"/>
        <v>0</v>
      </c>
      <c r="BA106" s="192">
        <f t="shared" si="241"/>
        <v>0</v>
      </c>
      <c r="BB106" s="192">
        <f t="shared" si="241"/>
        <v>0</v>
      </c>
      <c r="BC106" s="192">
        <f t="shared" si="241"/>
        <v>0</v>
      </c>
      <c r="BD106" s="192">
        <f t="shared" si="241"/>
        <v>0</v>
      </c>
      <c r="BE106" s="192">
        <f t="shared" si="241"/>
        <v>0</v>
      </c>
      <c r="BF106" s="192">
        <f t="shared" si="241"/>
        <v>0</v>
      </c>
      <c r="BG106" s="192">
        <f t="shared" si="241"/>
        <v>0</v>
      </c>
      <c r="BH106" s="192">
        <f t="shared" si="241"/>
        <v>0</v>
      </c>
      <c r="BI106" s="192">
        <f t="shared" si="241"/>
        <v>0</v>
      </c>
      <c r="BJ106" s="192">
        <f t="shared" si="241"/>
        <v>0</v>
      </c>
      <c r="BK106" s="192">
        <f t="shared" si="241"/>
        <v>0</v>
      </c>
      <c r="BL106" s="192">
        <f t="shared" si="241"/>
        <v>0</v>
      </c>
      <c r="BM106" s="192">
        <f t="shared" si="241"/>
        <v>0</v>
      </c>
      <c r="BN106" s="192">
        <f t="shared" si="241"/>
        <v>0</v>
      </c>
      <c r="BO106" s="192">
        <f t="shared" si="241"/>
        <v>0</v>
      </c>
      <c r="BP106" s="192">
        <f t="shared" si="241"/>
        <v>0</v>
      </c>
      <c r="BQ106" s="192">
        <f t="shared" ref="BQ106:EB106" si="242">+IF(BP105=0,0,IF(BQ4&gt;$B$101+$B$103,0,$B$102))</f>
        <v>0</v>
      </c>
      <c r="BR106" s="192">
        <f t="shared" si="242"/>
        <v>0</v>
      </c>
      <c r="BS106" s="192">
        <f t="shared" si="242"/>
        <v>0</v>
      </c>
      <c r="BT106" s="192">
        <f t="shared" si="242"/>
        <v>0</v>
      </c>
      <c r="BU106" s="192">
        <f t="shared" si="242"/>
        <v>0</v>
      </c>
      <c r="BV106" s="192">
        <f t="shared" si="242"/>
        <v>0</v>
      </c>
      <c r="BW106" s="192">
        <f t="shared" si="242"/>
        <v>0</v>
      </c>
      <c r="BX106" s="192">
        <f t="shared" si="242"/>
        <v>0</v>
      </c>
      <c r="BY106" s="192">
        <f t="shared" si="242"/>
        <v>0</v>
      </c>
      <c r="BZ106" s="192">
        <f t="shared" si="242"/>
        <v>0</v>
      </c>
      <c r="CA106" s="192">
        <f t="shared" si="242"/>
        <v>0</v>
      </c>
      <c r="CB106" s="192">
        <f t="shared" si="242"/>
        <v>0</v>
      </c>
      <c r="CC106" s="192">
        <f t="shared" si="242"/>
        <v>0</v>
      </c>
      <c r="CD106" s="192">
        <f t="shared" si="242"/>
        <v>0</v>
      </c>
      <c r="CE106" s="192">
        <f t="shared" si="242"/>
        <v>0</v>
      </c>
      <c r="CF106" s="192">
        <f t="shared" si="242"/>
        <v>0</v>
      </c>
      <c r="CG106" s="192">
        <f t="shared" si="242"/>
        <v>0</v>
      </c>
      <c r="CH106" s="192">
        <f t="shared" si="242"/>
        <v>0</v>
      </c>
      <c r="CI106" s="192">
        <f t="shared" si="242"/>
        <v>8465.2249869864136</v>
      </c>
      <c r="CJ106" s="192">
        <f t="shared" si="242"/>
        <v>8465.2249869864136</v>
      </c>
      <c r="CK106" s="192">
        <f t="shared" si="242"/>
        <v>8465.2249869864136</v>
      </c>
      <c r="CL106" s="192">
        <f t="shared" si="242"/>
        <v>8465.2249869864136</v>
      </c>
      <c r="CM106" s="192">
        <f t="shared" si="242"/>
        <v>8465.2249869864136</v>
      </c>
      <c r="CN106" s="192">
        <f t="shared" si="242"/>
        <v>8465.2249869864136</v>
      </c>
      <c r="CO106" s="192">
        <f t="shared" si="242"/>
        <v>8465.2249869864136</v>
      </c>
      <c r="CP106" s="192">
        <f t="shared" si="242"/>
        <v>8465.2249869864136</v>
      </c>
      <c r="CQ106" s="192">
        <f t="shared" si="242"/>
        <v>8465.2249869864136</v>
      </c>
      <c r="CR106" s="192">
        <f t="shared" si="242"/>
        <v>8465.2249869864136</v>
      </c>
      <c r="CS106" s="192">
        <f t="shared" si="242"/>
        <v>8465.2249869864136</v>
      </c>
      <c r="CT106" s="192">
        <f t="shared" si="242"/>
        <v>8465.2249869864136</v>
      </c>
      <c r="CU106" s="192">
        <f t="shared" si="242"/>
        <v>8465.2249869864136</v>
      </c>
      <c r="CV106" s="192">
        <f t="shared" si="242"/>
        <v>8465.2249869864136</v>
      </c>
      <c r="CW106" s="192">
        <f t="shared" si="242"/>
        <v>8465.2249869864136</v>
      </c>
      <c r="CX106" s="192">
        <f t="shared" si="242"/>
        <v>8465.2249869864136</v>
      </c>
      <c r="CY106" s="192">
        <f t="shared" si="242"/>
        <v>8465.2249869864136</v>
      </c>
      <c r="CZ106" s="192">
        <f t="shared" si="242"/>
        <v>8465.2249869864136</v>
      </c>
      <c r="DA106" s="192">
        <f t="shared" si="242"/>
        <v>8465.2249869864136</v>
      </c>
      <c r="DB106" s="192">
        <f t="shared" si="242"/>
        <v>8465.2249869864136</v>
      </c>
      <c r="DC106" s="192">
        <f t="shared" si="242"/>
        <v>8465.2249869864136</v>
      </c>
      <c r="DD106" s="192">
        <f t="shared" si="242"/>
        <v>8465.2249869864136</v>
      </c>
      <c r="DE106" s="192">
        <f t="shared" si="242"/>
        <v>8465.2249869864136</v>
      </c>
      <c r="DF106" s="192">
        <f t="shared" si="242"/>
        <v>8465.2249869864136</v>
      </c>
      <c r="DG106" s="192">
        <f t="shared" si="242"/>
        <v>8465.2249869864136</v>
      </c>
      <c r="DH106" s="192">
        <f t="shared" si="242"/>
        <v>8465.2249869864136</v>
      </c>
      <c r="DI106" s="192">
        <f t="shared" si="242"/>
        <v>8465.2249869864136</v>
      </c>
      <c r="DJ106" s="192">
        <f t="shared" si="242"/>
        <v>8465.2249869864136</v>
      </c>
      <c r="DK106" s="192">
        <f t="shared" si="242"/>
        <v>8465.2249869864136</v>
      </c>
      <c r="DL106" s="192">
        <f t="shared" si="242"/>
        <v>8465.2249869864136</v>
      </c>
      <c r="DM106" s="192">
        <f t="shared" si="242"/>
        <v>8465.2249869864136</v>
      </c>
      <c r="DN106" s="192">
        <f t="shared" si="242"/>
        <v>8465.2249869864136</v>
      </c>
      <c r="DO106" s="192">
        <f t="shared" si="242"/>
        <v>8465.2249869864136</v>
      </c>
      <c r="DP106" s="192">
        <f t="shared" si="242"/>
        <v>8465.2249869864136</v>
      </c>
      <c r="DQ106" s="192">
        <f t="shared" si="242"/>
        <v>8465.2249869864136</v>
      </c>
      <c r="DR106" s="192">
        <f t="shared" si="242"/>
        <v>8465.2249869864136</v>
      </c>
      <c r="DS106" s="192">
        <f t="shared" si="242"/>
        <v>0</v>
      </c>
      <c r="DT106" s="192">
        <f t="shared" si="242"/>
        <v>0</v>
      </c>
      <c r="DU106" s="192">
        <f t="shared" si="242"/>
        <v>0</v>
      </c>
      <c r="DV106" s="192">
        <f t="shared" si="242"/>
        <v>0</v>
      </c>
      <c r="DW106" s="192">
        <f t="shared" si="242"/>
        <v>0</v>
      </c>
      <c r="DX106" s="192">
        <f t="shared" si="242"/>
        <v>0</v>
      </c>
      <c r="DY106" s="192">
        <f t="shared" si="242"/>
        <v>0</v>
      </c>
      <c r="DZ106" s="192">
        <f t="shared" si="242"/>
        <v>0</v>
      </c>
      <c r="EA106" s="192">
        <f t="shared" si="242"/>
        <v>0</v>
      </c>
      <c r="EB106" s="192">
        <f t="shared" si="242"/>
        <v>0</v>
      </c>
      <c r="EC106" s="192">
        <f t="shared" ref="EC106:FZ106" si="243">+IF(EB105=0,0,IF(EC4&gt;$B$101+$B$103,0,$B$102))</f>
        <v>0</v>
      </c>
      <c r="ED106" s="192">
        <f t="shared" si="243"/>
        <v>0</v>
      </c>
      <c r="EE106" s="192">
        <f t="shared" si="243"/>
        <v>0</v>
      </c>
      <c r="EF106" s="192">
        <f t="shared" si="243"/>
        <v>0</v>
      </c>
      <c r="EG106" s="192">
        <f t="shared" si="243"/>
        <v>0</v>
      </c>
      <c r="EH106" s="192">
        <f t="shared" si="243"/>
        <v>0</v>
      </c>
      <c r="EI106" s="192">
        <f t="shared" si="243"/>
        <v>0</v>
      </c>
      <c r="EJ106" s="192">
        <f t="shared" si="243"/>
        <v>0</v>
      </c>
      <c r="EK106" s="192">
        <f t="shared" si="243"/>
        <v>0</v>
      </c>
      <c r="EL106" s="192">
        <f t="shared" si="243"/>
        <v>0</v>
      </c>
      <c r="EM106" s="192">
        <f t="shared" si="243"/>
        <v>0</v>
      </c>
      <c r="EN106" s="192">
        <f t="shared" si="243"/>
        <v>0</v>
      </c>
      <c r="EO106" s="192">
        <f t="shared" si="243"/>
        <v>0</v>
      </c>
      <c r="EP106" s="192">
        <f t="shared" si="243"/>
        <v>0</v>
      </c>
      <c r="EQ106" s="192">
        <f t="shared" si="243"/>
        <v>0</v>
      </c>
      <c r="ER106" s="192">
        <f t="shared" si="243"/>
        <v>0</v>
      </c>
      <c r="ES106" s="192">
        <f t="shared" si="243"/>
        <v>0</v>
      </c>
      <c r="ET106" s="192">
        <f t="shared" si="243"/>
        <v>0</v>
      </c>
      <c r="EU106" s="192">
        <f t="shared" si="243"/>
        <v>0</v>
      </c>
      <c r="EV106" s="192">
        <f t="shared" si="243"/>
        <v>0</v>
      </c>
      <c r="EW106" s="192">
        <f t="shared" si="243"/>
        <v>0</v>
      </c>
      <c r="EX106" s="192">
        <f t="shared" si="243"/>
        <v>0</v>
      </c>
      <c r="EY106" s="192">
        <f t="shared" si="243"/>
        <v>0</v>
      </c>
      <c r="EZ106" s="192">
        <f t="shared" si="243"/>
        <v>0</v>
      </c>
      <c r="FA106" s="192">
        <f t="shared" si="243"/>
        <v>0</v>
      </c>
      <c r="FB106" s="192">
        <f t="shared" si="243"/>
        <v>0</v>
      </c>
      <c r="FC106" s="192">
        <f t="shared" si="243"/>
        <v>0</v>
      </c>
      <c r="FD106" s="192">
        <f t="shared" si="243"/>
        <v>0</v>
      </c>
      <c r="FE106" s="192">
        <f t="shared" si="243"/>
        <v>0</v>
      </c>
      <c r="FF106" s="192">
        <f t="shared" si="243"/>
        <v>0</v>
      </c>
      <c r="FG106" s="192">
        <f t="shared" si="243"/>
        <v>0</v>
      </c>
      <c r="FH106" s="192">
        <f t="shared" si="243"/>
        <v>0</v>
      </c>
      <c r="FI106" s="192">
        <f t="shared" si="243"/>
        <v>0</v>
      </c>
      <c r="FJ106" s="192">
        <f t="shared" si="243"/>
        <v>0</v>
      </c>
      <c r="FK106" s="192">
        <f t="shared" si="243"/>
        <v>0</v>
      </c>
      <c r="FL106" s="192">
        <f t="shared" si="243"/>
        <v>0</v>
      </c>
      <c r="FM106" s="192">
        <f t="shared" si="243"/>
        <v>0</v>
      </c>
      <c r="FN106" s="192">
        <f t="shared" si="243"/>
        <v>0</v>
      </c>
      <c r="FO106" s="192">
        <f t="shared" si="243"/>
        <v>0</v>
      </c>
      <c r="FP106" s="192">
        <f t="shared" si="243"/>
        <v>0</v>
      </c>
      <c r="FQ106" s="192">
        <f t="shared" si="243"/>
        <v>0</v>
      </c>
      <c r="FR106" s="192">
        <f t="shared" si="243"/>
        <v>0</v>
      </c>
      <c r="FS106" s="192">
        <f t="shared" si="243"/>
        <v>0</v>
      </c>
      <c r="FT106" s="192">
        <f t="shared" si="243"/>
        <v>0</v>
      </c>
      <c r="FU106" s="192">
        <f t="shared" si="243"/>
        <v>0</v>
      </c>
      <c r="FV106" s="192">
        <f t="shared" si="243"/>
        <v>0</v>
      </c>
      <c r="FW106" s="192">
        <f t="shared" si="243"/>
        <v>0</v>
      </c>
      <c r="FX106" s="192">
        <f t="shared" si="243"/>
        <v>0</v>
      </c>
      <c r="FY106" s="192">
        <f t="shared" si="243"/>
        <v>0</v>
      </c>
      <c r="FZ106" s="192">
        <f t="shared" si="243"/>
        <v>0</v>
      </c>
    </row>
    <row r="107" spans="1:182" outlineLevel="1" x14ac:dyDescent="0.2">
      <c r="A107" s="24" t="s">
        <v>233</v>
      </c>
      <c r="B107" s="192">
        <f>SUM(C107:DR107)</f>
        <v>49881.29559415883</v>
      </c>
      <c r="C107" s="192">
        <v>0</v>
      </c>
      <c r="D107" s="192">
        <f>+C105*($B$100/12)</f>
        <v>0</v>
      </c>
      <c r="E107" s="192">
        <f t="shared" ref="E107:BP107" si="244">+D105*($B$100/12)</f>
        <v>0</v>
      </c>
      <c r="F107" s="192">
        <f t="shared" si="244"/>
        <v>0</v>
      </c>
      <c r="G107" s="192">
        <f t="shared" si="244"/>
        <v>0</v>
      </c>
      <c r="H107" s="192">
        <f t="shared" si="244"/>
        <v>0</v>
      </c>
      <c r="I107" s="192">
        <f t="shared" si="244"/>
        <v>0</v>
      </c>
      <c r="J107" s="192">
        <f t="shared" si="244"/>
        <v>0</v>
      </c>
      <c r="K107" s="192">
        <f t="shared" si="244"/>
        <v>0</v>
      </c>
      <c r="L107" s="192">
        <f t="shared" si="244"/>
        <v>0</v>
      </c>
      <c r="M107" s="192">
        <f t="shared" si="244"/>
        <v>0</v>
      </c>
      <c r="N107" s="192">
        <f t="shared" si="244"/>
        <v>0</v>
      </c>
      <c r="O107" s="192">
        <f t="shared" si="244"/>
        <v>0</v>
      </c>
      <c r="P107" s="192">
        <f t="shared" si="244"/>
        <v>0</v>
      </c>
      <c r="Q107" s="192">
        <f t="shared" si="244"/>
        <v>0</v>
      </c>
      <c r="R107" s="192">
        <f t="shared" si="244"/>
        <v>0</v>
      </c>
      <c r="S107" s="192">
        <f t="shared" si="244"/>
        <v>0</v>
      </c>
      <c r="T107" s="192">
        <f t="shared" si="244"/>
        <v>0</v>
      </c>
      <c r="U107" s="192">
        <f t="shared" si="244"/>
        <v>0</v>
      </c>
      <c r="V107" s="192">
        <f t="shared" si="244"/>
        <v>0</v>
      </c>
      <c r="W107" s="192">
        <f t="shared" si="244"/>
        <v>0</v>
      </c>
      <c r="X107" s="192">
        <f t="shared" si="244"/>
        <v>0</v>
      </c>
      <c r="Y107" s="192">
        <f t="shared" si="244"/>
        <v>0</v>
      </c>
      <c r="Z107" s="192">
        <f t="shared" si="244"/>
        <v>0</v>
      </c>
      <c r="AA107" s="192">
        <f t="shared" si="244"/>
        <v>0</v>
      </c>
      <c r="AB107" s="192">
        <f t="shared" si="244"/>
        <v>0</v>
      </c>
      <c r="AC107" s="192">
        <f t="shared" si="244"/>
        <v>0</v>
      </c>
      <c r="AD107" s="192">
        <f t="shared" si="244"/>
        <v>0</v>
      </c>
      <c r="AE107" s="192">
        <f t="shared" si="244"/>
        <v>0</v>
      </c>
      <c r="AF107" s="192">
        <f t="shared" si="244"/>
        <v>0</v>
      </c>
      <c r="AG107" s="192">
        <f t="shared" si="244"/>
        <v>0</v>
      </c>
      <c r="AH107" s="192">
        <f t="shared" si="244"/>
        <v>0</v>
      </c>
      <c r="AI107" s="192">
        <f t="shared" si="244"/>
        <v>0</v>
      </c>
      <c r="AJ107" s="192">
        <f t="shared" si="244"/>
        <v>0</v>
      </c>
      <c r="AK107" s="192">
        <f t="shared" si="244"/>
        <v>0</v>
      </c>
      <c r="AL107" s="192">
        <f t="shared" si="244"/>
        <v>0</v>
      </c>
      <c r="AM107" s="192">
        <f t="shared" si="244"/>
        <v>0</v>
      </c>
      <c r="AN107" s="192">
        <f t="shared" si="244"/>
        <v>0</v>
      </c>
      <c r="AO107" s="192">
        <f t="shared" si="244"/>
        <v>0</v>
      </c>
      <c r="AP107" s="192">
        <f t="shared" si="244"/>
        <v>0</v>
      </c>
      <c r="AQ107" s="192">
        <f t="shared" si="244"/>
        <v>0</v>
      </c>
      <c r="AR107" s="192">
        <f t="shared" si="244"/>
        <v>0</v>
      </c>
      <c r="AS107" s="192">
        <f t="shared" si="244"/>
        <v>0</v>
      </c>
      <c r="AT107" s="192">
        <f t="shared" si="244"/>
        <v>0</v>
      </c>
      <c r="AU107" s="192">
        <f t="shared" si="244"/>
        <v>0</v>
      </c>
      <c r="AV107" s="192">
        <f t="shared" si="244"/>
        <v>0</v>
      </c>
      <c r="AW107" s="192">
        <f t="shared" si="244"/>
        <v>0</v>
      </c>
      <c r="AX107" s="192">
        <f t="shared" si="244"/>
        <v>0</v>
      </c>
      <c r="AY107" s="192">
        <f t="shared" si="244"/>
        <v>0</v>
      </c>
      <c r="AZ107" s="192">
        <f t="shared" si="244"/>
        <v>0</v>
      </c>
      <c r="BA107" s="192">
        <f t="shared" si="244"/>
        <v>0</v>
      </c>
      <c r="BB107" s="192">
        <f t="shared" si="244"/>
        <v>0</v>
      </c>
      <c r="BC107" s="192">
        <f t="shared" si="244"/>
        <v>0</v>
      </c>
      <c r="BD107" s="192">
        <f t="shared" si="244"/>
        <v>0</v>
      </c>
      <c r="BE107" s="192">
        <f t="shared" si="244"/>
        <v>0</v>
      </c>
      <c r="BF107" s="192">
        <f t="shared" si="244"/>
        <v>0</v>
      </c>
      <c r="BG107" s="192">
        <f t="shared" si="244"/>
        <v>0</v>
      </c>
      <c r="BH107" s="192">
        <f t="shared" si="244"/>
        <v>0</v>
      </c>
      <c r="BI107" s="192">
        <f t="shared" si="244"/>
        <v>0</v>
      </c>
      <c r="BJ107" s="192">
        <f t="shared" si="244"/>
        <v>0</v>
      </c>
      <c r="BK107" s="192">
        <f t="shared" si="244"/>
        <v>0</v>
      </c>
      <c r="BL107" s="192">
        <f t="shared" si="244"/>
        <v>0</v>
      </c>
      <c r="BM107" s="192">
        <f t="shared" si="244"/>
        <v>0</v>
      </c>
      <c r="BN107" s="192">
        <f t="shared" si="244"/>
        <v>0</v>
      </c>
      <c r="BO107" s="192">
        <f t="shared" si="244"/>
        <v>0</v>
      </c>
      <c r="BP107" s="192">
        <f t="shared" si="244"/>
        <v>0</v>
      </c>
      <c r="BQ107" s="192">
        <f t="shared" ref="BQ107:EB107" si="245">+BP105*($B$100/12)</f>
        <v>0</v>
      </c>
      <c r="BR107" s="192">
        <f t="shared" si="245"/>
        <v>0</v>
      </c>
      <c r="BS107" s="192">
        <f t="shared" si="245"/>
        <v>0</v>
      </c>
      <c r="BT107" s="192">
        <f t="shared" si="245"/>
        <v>0</v>
      </c>
      <c r="BU107" s="192">
        <f t="shared" si="245"/>
        <v>0</v>
      </c>
      <c r="BV107" s="192">
        <f t="shared" si="245"/>
        <v>0</v>
      </c>
      <c r="BW107" s="192">
        <f t="shared" si="245"/>
        <v>0</v>
      </c>
      <c r="BX107" s="192">
        <f t="shared" si="245"/>
        <v>0</v>
      </c>
      <c r="BY107" s="192">
        <f t="shared" si="245"/>
        <v>0</v>
      </c>
      <c r="BZ107" s="192">
        <f t="shared" si="245"/>
        <v>0</v>
      </c>
      <c r="CA107" s="192">
        <f t="shared" si="245"/>
        <v>0</v>
      </c>
      <c r="CB107" s="192">
        <f t="shared" si="245"/>
        <v>0</v>
      </c>
      <c r="CC107" s="192">
        <f t="shared" si="245"/>
        <v>0</v>
      </c>
      <c r="CD107" s="192">
        <f t="shared" si="245"/>
        <v>0</v>
      </c>
      <c r="CE107" s="192">
        <f t="shared" si="245"/>
        <v>0</v>
      </c>
      <c r="CF107" s="192">
        <f t="shared" si="245"/>
        <v>0</v>
      </c>
      <c r="CG107" s="192">
        <f t="shared" si="245"/>
        <v>0</v>
      </c>
      <c r="CH107" s="192">
        <f t="shared" si="245"/>
        <v>0</v>
      </c>
      <c r="CI107" s="192">
        <f t="shared" si="245"/>
        <v>2548.6680393735205</v>
      </c>
      <c r="CJ107" s="192">
        <f t="shared" si="245"/>
        <v>2489.5024698973916</v>
      </c>
      <c r="CK107" s="192">
        <f t="shared" si="245"/>
        <v>2429.7452447265014</v>
      </c>
      <c r="CL107" s="192">
        <f t="shared" si="245"/>
        <v>2369.3904473039024</v>
      </c>
      <c r="CM107" s="192">
        <f t="shared" si="245"/>
        <v>2308.4321019070771</v>
      </c>
      <c r="CN107" s="192">
        <f t="shared" si="245"/>
        <v>2246.8641730562836</v>
      </c>
      <c r="CO107" s="192">
        <f t="shared" si="245"/>
        <v>2184.6805649169823</v>
      </c>
      <c r="CP107" s="192">
        <f t="shared" si="245"/>
        <v>2121.8751206962879</v>
      </c>
      <c r="CQ107" s="192">
        <f t="shared" si="245"/>
        <v>2058.4416220333869</v>
      </c>
      <c r="CR107" s="192">
        <f t="shared" si="245"/>
        <v>1994.3737883838567</v>
      </c>
      <c r="CS107" s="192">
        <f t="shared" si="245"/>
        <v>1929.6652763978311</v>
      </c>
      <c r="CT107" s="192">
        <f t="shared" si="245"/>
        <v>1864.309679291945</v>
      </c>
      <c r="CU107" s="192">
        <f t="shared" si="245"/>
        <v>1798.3005262150004</v>
      </c>
      <c r="CV107" s="192">
        <f t="shared" si="245"/>
        <v>1731.6312816072864</v>
      </c>
      <c r="CW107" s="192">
        <f t="shared" si="245"/>
        <v>1664.2953445534949</v>
      </c>
      <c r="CX107" s="192">
        <f t="shared" si="245"/>
        <v>1596.2860481291657</v>
      </c>
      <c r="CY107" s="192">
        <f t="shared" si="245"/>
        <v>1527.5966587405931</v>
      </c>
      <c r="CZ107" s="192">
        <f t="shared" si="245"/>
        <v>1458.2203754581349</v>
      </c>
      <c r="DA107" s="192">
        <f t="shared" si="245"/>
        <v>1388.150329342852</v>
      </c>
      <c r="DB107" s="192">
        <f t="shared" si="245"/>
        <v>1317.3795827664164</v>
      </c>
      <c r="DC107" s="192">
        <f t="shared" si="245"/>
        <v>1245.9011287242165</v>
      </c>
      <c r="DD107" s="192">
        <f t="shared" si="245"/>
        <v>1173.7078901415944</v>
      </c>
      <c r="DE107" s="192">
        <f t="shared" si="245"/>
        <v>1100.7927191731462</v>
      </c>
      <c r="DF107" s="192">
        <f t="shared" si="245"/>
        <v>1027.1483964950135</v>
      </c>
      <c r="DG107" s="192">
        <f t="shared" si="245"/>
        <v>952.76763059009943</v>
      </c>
      <c r="DH107" s="192">
        <f t="shared" si="245"/>
        <v>877.64305702613626</v>
      </c>
      <c r="DI107" s="192">
        <f t="shared" si="245"/>
        <v>801.76723772653349</v>
      </c>
      <c r="DJ107" s="192">
        <f t="shared" si="245"/>
        <v>725.13266023393476</v>
      </c>
      <c r="DK107" s="192">
        <f t="shared" si="245"/>
        <v>647.73173696640993</v>
      </c>
      <c r="DL107" s="192">
        <f t="shared" si="245"/>
        <v>569.55680446621</v>
      </c>
      <c r="DM107" s="192">
        <f t="shared" si="245"/>
        <v>490.60012264100794</v>
      </c>
      <c r="DN107" s="192">
        <f t="shared" si="245"/>
        <v>410.85387399755388</v>
      </c>
      <c r="DO107" s="192">
        <f t="shared" si="245"/>
        <v>330.31016286766527</v>
      </c>
      <c r="DP107" s="192">
        <f t="shared" si="245"/>
        <v>248.96101462647778</v>
      </c>
      <c r="DQ107" s="192">
        <f t="shared" si="245"/>
        <v>166.79837490287844</v>
      </c>
      <c r="DR107" s="192">
        <f t="shared" si="245"/>
        <v>83.814108782043078</v>
      </c>
      <c r="DS107" s="192">
        <f t="shared" si="245"/>
        <v>-6.3664629124104983E-13</v>
      </c>
      <c r="DT107" s="192">
        <f t="shared" si="245"/>
        <v>2548.6680393735205</v>
      </c>
      <c r="DU107" s="192">
        <f t="shared" si="245"/>
        <v>2574.1547197672558</v>
      </c>
      <c r="DV107" s="192">
        <f t="shared" si="245"/>
        <v>2599.8962669649286</v>
      </c>
      <c r="DW107" s="192">
        <f t="shared" si="245"/>
        <v>2625.8952296345774</v>
      </c>
      <c r="DX107" s="192">
        <f t="shared" si="245"/>
        <v>2652.1541819309236</v>
      </c>
      <c r="DY107" s="192">
        <f t="shared" si="245"/>
        <v>2678.6757237502329</v>
      </c>
      <c r="DZ107" s="192">
        <f t="shared" si="245"/>
        <v>2705.4624809877355</v>
      </c>
      <c r="EA107" s="192">
        <f t="shared" si="245"/>
        <v>2732.5171057976127</v>
      </c>
      <c r="EB107" s="192">
        <f t="shared" si="245"/>
        <v>2759.8422768555884</v>
      </c>
      <c r="EC107" s="192">
        <f t="shared" ref="EC107:FZ107" si="246">+EB105*($B$100/12)</f>
        <v>2787.4406996241446</v>
      </c>
      <c r="ED107" s="192">
        <f t="shared" si="246"/>
        <v>2815.3151066203859</v>
      </c>
      <c r="EE107" s="192">
        <f t="shared" si="246"/>
        <v>2843.4682576865894</v>
      </c>
      <c r="EF107" s="192">
        <f t="shared" si="246"/>
        <v>2871.9029402634555</v>
      </c>
      <c r="EG107" s="192">
        <f t="shared" si="246"/>
        <v>2900.6219696660901</v>
      </c>
      <c r="EH107" s="192">
        <f t="shared" si="246"/>
        <v>2929.6281893627511</v>
      </c>
      <c r="EI107" s="192">
        <f t="shared" si="246"/>
        <v>2958.9244712563786</v>
      </c>
      <c r="EJ107" s="192">
        <f t="shared" si="246"/>
        <v>2988.5137159689425</v>
      </c>
      <c r="EK107" s="192">
        <f t="shared" si="246"/>
        <v>3018.3988531286318</v>
      </c>
      <c r="EL107" s="192">
        <f t="shared" si="246"/>
        <v>3048.5828416599184</v>
      </c>
      <c r="EM107" s="192">
        <f t="shared" si="246"/>
        <v>3079.0686700765173</v>
      </c>
      <c r="EN107" s="192">
        <f t="shared" si="246"/>
        <v>3109.8593567772823</v>
      </c>
      <c r="EO107" s="192">
        <f t="shared" si="246"/>
        <v>3140.957950345055</v>
      </c>
      <c r="EP107" s="192">
        <f t="shared" si="246"/>
        <v>3172.3675298485055</v>
      </c>
      <c r="EQ107" s="192">
        <f t="shared" si="246"/>
        <v>3204.0912051469909</v>
      </c>
      <c r="ER107" s="192">
        <f t="shared" si="246"/>
        <v>3236.1321171984605</v>
      </c>
      <c r="ES107" s="192">
        <f t="shared" si="246"/>
        <v>3268.4934383704458</v>
      </c>
      <c r="ET107" s="192">
        <f t="shared" si="246"/>
        <v>3301.1783727541501</v>
      </c>
      <c r="EU107" s="192">
        <f t="shared" si="246"/>
        <v>3334.1901564816917</v>
      </c>
      <c r="EV107" s="192">
        <f t="shared" si="246"/>
        <v>3367.5320580465086</v>
      </c>
      <c r="EW107" s="192">
        <f t="shared" si="246"/>
        <v>3401.2073786269734</v>
      </c>
      <c r="EX107" s="192">
        <f t="shared" si="246"/>
        <v>3435.2194524132433</v>
      </c>
      <c r="EY107" s="192">
        <f t="shared" si="246"/>
        <v>3469.571646937376</v>
      </c>
      <c r="EZ107" s="192">
        <f t="shared" si="246"/>
        <v>3504.2673634067501</v>
      </c>
      <c r="FA107" s="192">
        <f t="shared" si="246"/>
        <v>3539.3100370408174</v>
      </c>
      <c r="FB107" s="192">
        <f t="shared" si="246"/>
        <v>3574.7031374112257</v>
      </c>
      <c r="FC107" s="192">
        <f t="shared" si="246"/>
        <v>3610.4501687853376</v>
      </c>
      <c r="FD107" s="192">
        <f t="shared" si="246"/>
        <v>3646.554670473191</v>
      </c>
      <c r="FE107" s="192">
        <f t="shared" si="246"/>
        <v>3683.0202171779233</v>
      </c>
      <c r="FF107" s="192">
        <f t="shared" si="246"/>
        <v>3719.8504193497024</v>
      </c>
      <c r="FG107" s="192">
        <f t="shared" si="246"/>
        <v>3757.0489235431992</v>
      </c>
      <c r="FH107" s="192">
        <f t="shared" si="246"/>
        <v>3794.6194127786312</v>
      </c>
      <c r="FI107" s="192">
        <f t="shared" si="246"/>
        <v>3832.5656069064175</v>
      </c>
      <c r="FJ107" s="192">
        <f t="shared" si="246"/>
        <v>3870.8912629754818</v>
      </c>
      <c r="FK107" s="192">
        <f t="shared" si="246"/>
        <v>3909.6001756052365</v>
      </c>
      <c r="FL107" s="192">
        <f t="shared" si="246"/>
        <v>3948.6961773612888</v>
      </c>
      <c r="FM107" s="192">
        <f t="shared" si="246"/>
        <v>3988.1831391349015</v>
      </c>
      <c r="FN107" s="192">
        <f t="shared" si="246"/>
        <v>4028.0649705262508</v>
      </c>
      <c r="FO107" s="192">
        <f t="shared" si="246"/>
        <v>4068.3456202315133</v>
      </c>
      <c r="FP107" s="192">
        <f t="shared" si="246"/>
        <v>4109.0290764338288</v>
      </c>
      <c r="FQ107" s="192">
        <f t="shared" si="246"/>
        <v>4150.1193671981673</v>
      </c>
      <c r="FR107" s="192">
        <f t="shared" si="246"/>
        <v>4191.6205608701484</v>
      </c>
      <c r="FS107" s="192">
        <f t="shared" si="246"/>
        <v>4233.53676647885</v>
      </c>
      <c r="FT107" s="192">
        <f t="shared" si="246"/>
        <v>4275.8721341436385</v>
      </c>
      <c r="FU107" s="192">
        <f t="shared" si="246"/>
        <v>4318.6308554850748</v>
      </c>
      <c r="FV107" s="192">
        <f t="shared" si="246"/>
        <v>4361.817164039926</v>
      </c>
      <c r="FW107" s="192">
        <f t="shared" si="246"/>
        <v>4405.4353356803258</v>
      </c>
      <c r="FX107" s="192">
        <f t="shared" si="246"/>
        <v>4449.4896890371292</v>
      </c>
      <c r="FY107" s="192">
        <f t="shared" si="246"/>
        <v>4493.9845859275001</v>
      </c>
      <c r="FZ107" s="192">
        <f t="shared" si="246"/>
        <v>4538.9244317867751</v>
      </c>
    </row>
    <row r="108" spans="1:182" outlineLevel="1" x14ac:dyDescent="0.2">
      <c r="A108" s="24" t="s">
        <v>234</v>
      </c>
      <c r="B108" s="192">
        <f>SUM(C108:DR108)</f>
        <v>254866.80393735206</v>
      </c>
      <c r="C108" s="192">
        <v>0</v>
      </c>
      <c r="D108" s="192">
        <f t="shared" ref="D108:AI108" si="247">+D106-D107</f>
        <v>0</v>
      </c>
      <c r="E108" s="192">
        <f t="shared" si="247"/>
        <v>0</v>
      </c>
      <c r="F108" s="192">
        <f t="shared" si="247"/>
        <v>0</v>
      </c>
      <c r="G108" s="192">
        <f t="shared" si="247"/>
        <v>0</v>
      </c>
      <c r="H108" s="192">
        <f t="shared" si="247"/>
        <v>0</v>
      </c>
      <c r="I108" s="192">
        <f t="shared" si="247"/>
        <v>0</v>
      </c>
      <c r="J108" s="192">
        <f t="shared" si="247"/>
        <v>0</v>
      </c>
      <c r="K108" s="192">
        <f t="shared" si="247"/>
        <v>0</v>
      </c>
      <c r="L108" s="192">
        <f t="shared" si="247"/>
        <v>0</v>
      </c>
      <c r="M108" s="192">
        <f t="shared" si="247"/>
        <v>0</v>
      </c>
      <c r="N108" s="192">
        <f t="shared" si="247"/>
        <v>0</v>
      </c>
      <c r="O108" s="192">
        <f t="shared" si="247"/>
        <v>0</v>
      </c>
      <c r="P108" s="192">
        <f t="shared" si="247"/>
        <v>0</v>
      </c>
      <c r="Q108" s="192">
        <f t="shared" si="247"/>
        <v>0</v>
      </c>
      <c r="R108" s="192">
        <f t="shared" si="247"/>
        <v>0</v>
      </c>
      <c r="S108" s="192">
        <f t="shared" si="247"/>
        <v>0</v>
      </c>
      <c r="T108" s="192">
        <f t="shared" si="247"/>
        <v>0</v>
      </c>
      <c r="U108" s="192">
        <f t="shared" si="247"/>
        <v>0</v>
      </c>
      <c r="V108" s="192">
        <f t="shared" si="247"/>
        <v>0</v>
      </c>
      <c r="W108" s="192">
        <f t="shared" si="247"/>
        <v>0</v>
      </c>
      <c r="X108" s="192">
        <f t="shared" si="247"/>
        <v>0</v>
      </c>
      <c r="Y108" s="192">
        <f t="shared" si="247"/>
        <v>0</v>
      </c>
      <c r="Z108" s="192">
        <f t="shared" si="247"/>
        <v>0</v>
      </c>
      <c r="AA108" s="192">
        <f t="shared" si="247"/>
        <v>0</v>
      </c>
      <c r="AB108" s="192">
        <f t="shared" si="247"/>
        <v>0</v>
      </c>
      <c r="AC108" s="192">
        <f t="shared" si="247"/>
        <v>0</v>
      </c>
      <c r="AD108" s="192">
        <f t="shared" si="247"/>
        <v>0</v>
      </c>
      <c r="AE108" s="192">
        <f t="shared" si="247"/>
        <v>0</v>
      </c>
      <c r="AF108" s="192">
        <f t="shared" si="247"/>
        <v>0</v>
      </c>
      <c r="AG108" s="192">
        <f t="shared" si="247"/>
        <v>0</v>
      </c>
      <c r="AH108" s="192">
        <f t="shared" si="247"/>
        <v>0</v>
      </c>
      <c r="AI108" s="192">
        <f t="shared" si="247"/>
        <v>0</v>
      </c>
      <c r="AJ108" s="192">
        <f t="shared" ref="AJ108:BO108" si="248">+AJ106-AJ107</f>
        <v>0</v>
      </c>
      <c r="AK108" s="192">
        <f t="shared" si="248"/>
        <v>0</v>
      </c>
      <c r="AL108" s="192">
        <f t="shared" si="248"/>
        <v>0</v>
      </c>
      <c r="AM108" s="192">
        <f t="shared" si="248"/>
        <v>0</v>
      </c>
      <c r="AN108" s="192">
        <f t="shared" si="248"/>
        <v>0</v>
      </c>
      <c r="AO108" s="192">
        <f t="shared" si="248"/>
        <v>0</v>
      </c>
      <c r="AP108" s="192">
        <f t="shared" si="248"/>
        <v>0</v>
      </c>
      <c r="AQ108" s="192">
        <f t="shared" si="248"/>
        <v>0</v>
      </c>
      <c r="AR108" s="192">
        <f t="shared" si="248"/>
        <v>0</v>
      </c>
      <c r="AS108" s="192">
        <f t="shared" si="248"/>
        <v>0</v>
      </c>
      <c r="AT108" s="192">
        <f t="shared" si="248"/>
        <v>0</v>
      </c>
      <c r="AU108" s="192">
        <f t="shared" si="248"/>
        <v>0</v>
      </c>
      <c r="AV108" s="192">
        <f t="shared" si="248"/>
        <v>0</v>
      </c>
      <c r="AW108" s="192">
        <f t="shared" si="248"/>
        <v>0</v>
      </c>
      <c r="AX108" s="192">
        <f t="shared" si="248"/>
        <v>0</v>
      </c>
      <c r="AY108" s="192">
        <f t="shared" si="248"/>
        <v>0</v>
      </c>
      <c r="AZ108" s="192">
        <f t="shared" si="248"/>
        <v>0</v>
      </c>
      <c r="BA108" s="192">
        <f t="shared" si="248"/>
        <v>0</v>
      </c>
      <c r="BB108" s="192">
        <f t="shared" si="248"/>
        <v>0</v>
      </c>
      <c r="BC108" s="192">
        <f t="shared" si="248"/>
        <v>0</v>
      </c>
      <c r="BD108" s="192">
        <f t="shared" si="248"/>
        <v>0</v>
      </c>
      <c r="BE108" s="192">
        <f t="shared" si="248"/>
        <v>0</v>
      </c>
      <c r="BF108" s="192">
        <f t="shared" si="248"/>
        <v>0</v>
      </c>
      <c r="BG108" s="192">
        <f t="shared" si="248"/>
        <v>0</v>
      </c>
      <c r="BH108" s="192">
        <f t="shared" si="248"/>
        <v>0</v>
      </c>
      <c r="BI108" s="192">
        <f t="shared" si="248"/>
        <v>0</v>
      </c>
      <c r="BJ108" s="192">
        <f t="shared" si="248"/>
        <v>0</v>
      </c>
      <c r="BK108" s="192">
        <f t="shared" si="248"/>
        <v>0</v>
      </c>
      <c r="BL108" s="192">
        <f t="shared" si="248"/>
        <v>0</v>
      </c>
      <c r="BM108" s="192">
        <f t="shared" si="248"/>
        <v>0</v>
      </c>
      <c r="BN108" s="192">
        <f t="shared" si="248"/>
        <v>0</v>
      </c>
      <c r="BO108" s="192">
        <f t="shared" si="248"/>
        <v>0</v>
      </c>
      <c r="BP108" s="192">
        <f t="shared" ref="BP108:CU108" si="249">+BP106-BP107</f>
        <v>0</v>
      </c>
      <c r="BQ108" s="192">
        <f t="shared" si="249"/>
        <v>0</v>
      </c>
      <c r="BR108" s="192">
        <f t="shared" si="249"/>
        <v>0</v>
      </c>
      <c r="BS108" s="192">
        <f t="shared" si="249"/>
        <v>0</v>
      </c>
      <c r="BT108" s="192">
        <f t="shared" si="249"/>
        <v>0</v>
      </c>
      <c r="BU108" s="192">
        <f t="shared" si="249"/>
        <v>0</v>
      </c>
      <c r="BV108" s="192">
        <f t="shared" si="249"/>
        <v>0</v>
      </c>
      <c r="BW108" s="192">
        <f t="shared" si="249"/>
        <v>0</v>
      </c>
      <c r="BX108" s="192">
        <f t="shared" si="249"/>
        <v>0</v>
      </c>
      <c r="BY108" s="192">
        <f t="shared" si="249"/>
        <v>0</v>
      </c>
      <c r="BZ108" s="192">
        <f t="shared" si="249"/>
        <v>0</v>
      </c>
      <c r="CA108" s="192">
        <f t="shared" si="249"/>
        <v>0</v>
      </c>
      <c r="CB108" s="192">
        <f t="shared" si="249"/>
        <v>0</v>
      </c>
      <c r="CC108" s="192">
        <f t="shared" si="249"/>
        <v>0</v>
      </c>
      <c r="CD108" s="192">
        <f t="shared" si="249"/>
        <v>0</v>
      </c>
      <c r="CE108" s="192">
        <f t="shared" si="249"/>
        <v>0</v>
      </c>
      <c r="CF108" s="192">
        <f t="shared" si="249"/>
        <v>0</v>
      </c>
      <c r="CG108" s="192">
        <f t="shared" si="249"/>
        <v>0</v>
      </c>
      <c r="CH108" s="192">
        <f t="shared" si="249"/>
        <v>0</v>
      </c>
      <c r="CI108" s="192">
        <f t="shared" si="249"/>
        <v>5916.5569476128931</v>
      </c>
      <c r="CJ108" s="192">
        <f t="shared" si="249"/>
        <v>5975.7225170890215</v>
      </c>
      <c r="CK108" s="192">
        <f t="shared" si="249"/>
        <v>6035.4797422599122</v>
      </c>
      <c r="CL108" s="192">
        <f t="shared" si="249"/>
        <v>6095.8345396825116</v>
      </c>
      <c r="CM108" s="192">
        <f t="shared" si="249"/>
        <v>6156.792885079336</v>
      </c>
      <c r="CN108" s="192">
        <f t="shared" si="249"/>
        <v>6218.3608139301305</v>
      </c>
      <c r="CO108" s="192">
        <f t="shared" si="249"/>
        <v>6280.5444220694317</v>
      </c>
      <c r="CP108" s="192">
        <f t="shared" si="249"/>
        <v>6343.3498662901256</v>
      </c>
      <c r="CQ108" s="192">
        <f t="shared" si="249"/>
        <v>6406.7833649530266</v>
      </c>
      <c r="CR108" s="192">
        <f t="shared" si="249"/>
        <v>6470.8511986025569</v>
      </c>
      <c r="CS108" s="192">
        <f t="shared" si="249"/>
        <v>6535.5597105885827</v>
      </c>
      <c r="CT108" s="192">
        <f t="shared" si="249"/>
        <v>6600.9153076944685</v>
      </c>
      <c r="CU108" s="192">
        <f t="shared" si="249"/>
        <v>6666.9244607714136</v>
      </c>
      <c r="CV108" s="192">
        <f t="shared" ref="CV108:EA108" si="250">+CV106-CV107</f>
        <v>6733.5937053791276</v>
      </c>
      <c r="CW108" s="192">
        <f t="shared" si="250"/>
        <v>6800.9296424329186</v>
      </c>
      <c r="CX108" s="192">
        <f t="shared" si="250"/>
        <v>6868.9389388572481</v>
      </c>
      <c r="CY108" s="192">
        <f t="shared" si="250"/>
        <v>6937.6283282458207</v>
      </c>
      <c r="CZ108" s="192">
        <f t="shared" si="250"/>
        <v>7007.0046115282785</v>
      </c>
      <c r="DA108" s="192">
        <f t="shared" si="250"/>
        <v>7077.0746576435613</v>
      </c>
      <c r="DB108" s="192">
        <f t="shared" si="250"/>
        <v>7147.8454042199974</v>
      </c>
      <c r="DC108" s="192">
        <f t="shared" si="250"/>
        <v>7219.3238582621971</v>
      </c>
      <c r="DD108" s="192">
        <f t="shared" si="250"/>
        <v>7291.5170968448192</v>
      </c>
      <c r="DE108" s="192">
        <f t="shared" si="250"/>
        <v>7364.4322678132676</v>
      </c>
      <c r="DF108" s="192">
        <f t="shared" si="250"/>
        <v>7438.0765904914006</v>
      </c>
      <c r="DG108" s="192">
        <f t="shared" si="250"/>
        <v>7512.457356396314</v>
      </c>
      <c r="DH108" s="192">
        <f t="shared" si="250"/>
        <v>7587.5819299602772</v>
      </c>
      <c r="DI108" s="192">
        <f t="shared" si="250"/>
        <v>7663.4577492598801</v>
      </c>
      <c r="DJ108" s="192">
        <f t="shared" si="250"/>
        <v>7740.0923267524786</v>
      </c>
      <c r="DK108" s="192">
        <f t="shared" si="250"/>
        <v>7817.4932500200039</v>
      </c>
      <c r="DL108" s="192">
        <f t="shared" si="250"/>
        <v>7895.6681825202031</v>
      </c>
      <c r="DM108" s="192">
        <f t="shared" si="250"/>
        <v>7974.6248643454055</v>
      </c>
      <c r="DN108" s="192">
        <f t="shared" si="250"/>
        <v>8054.3711129888597</v>
      </c>
      <c r="DO108" s="192">
        <f t="shared" si="250"/>
        <v>8134.9148241187486</v>
      </c>
      <c r="DP108" s="192">
        <f t="shared" si="250"/>
        <v>8216.263972359935</v>
      </c>
      <c r="DQ108" s="192">
        <f t="shared" si="250"/>
        <v>8298.4266120835346</v>
      </c>
      <c r="DR108" s="192">
        <f t="shared" si="250"/>
        <v>8381.4108782043713</v>
      </c>
      <c r="DS108" s="192">
        <f t="shared" si="250"/>
        <v>6.3664629124104983E-13</v>
      </c>
      <c r="DT108" s="192">
        <f t="shared" si="250"/>
        <v>-2548.6680393735205</v>
      </c>
      <c r="DU108" s="192">
        <f t="shared" si="250"/>
        <v>-2574.1547197672558</v>
      </c>
      <c r="DV108" s="192">
        <f t="shared" si="250"/>
        <v>-2599.8962669649286</v>
      </c>
      <c r="DW108" s="192">
        <f t="shared" si="250"/>
        <v>-2625.8952296345774</v>
      </c>
      <c r="DX108" s="192">
        <f t="shared" si="250"/>
        <v>-2652.1541819309236</v>
      </c>
      <c r="DY108" s="192">
        <f t="shared" si="250"/>
        <v>-2678.6757237502329</v>
      </c>
      <c r="DZ108" s="192">
        <f t="shared" si="250"/>
        <v>-2705.4624809877355</v>
      </c>
      <c r="EA108" s="192">
        <f t="shared" si="250"/>
        <v>-2732.5171057976127</v>
      </c>
      <c r="EB108" s="192">
        <f t="shared" ref="EB108:FG108" si="251">+EB106-EB107</f>
        <v>-2759.8422768555884</v>
      </c>
      <c r="EC108" s="192">
        <f t="shared" si="251"/>
        <v>-2787.4406996241446</v>
      </c>
      <c r="ED108" s="192">
        <f t="shared" si="251"/>
        <v>-2815.3151066203859</v>
      </c>
      <c r="EE108" s="192">
        <f t="shared" si="251"/>
        <v>-2843.4682576865894</v>
      </c>
      <c r="EF108" s="192">
        <f t="shared" si="251"/>
        <v>-2871.9029402634555</v>
      </c>
      <c r="EG108" s="192">
        <f t="shared" si="251"/>
        <v>-2900.6219696660901</v>
      </c>
      <c r="EH108" s="192">
        <f t="shared" si="251"/>
        <v>-2929.6281893627511</v>
      </c>
      <c r="EI108" s="192">
        <f t="shared" si="251"/>
        <v>-2958.9244712563786</v>
      </c>
      <c r="EJ108" s="192">
        <f t="shared" si="251"/>
        <v>-2988.5137159689425</v>
      </c>
      <c r="EK108" s="192">
        <f t="shared" si="251"/>
        <v>-3018.3988531286318</v>
      </c>
      <c r="EL108" s="192">
        <f t="shared" si="251"/>
        <v>-3048.5828416599184</v>
      </c>
      <c r="EM108" s="192">
        <f t="shared" si="251"/>
        <v>-3079.0686700765173</v>
      </c>
      <c r="EN108" s="192">
        <f t="shared" si="251"/>
        <v>-3109.8593567772823</v>
      </c>
      <c r="EO108" s="192">
        <f t="shared" si="251"/>
        <v>-3140.957950345055</v>
      </c>
      <c r="EP108" s="192">
        <f t="shared" si="251"/>
        <v>-3172.3675298485055</v>
      </c>
      <c r="EQ108" s="192">
        <f t="shared" si="251"/>
        <v>-3204.0912051469909</v>
      </c>
      <c r="ER108" s="192">
        <f t="shared" si="251"/>
        <v>-3236.1321171984605</v>
      </c>
      <c r="ES108" s="192">
        <f t="shared" si="251"/>
        <v>-3268.4934383704458</v>
      </c>
      <c r="ET108" s="192">
        <f t="shared" si="251"/>
        <v>-3301.1783727541501</v>
      </c>
      <c r="EU108" s="192">
        <f t="shared" si="251"/>
        <v>-3334.1901564816917</v>
      </c>
      <c r="EV108" s="192">
        <f t="shared" si="251"/>
        <v>-3367.5320580465086</v>
      </c>
      <c r="EW108" s="192">
        <f t="shared" si="251"/>
        <v>-3401.2073786269734</v>
      </c>
      <c r="EX108" s="192">
        <f t="shared" si="251"/>
        <v>-3435.2194524132433</v>
      </c>
      <c r="EY108" s="192">
        <f t="shared" si="251"/>
        <v>-3469.571646937376</v>
      </c>
      <c r="EZ108" s="192">
        <f t="shared" si="251"/>
        <v>-3504.2673634067501</v>
      </c>
      <c r="FA108" s="192">
        <f t="shared" si="251"/>
        <v>-3539.3100370408174</v>
      </c>
      <c r="FB108" s="192">
        <f t="shared" si="251"/>
        <v>-3574.7031374112257</v>
      </c>
      <c r="FC108" s="192">
        <f t="shared" si="251"/>
        <v>-3610.4501687853376</v>
      </c>
      <c r="FD108" s="192">
        <f t="shared" si="251"/>
        <v>-3646.554670473191</v>
      </c>
      <c r="FE108" s="192">
        <f t="shared" si="251"/>
        <v>-3683.0202171779233</v>
      </c>
      <c r="FF108" s="192">
        <f t="shared" si="251"/>
        <v>-3719.8504193497024</v>
      </c>
      <c r="FG108" s="192">
        <f t="shared" si="251"/>
        <v>-3757.0489235431992</v>
      </c>
      <c r="FH108" s="192">
        <f t="shared" ref="FH108:FZ108" si="252">+FH106-FH107</f>
        <v>-3794.6194127786312</v>
      </c>
      <c r="FI108" s="192">
        <f t="shared" si="252"/>
        <v>-3832.5656069064175</v>
      </c>
      <c r="FJ108" s="192">
        <f t="shared" si="252"/>
        <v>-3870.8912629754818</v>
      </c>
      <c r="FK108" s="192">
        <f t="shared" si="252"/>
        <v>-3909.6001756052365</v>
      </c>
      <c r="FL108" s="192">
        <f t="shared" si="252"/>
        <v>-3948.6961773612888</v>
      </c>
      <c r="FM108" s="192">
        <f t="shared" si="252"/>
        <v>-3988.1831391349015</v>
      </c>
      <c r="FN108" s="192">
        <f t="shared" si="252"/>
        <v>-4028.0649705262508</v>
      </c>
      <c r="FO108" s="192">
        <f t="shared" si="252"/>
        <v>-4068.3456202315133</v>
      </c>
      <c r="FP108" s="192">
        <f t="shared" si="252"/>
        <v>-4109.0290764338288</v>
      </c>
      <c r="FQ108" s="192">
        <f t="shared" si="252"/>
        <v>-4150.1193671981673</v>
      </c>
      <c r="FR108" s="192">
        <f t="shared" si="252"/>
        <v>-4191.6205608701484</v>
      </c>
      <c r="FS108" s="192">
        <f t="shared" si="252"/>
        <v>-4233.53676647885</v>
      </c>
      <c r="FT108" s="192">
        <f t="shared" si="252"/>
        <v>-4275.8721341436385</v>
      </c>
      <c r="FU108" s="192">
        <f t="shared" si="252"/>
        <v>-4318.6308554850748</v>
      </c>
      <c r="FV108" s="192">
        <f t="shared" si="252"/>
        <v>-4361.817164039926</v>
      </c>
      <c r="FW108" s="192">
        <f t="shared" si="252"/>
        <v>-4405.4353356803258</v>
      </c>
      <c r="FX108" s="192">
        <f t="shared" si="252"/>
        <v>-4449.4896890371292</v>
      </c>
      <c r="FY108" s="192">
        <f t="shared" si="252"/>
        <v>-4493.9845859275001</v>
      </c>
      <c r="FZ108" s="192">
        <f t="shared" si="252"/>
        <v>-4538.9244317867751</v>
      </c>
    </row>
    <row r="111" spans="1:182" x14ac:dyDescent="0.2">
      <c r="A111" s="145" t="s">
        <v>442</v>
      </c>
    </row>
    <row r="112" spans="1:182" outlineLevel="1" x14ac:dyDescent="0.2">
      <c r="A112" s="24" t="s">
        <v>228</v>
      </c>
      <c r="B112" s="166">
        <f>+Inv.Rep.!K58</f>
        <v>265061.47609484615</v>
      </c>
    </row>
    <row r="113" spans="1:182" outlineLevel="1" x14ac:dyDescent="0.2">
      <c r="A113" s="24" t="s">
        <v>229</v>
      </c>
      <c r="B113" s="191">
        <f>+Condiciones!$B$20</f>
        <v>0.12</v>
      </c>
    </row>
    <row r="114" spans="1:182" outlineLevel="1" x14ac:dyDescent="0.2">
      <c r="A114" s="24" t="s">
        <v>230</v>
      </c>
      <c r="B114" s="139">
        <v>24</v>
      </c>
    </row>
    <row r="115" spans="1:182" outlineLevel="1" x14ac:dyDescent="0.2">
      <c r="A115" s="24" t="s">
        <v>231</v>
      </c>
      <c r="B115" s="192">
        <f>PMT(B113/12,B114,-B112)</f>
        <v>12477.364032408281</v>
      </c>
    </row>
    <row r="116" spans="1:182" outlineLevel="1" x14ac:dyDescent="0.2">
      <c r="A116" s="24" t="s">
        <v>356</v>
      </c>
      <c r="B116" s="139">
        <v>96</v>
      </c>
    </row>
    <row r="117" spans="1:182" outlineLevel="1" x14ac:dyDescent="0.2"/>
    <row r="118" spans="1:182" outlineLevel="1" x14ac:dyDescent="0.2">
      <c r="A118" s="24" t="s">
        <v>232</v>
      </c>
      <c r="B118" s="166">
        <f>+B112</f>
        <v>265061.47609484615</v>
      </c>
      <c r="C118" s="192">
        <v>0</v>
      </c>
      <c r="D118" s="192">
        <f>+IF(C118&gt;0,C118-D121,IF(D4&lt;$B$116,0,$B$118-D121))</f>
        <v>0</v>
      </c>
      <c r="E118" s="192">
        <f t="shared" ref="E118:BP118" si="253">+IF(D118&gt;0,D118-E121,IF(E4&lt;$B$116,0,$B$118-E121))</f>
        <v>0</v>
      </c>
      <c r="F118" s="192">
        <f t="shared" si="253"/>
        <v>0</v>
      </c>
      <c r="G118" s="192">
        <f t="shared" si="253"/>
        <v>0</v>
      </c>
      <c r="H118" s="192">
        <f t="shared" si="253"/>
        <v>0</v>
      </c>
      <c r="I118" s="192">
        <f t="shared" si="253"/>
        <v>0</v>
      </c>
      <c r="J118" s="192">
        <f t="shared" si="253"/>
        <v>0</v>
      </c>
      <c r="K118" s="192">
        <f t="shared" si="253"/>
        <v>0</v>
      </c>
      <c r="L118" s="192">
        <f t="shared" si="253"/>
        <v>0</v>
      </c>
      <c r="M118" s="192">
        <f t="shared" si="253"/>
        <v>0</v>
      </c>
      <c r="N118" s="192">
        <f t="shared" si="253"/>
        <v>0</v>
      </c>
      <c r="O118" s="192">
        <f t="shared" si="253"/>
        <v>0</v>
      </c>
      <c r="P118" s="192">
        <f t="shared" si="253"/>
        <v>0</v>
      </c>
      <c r="Q118" s="192">
        <f t="shared" si="253"/>
        <v>0</v>
      </c>
      <c r="R118" s="192">
        <f t="shared" si="253"/>
        <v>0</v>
      </c>
      <c r="S118" s="192">
        <f t="shared" si="253"/>
        <v>0</v>
      </c>
      <c r="T118" s="192">
        <f t="shared" si="253"/>
        <v>0</v>
      </c>
      <c r="U118" s="192">
        <f t="shared" si="253"/>
        <v>0</v>
      </c>
      <c r="V118" s="192">
        <f t="shared" si="253"/>
        <v>0</v>
      </c>
      <c r="W118" s="192">
        <f t="shared" si="253"/>
        <v>0</v>
      </c>
      <c r="X118" s="192">
        <f t="shared" si="253"/>
        <v>0</v>
      </c>
      <c r="Y118" s="192">
        <f t="shared" si="253"/>
        <v>0</v>
      </c>
      <c r="Z118" s="192">
        <f t="shared" si="253"/>
        <v>0</v>
      </c>
      <c r="AA118" s="192">
        <f t="shared" si="253"/>
        <v>0</v>
      </c>
      <c r="AB118" s="192">
        <f t="shared" si="253"/>
        <v>0</v>
      </c>
      <c r="AC118" s="192">
        <f t="shared" si="253"/>
        <v>0</v>
      </c>
      <c r="AD118" s="192">
        <f t="shared" si="253"/>
        <v>0</v>
      </c>
      <c r="AE118" s="192">
        <f t="shared" si="253"/>
        <v>0</v>
      </c>
      <c r="AF118" s="192">
        <f t="shared" si="253"/>
        <v>0</v>
      </c>
      <c r="AG118" s="192">
        <f t="shared" si="253"/>
        <v>0</v>
      </c>
      <c r="AH118" s="192">
        <f t="shared" si="253"/>
        <v>0</v>
      </c>
      <c r="AI118" s="192">
        <f t="shared" si="253"/>
        <v>0</v>
      </c>
      <c r="AJ118" s="192">
        <f t="shared" si="253"/>
        <v>0</v>
      </c>
      <c r="AK118" s="192">
        <f t="shared" si="253"/>
        <v>0</v>
      </c>
      <c r="AL118" s="192">
        <f t="shared" si="253"/>
        <v>0</v>
      </c>
      <c r="AM118" s="192">
        <f t="shared" si="253"/>
        <v>0</v>
      </c>
      <c r="AN118" s="192">
        <f t="shared" si="253"/>
        <v>0</v>
      </c>
      <c r="AO118" s="192">
        <f t="shared" si="253"/>
        <v>0</v>
      </c>
      <c r="AP118" s="192">
        <f t="shared" si="253"/>
        <v>0</v>
      </c>
      <c r="AQ118" s="192">
        <f t="shared" si="253"/>
        <v>0</v>
      </c>
      <c r="AR118" s="192">
        <f t="shared" si="253"/>
        <v>0</v>
      </c>
      <c r="AS118" s="192">
        <f t="shared" si="253"/>
        <v>0</v>
      </c>
      <c r="AT118" s="192">
        <f t="shared" si="253"/>
        <v>0</v>
      </c>
      <c r="AU118" s="192">
        <f t="shared" si="253"/>
        <v>0</v>
      </c>
      <c r="AV118" s="192">
        <f t="shared" si="253"/>
        <v>0</v>
      </c>
      <c r="AW118" s="192">
        <f t="shared" si="253"/>
        <v>0</v>
      </c>
      <c r="AX118" s="192">
        <f t="shared" si="253"/>
        <v>0</v>
      </c>
      <c r="AY118" s="192">
        <f t="shared" si="253"/>
        <v>0</v>
      </c>
      <c r="AZ118" s="192">
        <f t="shared" si="253"/>
        <v>0</v>
      </c>
      <c r="BA118" s="192">
        <f t="shared" si="253"/>
        <v>0</v>
      </c>
      <c r="BB118" s="192">
        <f t="shared" si="253"/>
        <v>0</v>
      </c>
      <c r="BC118" s="192">
        <f t="shared" si="253"/>
        <v>0</v>
      </c>
      <c r="BD118" s="192">
        <f t="shared" si="253"/>
        <v>0</v>
      </c>
      <c r="BE118" s="192">
        <f t="shared" si="253"/>
        <v>0</v>
      </c>
      <c r="BF118" s="192">
        <f t="shared" si="253"/>
        <v>0</v>
      </c>
      <c r="BG118" s="192">
        <f t="shared" si="253"/>
        <v>0</v>
      </c>
      <c r="BH118" s="192">
        <f t="shared" si="253"/>
        <v>0</v>
      </c>
      <c r="BI118" s="192">
        <f t="shared" si="253"/>
        <v>0</v>
      </c>
      <c r="BJ118" s="192">
        <f t="shared" si="253"/>
        <v>0</v>
      </c>
      <c r="BK118" s="192">
        <f t="shared" si="253"/>
        <v>0</v>
      </c>
      <c r="BL118" s="192">
        <f t="shared" si="253"/>
        <v>0</v>
      </c>
      <c r="BM118" s="192">
        <f t="shared" si="253"/>
        <v>0</v>
      </c>
      <c r="BN118" s="192">
        <f t="shared" si="253"/>
        <v>0</v>
      </c>
      <c r="BO118" s="192">
        <f t="shared" si="253"/>
        <v>0</v>
      </c>
      <c r="BP118" s="192">
        <f t="shared" si="253"/>
        <v>0</v>
      </c>
      <c r="BQ118" s="192">
        <f t="shared" ref="BQ118:EB118" si="254">+IF(BP118&gt;0,BP118-BQ121,IF(BQ4&lt;$B$116,0,$B$118-BQ121))</f>
        <v>0</v>
      </c>
      <c r="BR118" s="192">
        <f t="shared" si="254"/>
        <v>0</v>
      </c>
      <c r="BS118" s="192">
        <f t="shared" si="254"/>
        <v>0</v>
      </c>
      <c r="BT118" s="192">
        <f t="shared" si="254"/>
        <v>0</v>
      </c>
      <c r="BU118" s="192">
        <f t="shared" si="254"/>
        <v>0</v>
      </c>
      <c r="BV118" s="192">
        <f t="shared" si="254"/>
        <v>0</v>
      </c>
      <c r="BW118" s="192">
        <f t="shared" si="254"/>
        <v>0</v>
      </c>
      <c r="BX118" s="192">
        <f t="shared" si="254"/>
        <v>0</v>
      </c>
      <c r="BY118" s="192">
        <f t="shared" si="254"/>
        <v>0</v>
      </c>
      <c r="BZ118" s="192">
        <f t="shared" si="254"/>
        <v>0</v>
      </c>
      <c r="CA118" s="192">
        <f t="shared" si="254"/>
        <v>0</v>
      </c>
      <c r="CB118" s="192">
        <f t="shared" si="254"/>
        <v>0</v>
      </c>
      <c r="CC118" s="192">
        <f t="shared" si="254"/>
        <v>0</v>
      </c>
      <c r="CD118" s="192">
        <f t="shared" si="254"/>
        <v>0</v>
      </c>
      <c r="CE118" s="192">
        <f t="shared" si="254"/>
        <v>0</v>
      </c>
      <c r="CF118" s="192">
        <f t="shared" si="254"/>
        <v>0</v>
      </c>
      <c r="CG118" s="192">
        <f t="shared" si="254"/>
        <v>0</v>
      </c>
      <c r="CH118" s="192">
        <f t="shared" si="254"/>
        <v>0</v>
      </c>
      <c r="CI118" s="192">
        <f t="shared" si="254"/>
        <v>0</v>
      </c>
      <c r="CJ118" s="192">
        <f t="shared" si="254"/>
        <v>0</v>
      </c>
      <c r="CK118" s="192">
        <f t="shared" si="254"/>
        <v>0</v>
      </c>
      <c r="CL118" s="192">
        <f t="shared" si="254"/>
        <v>0</v>
      </c>
      <c r="CM118" s="192">
        <f t="shared" si="254"/>
        <v>0</v>
      </c>
      <c r="CN118" s="192">
        <f t="shared" si="254"/>
        <v>0</v>
      </c>
      <c r="CO118" s="192">
        <f t="shared" si="254"/>
        <v>0</v>
      </c>
      <c r="CP118" s="192">
        <f t="shared" si="254"/>
        <v>0</v>
      </c>
      <c r="CQ118" s="192">
        <f t="shared" si="254"/>
        <v>0</v>
      </c>
      <c r="CR118" s="192">
        <f t="shared" si="254"/>
        <v>0</v>
      </c>
      <c r="CS118" s="192">
        <f t="shared" si="254"/>
        <v>0</v>
      </c>
      <c r="CT118" s="192">
        <f t="shared" si="254"/>
        <v>265061.47609484615</v>
      </c>
      <c r="CU118" s="192">
        <f t="shared" si="254"/>
        <v>255234.72682338633</v>
      </c>
      <c r="CV118" s="192">
        <f t="shared" si="254"/>
        <v>245309.71005921191</v>
      </c>
      <c r="CW118" s="192">
        <f t="shared" si="254"/>
        <v>235285.44312739576</v>
      </c>
      <c r="CX118" s="192">
        <f t="shared" si="254"/>
        <v>225160.93352626145</v>
      </c>
      <c r="CY118" s="192">
        <f t="shared" si="254"/>
        <v>214935.17882911579</v>
      </c>
      <c r="CZ118" s="192">
        <f t="shared" si="254"/>
        <v>204607.16658499866</v>
      </c>
      <c r="DA118" s="192">
        <f t="shared" si="254"/>
        <v>194175.87421844035</v>
      </c>
      <c r="DB118" s="192">
        <f t="shared" si="254"/>
        <v>183640.26892821648</v>
      </c>
      <c r="DC118" s="192">
        <f t="shared" si="254"/>
        <v>172999.30758509037</v>
      </c>
      <c r="DD118" s="192">
        <f t="shared" si="254"/>
        <v>162251.936628533</v>
      </c>
      <c r="DE118" s="192">
        <f t="shared" si="254"/>
        <v>151397.09196241005</v>
      </c>
      <c r="DF118" s="192">
        <f t="shared" si="254"/>
        <v>140433.69884962586</v>
      </c>
      <c r="DG118" s="192">
        <f t="shared" si="254"/>
        <v>129360.67180571384</v>
      </c>
      <c r="DH118" s="192">
        <f t="shared" si="254"/>
        <v>118176.9144913627</v>
      </c>
      <c r="DI118" s="192">
        <f t="shared" si="254"/>
        <v>106881.31960386805</v>
      </c>
      <c r="DJ118" s="192">
        <f t="shared" si="254"/>
        <v>95472.768767498448</v>
      </c>
      <c r="DK118" s="192">
        <f t="shared" si="254"/>
        <v>83950.132422765149</v>
      </c>
      <c r="DL118" s="192">
        <f t="shared" si="254"/>
        <v>72312.269714584516</v>
      </c>
      <c r="DM118" s="192">
        <f t="shared" si="254"/>
        <v>60558.028379322081</v>
      </c>
      <c r="DN118" s="192">
        <f t="shared" si="254"/>
        <v>48686.24463070702</v>
      </c>
      <c r="DO118" s="192">
        <f t="shared" si="254"/>
        <v>36695.743044605813</v>
      </c>
      <c r="DP118" s="192">
        <f t="shared" si="254"/>
        <v>24585.336442643591</v>
      </c>
      <c r="DQ118" s="192">
        <f t="shared" si="254"/>
        <v>12353.825774661746</v>
      </c>
      <c r="DR118" s="192">
        <f t="shared" si="254"/>
        <v>8.1854523159563541E-11</v>
      </c>
      <c r="DS118" s="192">
        <f t="shared" si="254"/>
        <v>8.2673068391159182E-11</v>
      </c>
      <c r="DT118" s="192">
        <f t="shared" si="254"/>
        <v>8.3499799075070779E-11</v>
      </c>
      <c r="DU118" s="192">
        <f t="shared" si="254"/>
        <v>8.4334797065821493E-11</v>
      </c>
      <c r="DV118" s="192">
        <f t="shared" si="254"/>
        <v>8.5178145036479704E-11</v>
      </c>
      <c r="DW118" s="192">
        <f t="shared" si="254"/>
        <v>8.6029926486844499E-11</v>
      </c>
      <c r="DX118" s="192">
        <f t="shared" si="254"/>
        <v>8.6890225751712948E-11</v>
      </c>
      <c r="DY118" s="192">
        <f t="shared" si="254"/>
        <v>8.7759128009230072E-11</v>
      </c>
      <c r="DZ118" s="192">
        <f t="shared" si="254"/>
        <v>8.8636719289322371E-11</v>
      </c>
      <c r="EA118" s="192">
        <f t="shared" si="254"/>
        <v>8.9523086482215591E-11</v>
      </c>
      <c r="EB118" s="192">
        <f t="shared" si="254"/>
        <v>9.0418317347037746E-11</v>
      </c>
      <c r="EC118" s="192">
        <f t="shared" ref="EC118:FZ118" si="255">+IF(EB118&gt;0,EB118-EC121,IF(EC4&lt;$B$116,0,$B$118-EC121))</f>
        <v>9.1322500520508128E-11</v>
      </c>
      <c r="ED118" s="192">
        <f t="shared" si="255"/>
        <v>9.2235725525713207E-11</v>
      </c>
      <c r="EE118" s="192">
        <f t="shared" si="255"/>
        <v>9.3158082780970344E-11</v>
      </c>
      <c r="EF118" s="192">
        <f t="shared" si="255"/>
        <v>9.4089663608780052E-11</v>
      </c>
      <c r="EG118" s="192">
        <f t="shared" si="255"/>
        <v>9.5030560244867854E-11</v>
      </c>
      <c r="EH118" s="192">
        <f t="shared" si="255"/>
        <v>9.5980865847316531E-11</v>
      </c>
      <c r="EI118" s="192">
        <f t="shared" si="255"/>
        <v>9.6940674505789697E-11</v>
      </c>
      <c r="EJ118" s="192">
        <f t="shared" si="255"/>
        <v>9.791008125084759E-11</v>
      </c>
      <c r="EK118" s="192">
        <f t="shared" si="255"/>
        <v>9.8889182063356064E-11</v>
      </c>
      <c r="EL118" s="192">
        <f t="shared" si="255"/>
        <v>9.987807388398962E-11</v>
      </c>
      <c r="EM118" s="192">
        <f t="shared" si="255"/>
        <v>1.0087685462282952E-10</v>
      </c>
      <c r="EN118" s="192">
        <f t="shared" si="255"/>
        <v>1.0188562316905781E-10</v>
      </c>
      <c r="EO118" s="192">
        <f t="shared" si="255"/>
        <v>1.0290447940074839E-10</v>
      </c>
      <c r="EP118" s="192">
        <f t="shared" si="255"/>
        <v>1.0393352419475588E-10</v>
      </c>
      <c r="EQ118" s="192">
        <f t="shared" si="255"/>
        <v>1.0497285943670344E-10</v>
      </c>
      <c r="ER118" s="192">
        <f t="shared" si="255"/>
        <v>1.0602258803107047E-10</v>
      </c>
      <c r="ES118" s="192">
        <f t="shared" si="255"/>
        <v>1.0708281391138118E-10</v>
      </c>
      <c r="ET118" s="192">
        <f t="shared" si="255"/>
        <v>1.08153642050495E-10</v>
      </c>
      <c r="EU118" s="192">
        <f t="shared" si="255"/>
        <v>1.0923517847099995E-10</v>
      </c>
      <c r="EV118" s="192">
        <f t="shared" si="255"/>
        <v>1.1032753025570994E-10</v>
      </c>
      <c r="EW118" s="192">
        <f t="shared" si="255"/>
        <v>1.1143080555826704E-10</v>
      </c>
      <c r="EX118" s="192">
        <f t="shared" si="255"/>
        <v>1.1254511361384972E-10</v>
      </c>
      <c r="EY118" s="192">
        <f t="shared" si="255"/>
        <v>1.1367056474998822E-10</v>
      </c>
      <c r="EZ118" s="192">
        <f t="shared" si="255"/>
        <v>1.148072703974881E-10</v>
      </c>
      <c r="FA118" s="192">
        <f t="shared" si="255"/>
        <v>1.1595534310146298E-10</v>
      </c>
      <c r="FB118" s="192">
        <f t="shared" si="255"/>
        <v>1.1711489653247762E-10</v>
      </c>
      <c r="FC118" s="192">
        <f t="shared" si="255"/>
        <v>1.1828604549780241E-10</v>
      </c>
      <c r="FD118" s="192">
        <f t="shared" si="255"/>
        <v>1.1946890595278042E-10</v>
      </c>
      <c r="FE118" s="192">
        <f t="shared" si="255"/>
        <v>1.2066359501230823E-10</v>
      </c>
      <c r="FF118" s="192">
        <f t="shared" si="255"/>
        <v>1.2187023096243132E-10</v>
      </c>
      <c r="FG118" s="192">
        <f t="shared" si="255"/>
        <v>1.2308893327205563E-10</v>
      </c>
      <c r="FH118" s="192">
        <f t="shared" si="255"/>
        <v>1.2431982260477618E-10</v>
      </c>
      <c r="FI118" s="192">
        <f t="shared" si="255"/>
        <v>1.2556302083082394E-10</v>
      </c>
      <c r="FJ118" s="192">
        <f t="shared" si="255"/>
        <v>1.2681865103913219E-10</v>
      </c>
      <c r="FK118" s="192">
        <f t="shared" si="255"/>
        <v>1.280868375495235E-10</v>
      </c>
      <c r="FL118" s="192">
        <f t="shared" si="255"/>
        <v>1.2936770592501874E-10</v>
      </c>
      <c r="FM118" s="192">
        <f t="shared" si="255"/>
        <v>1.3066138298426893E-10</v>
      </c>
      <c r="FN118" s="192">
        <f t="shared" si="255"/>
        <v>1.3196799681411162E-10</v>
      </c>
      <c r="FO118" s="192">
        <f t="shared" si="255"/>
        <v>1.3328767678225273E-10</v>
      </c>
      <c r="FP118" s="192">
        <f t="shared" si="255"/>
        <v>1.3462055355007526E-10</v>
      </c>
      <c r="FQ118" s="192">
        <f t="shared" si="255"/>
        <v>1.3596675908557602E-10</v>
      </c>
      <c r="FR118" s="192">
        <f t="shared" si="255"/>
        <v>1.3732642667643178E-10</v>
      </c>
      <c r="FS118" s="192">
        <f t="shared" si="255"/>
        <v>1.3869969094319609E-10</v>
      </c>
      <c r="FT118" s="192">
        <f t="shared" si="255"/>
        <v>1.4008668785262806E-10</v>
      </c>
      <c r="FU118" s="192">
        <f t="shared" si="255"/>
        <v>1.4148755473115434E-10</v>
      </c>
      <c r="FV118" s="192">
        <f t="shared" si="255"/>
        <v>1.4290243027846589E-10</v>
      </c>
      <c r="FW118" s="192">
        <f t="shared" si="255"/>
        <v>1.4433145458125054E-10</v>
      </c>
      <c r="FX118" s="192">
        <f t="shared" si="255"/>
        <v>1.4577476912706304E-10</v>
      </c>
      <c r="FY118" s="192">
        <f t="shared" si="255"/>
        <v>1.4723251681833368E-10</v>
      </c>
      <c r="FZ118" s="192">
        <f t="shared" si="255"/>
        <v>1.4870484198651701E-10</v>
      </c>
    </row>
    <row r="119" spans="1:182" outlineLevel="1" x14ac:dyDescent="0.2">
      <c r="A119" s="24" t="s">
        <v>231</v>
      </c>
      <c r="B119" s="192">
        <f>SUM(C119:EP119)</f>
        <v>299456.73677779874</v>
      </c>
      <c r="C119" s="192">
        <v>0</v>
      </c>
      <c r="D119" s="192">
        <f>+IF(C118=0,0,IF(D4&gt;$B$114+$B$116,0,$B$115))</f>
        <v>0</v>
      </c>
      <c r="E119" s="192">
        <f t="shared" ref="E119:BP119" si="256">+IF(D118=0,0,IF(E4&gt;$B$114+$B$116,0,$B$115))</f>
        <v>0</v>
      </c>
      <c r="F119" s="192">
        <f t="shared" si="256"/>
        <v>0</v>
      </c>
      <c r="G119" s="192">
        <f t="shared" si="256"/>
        <v>0</v>
      </c>
      <c r="H119" s="192">
        <f t="shared" si="256"/>
        <v>0</v>
      </c>
      <c r="I119" s="192">
        <f t="shared" si="256"/>
        <v>0</v>
      </c>
      <c r="J119" s="192">
        <f t="shared" si="256"/>
        <v>0</v>
      </c>
      <c r="K119" s="192">
        <f t="shared" si="256"/>
        <v>0</v>
      </c>
      <c r="L119" s="192">
        <f t="shared" si="256"/>
        <v>0</v>
      </c>
      <c r="M119" s="192">
        <f t="shared" si="256"/>
        <v>0</v>
      </c>
      <c r="N119" s="192">
        <f t="shared" si="256"/>
        <v>0</v>
      </c>
      <c r="O119" s="192">
        <f t="shared" si="256"/>
        <v>0</v>
      </c>
      <c r="P119" s="192">
        <f t="shared" si="256"/>
        <v>0</v>
      </c>
      <c r="Q119" s="192">
        <f t="shared" si="256"/>
        <v>0</v>
      </c>
      <c r="R119" s="192">
        <f t="shared" si="256"/>
        <v>0</v>
      </c>
      <c r="S119" s="192">
        <f t="shared" si="256"/>
        <v>0</v>
      </c>
      <c r="T119" s="192">
        <f t="shared" si="256"/>
        <v>0</v>
      </c>
      <c r="U119" s="192">
        <f t="shared" si="256"/>
        <v>0</v>
      </c>
      <c r="V119" s="192">
        <f t="shared" si="256"/>
        <v>0</v>
      </c>
      <c r="W119" s="192">
        <f t="shared" si="256"/>
        <v>0</v>
      </c>
      <c r="X119" s="192">
        <f t="shared" si="256"/>
        <v>0</v>
      </c>
      <c r="Y119" s="192">
        <f t="shared" si="256"/>
        <v>0</v>
      </c>
      <c r="Z119" s="192">
        <f t="shared" si="256"/>
        <v>0</v>
      </c>
      <c r="AA119" s="192">
        <f t="shared" si="256"/>
        <v>0</v>
      </c>
      <c r="AB119" s="192">
        <f t="shared" si="256"/>
        <v>0</v>
      </c>
      <c r="AC119" s="192">
        <f t="shared" si="256"/>
        <v>0</v>
      </c>
      <c r="AD119" s="192">
        <f t="shared" si="256"/>
        <v>0</v>
      </c>
      <c r="AE119" s="192">
        <f t="shared" si="256"/>
        <v>0</v>
      </c>
      <c r="AF119" s="192">
        <f t="shared" si="256"/>
        <v>0</v>
      </c>
      <c r="AG119" s="192">
        <f t="shared" si="256"/>
        <v>0</v>
      </c>
      <c r="AH119" s="192">
        <f t="shared" si="256"/>
        <v>0</v>
      </c>
      <c r="AI119" s="192">
        <f t="shared" si="256"/>
        <v>0</v>
      </c>
      <c r="AJ119" s="192">
        <f t="shared" si="256"/>
        <v>0</v>
      </c>
      <c r="AK119" s="192">
        <f t="shared" si="256"/>
        <v>0</v>
      </c>
      <c r="AL119" s="192">
        <f t="shared" si="256"/>
        <v>0</v>
      </c>
      <c r="AM119" s="192">
        <f t="shared" si="256"/>
        <v>0</v>
      </c>
      <c r="AN119" s="192">
        <f t="shared" si="256"/>
        <v>0</v>
      </c>
      <c r="AO119" s="192">
        <f t="shared" si="256"/>
        <v>0</v>
      </c>
      <c r="AP119" s="192">
        <f t="shared" si="256"/>
        <v>0</v>
      </c>
      <c r="AQ119" s="192">
        <f t="shared" si="256"/>
        <v>0</v>
      </c>
      <c r="AR119" s="192">
        <f>+IF(AQ118=0,0,IF(AR4&gt;$B$114+$B$116,0,$B$115))</f>
        <v>0</v>
      </c>
      <c r="AS119" s="192">
        <f t="shared" si="256"/>
        <v>0</v>
      </c>
      <c r="AT119" s="192">
        <f t="shared" si="256"/>
        <v>0</v>
      </c>
      <c r="AU119" s="192">
        <f t="shared" si="256"/>
        <v>0</v>
      </c>
      <c r="AV119" s="192">
        <f t="shared" si="256"/>
        <v>0</v>
      </c>
      <c r="AW119" s="192">
        <f t="shared" si="256"/>
        <v>0</v>
      </c>
      <c r="AX119" s="192">
        <f t="shared" si="256"/>
        <v>0</v>
      </c>
      <c r="AY119" s="192">
        <f t="shared" si="256"/>
        <v>0</v>
      </c>
      <c r="AZ119" s="192">
        <f t="shared" si="256"/>
        <v>0</v>
      </c>
      <c r="BA119" s="192">
        <f t="shared" si="256"/>
        <v>0</v>
      </c>
      <c r="BB119" s="192">
        <f t="shared" si="256"/>
        <v>0</v>
      </c>
      <c r="BC119" s="192">
        <f t="shared" si="256"/>
        <v>0</v>
      </c>
      <c r="BD119" s="192">
        <f t="shared" si="256"/>
        <v>0</v>
      </c>
      <c r="BE119" s="192">
        <f t="shared" si="256"/>
        <v>0</v>
      </c>
      <c r="BF119" s="192">
        <f t="shared" si="256"/>
        <v>0</v>
      </c>
      <c r="BG119" s="192">
        <f t="shared" si="256"/>
        <v>0</v>
      </c>
      <c r="BH119" s="192">
        <f t="shared" si="256"/>
        <v>0</v>
      </c>
      <c r="BI119" s="192">
        <f t="shared" si="256"/>
        <v>0</v>
      </c>
      <c r="BJ119" s="192">
        <f t="shared" si="256"/>
        <v>0</v>
      </c>
      <c r="BK119" s="192">
        <f t="shared" si="256"/>
        <v>0</v>
      </c>
      <c r="BL119" s="192">
        <f t="shared" si="256"/>
        <v>0</v>
      </c>
      <c r="BM119" s="192">
        <f t="shared" si="256"/>
        <v>0</v>
      </c>
      <c r="BN119" s="192">
        <f t="shared" si="256"/>
        <v>0</v>
      </c>
      <c r="BO119" s="192">
        <f t="shared" si="256"/>
        <v>0</v>
      </c>
      <c r="BP119" s="192">
        <f t="shared" si="256"/>
        <v>0</v>
      </c>
      <c r="BQ119" s="192">
        <f t="shared" ref="BQ119:EB119" si="257">+IF(BP118=0,0,IF(BQ4&gt;$B$114+$B$116,0,$B$115))</f>
        <v>0</v>
      </c>
      <c r="BR119" s="192">
        <f t="shared" si="257"/>
        <v>0</v>
      </c>
      <c r="BS119" s="192">
        <f t="shared" si="257"/>
        <v>0</v>
      </c>
      <c r="BT119" s="192">
        <f t="shared" si="257"/>
        <v>0</v>
      </c>
      <c r="BU119" s="192">
        <f t="shared" si="257"/>
        <v>0</v>
      </c>
      <c r="BV119" s="192">
        <f t="shared" si="257"/>
        <v>0</v>
      </c>
      <c r="BW119" s="192">
        <f t="shared" si="257"/>
        <v>0</v>
      </c>
      <c r="BX119" s="192">
        <f t="shared" si="257"/>
        <v>0</v>
      </c>
      <c r="BY119" s="192">
        <f t="shared" si="257"/>
        <v>0</v>
      </c>
      <c r="BZ119" s="192">
        <f t="shared" si="257"/>
        <v>0</v>
      </c>
      <c r="CA119" s="192">
        <f t="shared" si="257"/>
        <v>0</v>
      </c>
      <c r="CB119" s="192">
        <f t="shared" si="257"/>
        <v>0</v>
      </c>
      <c r="CC119" s="192">
        <f t="shared" si="257"/>
        <v>0</v>
      </c>
      <c r="CD119" s="192">
        <f t="shared" si="257"/>
        <v>0</v>
      </c>
      <c r="CE119" s="192">
        <f t="shared" si="257"/>
        <v>0</v>
      </c>
      <c r="CF119" s="192">
        <f t="shared" si="257"/>
        <v>0</v>
      </c>
      <c r="CG119" s="192">
        <f t="shared" si="257"/>
        <v>0</v>
      </c>
      <c r="CH119" s="192">
        <f t="shared" si="257"/>
        <v>0</v>
      </c>
      <c r="CI119" s="192">
        <f t="shared" si="257"/>
        <v>0</v>
      </c>
      <c r="CJ119" s="192">
        <f t="shared" si="257"/>
        <v>0</v>
      </c>
      <c r="CK119" s="192">
        <f t="shared" si="257"/>
        <v>0</v>
      </c>
      <c r="CL119" s="192">
        <f t="shared" si="257"/>
        <v>0</v>
      </c>
      <c r="CM119" s="192">
        <f t="shared" si="257"/>
        <v>0</v>
      </c>
      <c r="CN119" s="192">
        <f t="shared" si="257"/>
        <v>0</v>
      </c>
      <c r="CO119" s="192">
        <f t="shared" si="257"/>
        <v>0</v>
      </c>
      <c r="CP119" s="192">
        <f t="shared" si="257"/>
        <v>0</v>
      </c>
      <c r="CQ119" s="192">
        <f t="shared" si="257"/>
        <v>0</v>
      </c>
      <c r="CR119" s="192">
        <f t="shared" si="257"/>
        <v>0</v>
      </c>
      <c r="CS119" s="192">
        <f t="shared" si="257"/>
        <v>0</v>
      </c>
      <c r="CT119" s="192">
        <f t="shared" si="257"/>
        <v>0</v>
      </c>
      <c r="CU119" s="192">
        <f t="shared" si="257"/>
        <v>12477.364032408281</v>
      </c>
      <c r="CV119" s="192">
        <f t="shared" si="257"/>
        <v>12477.364032408281</v>
      </c>
      <c r="CW119" s="192">
        <f t="shared" si="257"/>
        <v>12477.364032408281</v>
      </c>
      <c r="CX119" s="192">
        <f t="shared" si="257"/>
        <v>12477.364032408281</v>
      </c>
      <c r="CY119" s="192">
        <f t="shared" si="257"/>
        <v>12477.364032408281</v>
      </c>
      <c r="CZ119" s="192">
        <f t="shared" si="257"/>
        <v>12477.364032408281</v>
      </c>
      <c r="DA119" s="192">
        <f t="shared" si="257"/>
        <v>12477.364032408281</v>
      </c>
      <c r="DB119" s="192">
        <f t="shared" si="257"/>
        <v>12477.364032408281</v>
      </c>
      <c r="DC119" s="192">
        <f t="shared" si="257"/>
        <v>12477.364032408281</v>
      </c>
      <c r="DD119" s="192">
        <f t="shared" si="257"/>
        <v>12477.364032408281</v>
      </c>
      <c r="DE119" s="192">
        <f t="shared" si="257"/>
        <v>12477.364032408281</v>
      </c>
      <c r="DF119" s="192">
        <f t="shared" si="257"/>
        <v>12477.364032408281</v>
      </c>
      <c r="DG119" s="192">
        <f t="shared" si="257"/>
        <v>12477.364032408281</v>
      </c>
      <c r="DH119" s="192">
        <f t="shared" si="257"/>
        <v>12477.364032408281</v>
      </c>
      <c r="DI119" s="192">
        <f t="shared" si="257"/>
        <v>12477.364032408281</v>
      </c>
      <c r="DJ119" s="192">
        <f t="shared" si="257"/>
        <v>12477.364032408281</v>
      </c>
      <c r="DK119" s="192">
        <f t="shared" si="257"/>
        <v>12477.364032408281</v>
      </c>
      <c r="DL119" s="192">
        <f t="shared" si="257"/>
        <v>12477.364032408281</v>
      </c>
      <c r="DM119" s="192">
        <f t="shared" si="257"/>
        <v>12477.364032408281</v>
      </c>
      <c r="DN119" s="192">
        <f t="shared" si="257"/>
        <v>12477.364032408281</v>
      </c>
      <c r="DO119" s="192">
        <f t="shared" si="257"/>
        <v>12477.364032408281</v>
      </c>
      <c r="DP119" s="192">
        <f t="shared" si="257"/>
        <v>12477.364032408281</v>
      </c>
      <c r="DQ119" s="192">
        <f t="shared" si="257"/>
        <v>12477.364032408281</v>
      </c>
      <c r="DR119" s="192">
        <f t="shared" si="257"/>
        <v>12477.364032408281</v>
      </c>
      <c r="DS119" s="192">
        <f t="shared" si="257"/>
        <v>0</v>
      </c>
      <c r="DT119" s="192">
        <f t="shared" si="257"/>
        <v>0</v>
      </c>
      <c r="DU119" s="192">
        <f t="shared" si="257"/>
        <v>0</v>
      </c>
      <c r="DV119" s="192">
        <f t="shared" si="257"/>
        <v>0</v>
      </c>
      <c r="DW119" s="192">
        <f t="shared" si="257"/>
        <v>0</v>
      </c>
      <c r="DX119" s="192">
        <f t="shared" si="257"/>
        <v>0</v>
      </c>
      <c r="DY119" s="192">
        <f t="shared" si="257"/>
        <v>0</v>
      </c>
      <c r="DZ119" s="192">
        <f t="shared" si="257"/>
        <v>0</v>
      </c>
      <c r="EA119" s="192">
        <f t="shared" si="257"/>
        <v>0</v>
      </c>
      <c r="EB119" s="192">
        <f t="shared" si="257"/>
        <v>0</v>
      </c>
      <c r="EC119" s="192">
        <f t="shared" ref="EC119:FZ119" si="258">+IF(EB118=0,0,IF(EC4&gt;$B$114+$B$116,0,$B$115))</f>
        <v>0</v>
      </c>
      <c r="ED119" s="192">
        <f t="shared" si="258"/>
        <v>0</v>
      </c>
      <c r="EE119" s="192">
        <f t="shared" si="258"/>
        <v>0</v>
      </c>
      <c r="EF119" s="192">
        <f t="shared" si="258"/>
        <v>0</v>
      </c>
      <c r="EG119" s="192">
        <f t="shared" si="258"/>
        <v>0</v>
      </c>
      <c r="EH119" s="192">
        <f t="shared" si="258"/>
        <v>0</v>
      </c>
      <c r="EI119" s="192">
        <f t="shared" si="258"/>
        <v>0</v>
      </c>
      <c r="EJ119" s="192">
        <f t="shared" si="258"/>
        <v>0</v>
      </c>
      <c r="EK119" s="192">
        <f t="shared" si="258"/>
        <v>0</v>
      </c>
      <c r="EL119" s="192">
        <f t="shared" si="258"/>
        <v>0</v>
      </c>
      <c r="EM119" s="192">
        <f t="shared" si="258"/>
        <v>0</v>
      </c>
      <c r="EN119" s="192">
        <f t="shared" si="258"/>
        <v>0</v>
      </c>
      <c r="EO119" s="192">
        <f t="shared" si="258"/>
        <v>0</v>
      </c>
      <c r="EP119" s="192">
        <f t="shared" si="258"/>
        <v>0</v>
      </c>
      <c r="EQ119" s="192">
        <f t="shared" si="258"/>
        <v>0</v>
      </c>
      <c r="ER119" s="192">
        <f t="shared" si="258"/>
        <v>0</v>
      </c>
      <c r="ES119" s="192">
        <f t="shared" si="258"/>
        <v>0</v>
      </c>
      <c r="ET119" s="192">
        <f t="shared" si="258"/>
        <v>0</v>
      </c>
      <c r="EU119" s="192">
        <f t="shared" si="258"/>
        <v>0</v>
      </c>
      <c r="EV119" s="192">
        <f t="shared" si="258"/>
        <v>0</v>
      </c>
      <c r="EW119" s="192">
        <f t="shared" si="258"/>
        <v>0</v>
      </c>
      <c r="EX119" s="192">
        <f t="shared" si="258"/>
        <v>0</v>
      </c>
      <c r="EY119" s="192">
        <f t="shared" si="258"/>
        <v>0</v>
      </c>
      <c r="EZ119" s="192">
        <f t="shared" si="258"/>
        <v>0</v>
      </c>
      <c r="FA119" s="192">
        <f t="shared" si="258"/>
        <v>0</v>
      </c>
      <c r="FB119" s="192">
        <f t="shared" si="258"/>
        <v>0</v>
      </c>
      <c r="FC119" s="192">
        <f t="shared" si="258"/>
        <v>0</v>
      </c>
      <c r="FD119" s="192">
        <f t="shared" si="258"/>
        <v>0</v>
      </c>
      <c r="FE119" s="192">
        <f t="shared" si="258"/>
        <v>0</v>
      </c>
      <c r="FF119" s="192">
        <f t="shared" si="258"/>
        <v>0</v>
      </c>
      <c r="FG119" s="192">
        <f t="shared" si="258"/>
        <v>0</v>
      </c>
      <c r="FH119" s="192">
        <f t="shared" si="258"/>
        <v>0</v>
      </c>
      <c r="FI119" s="192">
        <f t="shared" si="258"/>
        <v>0</v>
      </c>
      <c r="FJ119" s="192">
        <f t="shared" si="258"/>
        <v>0</v>
      </c>
      <c r="FK119" s="192">
        <f t="shared" si="258"/>
        <v>0</v>
      </c>
      <c r="FL119" s="192">
        <f t="shared" si="258"/>
        <v>0</v>
      </c>
      <c r="FM119" s="192">
        <f t="shared" si="258"/>
        <v>0</v>
      </c>
      <c r="FN119" s="192">
        <f t="shared" si="258"/>
        <v>0</v>
      </c>
      <c r="FO119" s="192">
        <f t="shared" si="258"/>
        <v>0</v>
      </c>
      <c r="FP119" s="192">
        <f t="shared" si="258"/>
        <v>0</v>
      </c>
      <c r="FQ119" s="192">
        <f t="shared" si="258"/>
        <v>0</v>
      </c>
      <c r="FR119" s="192">
        <f t="shared" si="258"/>
        <v>0</v>
      </c>
      <c r="FS119" s="192">
        <f t="shared" si="258"/>
        <v>0</v>
      </c>
      <c r="FT119" s="192">
        <f t="shared" si="258"/>
        <v>0</v>
      </c>
      <c r="FU119" s="192">
        <f t="shared" si="258"/>
        <v>0</v>
      </c>
      <c r="FV119" s="192">
        <f t="shared" si="258"/>
        <v>0</v>
      </c>
      <c r="FW119" s="192">
        <f t="shared" si="258"/>
        <v>0</v>
      </c>
      <c r="FX119" s="192">
        <f t="shared" si="258"/>
        <v>0</v>
      </c>
      <c r="FY119" s="192">
        <f t="shared" si="258"/>
        <v>0</v>
      </c>
      <c r="FZ119" s="192">
        <f t="shared" si="258"/>
        <v>0</v>
      </c>
    </row>
    <row r="120" spans="1:182" outlineLevel="1" x14ac:dyDescent="0.2">
      <c r="A120" s="24" t="s">
        <v>233</v>
      </c>
      <c r="B120" s="192">
        <f>SUM(C120:DR120)</f>
        <v>34395.260682952656</v>
      </c>
      <c r="C120" s="192">
        <v>0</v>
      </c>
      <c r="D120" s="192">
        <f>+C118*($B$113/12)</f>
        <v>0</v>
      </c>
      <c r="E120" s="192">
        <f t="shared" ref="E120:BP120" si="259">+D118*($B$113/12)</f>
        <v>0</v>
      </c>
      <c r="F120" s="192">
        <f t="shared" si="259"/>
        <v>0</v>
      </c>
      <c r="G120" s="192">
        <f t="shared" si="259"/>
        <v>0</v>
      </c>
      <c r="H120" s="192">
        <f t="shared" si="259"/>
        <v>0</v>
      </c>
      <c r="I120" s="192">
        <f t="shared" si="259"/>
        <v>0</v>
      </c>
      <c r="J120" s="192">
        <f t="shared" si="259"/>
        <v>0</v>
      </c>
      <c r="K120" s="192">
        <f t="shared" si="259"/>
        <v>0</v>
      </c>
      <c r="L120" s="192">
        <f t="shared" si="259"/>
        <v>0</v>
      </c>
      <c r="M120" s="192">
        <f t="shared" si="259"/>
        <v>0</v>
      </c>
      <c r="N120" s="192">
        <f t="shared" si="259"/>
        <v>0</v>
      </c>
      <c r="O120" s="192">
        <f t="shared" si="259"/>
        <v>0</v>
      </c>
      <c r="P120" s="192">
        <f t="shared" si="259"/>
        <v>0</v>
      </c>
      <c r="Q120" s="192">
        <f t="shared" si="259"/>
        <v>0</v>
      </c>
      <c r="R120" s="192">
        <f t="shared" si="259"/>
        <v>0</v>
      </c>
      <c r="S120" s="192">
        <f t="shared" si="259"/>
        <v>0</v>
      </c>
      <c r="T120" s="192">
        <f t="shared" si="259"/>
        <v>0</v>
      </c>
      <c r="U120" s="192">
        <f t="shared" si="259"/>
        <v>0</v>
      </c>
      <c r="V120" s="192">
        <f t="shared" si="259"/>
        <v>0</v>
      </c>
      <c r="W120" s="192">
        <f t="shared" si="259"/>
        <v>0</v>
      </c>
      <c r="X120" s="192">
        <f t="shared" si="259"/>
        <v>0</v>
      </c>
      <c r="Y120" s="192">
        <f t="shared" si="259"/>
        <v>0</v>
      </c>
      <c r="Z120" s="192">
        <f t="shared" si="259"/>
        <v>0</v>
      </c>
      <c r="AA120" s="192">
        <f t="shared" si="259"/>
        <v>0</v>
      </c>
      <c r="AB120" s="192">
        <f t="shared" si="259"/>
        <v>0</v>
      </c>
      <c r="AC120" s="192">
        <f t="shared" si="259"/>
        <v>0</v>
      </c>
      <c r="AD120" s="192">
        <f t="shared" si="259"/>
        <v>0</v>
      </c>
      <c r="AE120" s="192">
        <f t="shared" si="259"/>
        <v>0</v>
      </c>
      <c r="AF120" s="192">
        <f t="shared" si="259"/>
        <v>0</v>
      </c>
      <c r="AG120" s="192">
        <f t="shared" si="259"/>
        <v>0</v>
      </c>
      <c r="AH120" s="192">
        <f t="shared" si="259"/>
        <v>0</v>
      </c>
      <c r="AI120" s="192">
        <f t="shared" si="259"/>
        <v>0</v>
      </c>
      <c r="AJ120" s="192">
        <f t="shared" si="259"/>
        <v>0</v>
      </c>
      <c r="AK120" s="192">
        <f t="shared" si="259"/>
        <v>0</v>
      </c>
      <c r="AL120" s="192">
        <f t="shared" si="259"/>
        <v>0</v>
      </c>
      <c r="AM120" s="192">
        <f t="shared" si="259"/>
        <v>0</v>
      </c>
      <c r="AN120" s="192">
        <f t="shared" si="259"/>
        <v>0</v>
      </c>
      <c r="AO120" s="192">
        <f t="shared" si="259"/>
        <v>0</v>
      </c>
      <c r="AP120" s="192">
        <f t="shared" si="259"/>
        <v>0</v>
      </c>
      <c r="AQ120" s="192">
        <f t="shared" si="259"/>
        <v>0</v>
      </c>
      <c r="AR120" s="192">
        <f t="shared" si="259"/>
        <v>0</v>
      </c>
      <c r="AS120" s="192">
        <f t="shared" si="259"/>
        <v>0</v>
      </c>
      <c r="AT120" s="192">
        <f t="shared" si="259"/>
        <v>0</v>
      </c>
      <c r="AU120" s="192">
        <f t="shared" si="259"/>
        <v>0</v>
      </c>
      <c r="AV120" s="192">
        <f t="shared" si="259"/>
        <v>0</v>
      </c>
      <c r="AW120" s="192">
        <f t="shared" si="259"/>
        <v>0</v>
      </c>
      <c r="AX120" s="192">
        <f t="shared" si="259"/>
        <v>0</v>
      </c>
      <c r="AY120" s="192">
        <f t="shared" si="259"/>
        <v>0</v>
      </c>
      <c r="AZ120" s="192">
        <f t="shared" si="259"/>
        <v>0</v>
      </c>
      <c r="BA120" s="192">
        <f t="shared" si="259"/>
        <v>0</v>
      </c>
      <c r="BB120" s="192">
        <f t="shared" si="259"/>
        <v>0</v>
      </c>
      <c r="BC120" s="192">
        <f t="shared" si="259"/>
        <v>0</v>
      </c>
      <c r="BD120" s="192">
        <f t="shared" si="259"/>
        <v>0</v>
      </c>
      <c r="BE120" s="192">
        <f t="shared" si="259"/>
        <v>0</v>
      </c>
      <c r="BF120" s="192">
        <f t="shared" si="259"/>
        <v>0</v>
      </c>
      <c r="BG120" s="192">
        <f t="shared" si="259"/>
        <v>0</v>
      </c>
      <c r="BH120" s="192">
        <f t="shared" si="259"/>
        <v>0</v>
      </c>
      <c r="BI120" s="192">
        <f t="shared" si="259"/>
        <v>0</v>
      </c>
      <c r="BJ120" s="192">
        <f t="shared" si="259"/>
        <v>0</v>
      </c>
      <c r="BK120" s="192">
        <f t="shared" si="259"/>
        <v>0</v>
      </c>
      <c r="BL120" s="192">
        <f t="shared" si="259"/>
        <v>0</v>
      </c>
      <c r="BM120" s="192">
        <f t="shared" si="259"/>
        <v>0</v>
      </c>
      <c r="BN120" s="192">
        <f t="shared" si="259"/>
        <v>0</v>
      </c>
      <c r="BO120" s="192">
        <f t="shared" si="259"/>
        <v>0</v>
      </c>
      <c r="BP120" s="192">
        <f t="shared" si="259"/>
        <v>0</v>
      </c>
      <c r="BQ120" s="192">
        <f t="shared" ref="BQ120:EB120" si="260">+BP118*($B$113/12)</f>
        <v>0</v>
      </c>
      <c r="BR120" s="192">
        <f t="shared" si="260"/>
        <v>0</v>
      </c>
      <c r="BS120" s="192">
        <f t="shared" si="260"/>
        <v>0</v>
      </c>
      <c r="BT120" s="192">
        <f t="shared" si="260"/>
        <v>0</v>
      </c>
      <c r="BU120" s="192">
        <f t="shared" si="260"/>
        <v>0</v>
      </c>
      <c r="BV120" s="192">
        <f t="shared" si="260"/>
        <v>0</v>
      </c>
      <c r="BW120" s="192">
        <f t="shared" si="260"/>
        <v>0</v>
      </c>
      <c r="BX120" s="192">
        <f t="shared" si="260"/>
        <v>0</v>
      </c>
      <c r="BY120" s="192">
        <f t="shared" si="260"/>
        <v>0</v>
      </c>
      <c r="BZ120" s="192">
        <f t="shared" si="260"/>
        <v>0</v>
      </c>
      <c r="CA120" s="192">
        <f t="shared" si="260"/>
        <v>0</v>
      </c>
      <c r="CB120" s="192">
        <f t="shared" si="260"/>
        <v>0</v>
      </c>
      <c r="CC120" s="192">
        <f t="shared" si="260"/>
        <v>0</v>
      </c>
      <c r="CD120" s="192">
        <f t="shared" si="260"/>
        <v>0</v>
      </c>
      <c r="CE120" s="192">
        <f t="shared" si="260"/>
        <v>0</v>
      </c>
      <c r="CF120" s="192">
        <f t="shared" si="260"/>
        <v>0</v>
      </c>
      <c r="CG120" s="192">
        <f t="shared" si="260"/>
        <v>0</v>
      </c>
      <c r="CH120" s="192">
        <f t="shared" si="260"/>
        <v>0</v>
      </c>
      <c r="CI120" s="192">
        <f t="shared" si="260"/>
        <v>0</v>
      </c>
      <c r="CJ120" s="192">
        <f t="shared" si="260"/>
        <v>0</v>
      </c>
      <c r="CK120" s="192">
        <f t="shared" si="260"/>
        <v>0</v>
      </c>
      <c r="CL120" s="192">
        <f t="shared" si="260"/>
        <v>0</v>
      </c>
      <c r="CM120" s="192">
        <f t="shared" si="260"/>
        <v>0</v>
      </c>
      <c r="CN120" s="192">
        <f t="shared" si="260"/>
        <v>0</v>
      </c>
      <c r="CO120" s="192">
        <f t="shared" si="260"/>
        <v>0</v>
      </c>
      <c r="CP120" s="192">
        <f t="shared" si="260"/>
        <v>0</v>
      </c>
      <c r="CQ120" s="192">
        <f t="shared" si="260"/>
        <v>0</v>
      </c>
      <c r="CR120" s="192">
        <f t="shared" si="260"/>
        <v>0</v>
      </c>
      <c r="CS120" s="192">
        <f t="shared" si="260"/>
        <v>0</v>
      </c>
      <c r="CT120" s="192">
        <f t="shared" si="260"/>
        <v>0</v>
      </c>
      <c r="CU120" s="192">
        <f t="shared" si="260"/>
        <v>2650.6147609484615</v>
      </c>
      <c r="CV120" s="192">
        <f t="shared" si="260"/>
        <v>2552.3472682338634</v>
      </c>
      <c r="CW120" s="192">
        <f t="shared" si="260"/>
        <v>2453.0971005921192</v>
      </c>
      <c r="CX120" s="192">
        <f t="shared" si="260"/>
        <v>2352.8544312739577</v>
      </c>
      <c r="CY120" s="192">
        <f t="shared" si="260"/>
        <v>2251.6093352626144</v>
      </c>
      <c r="CZ120" s="192">
        <f t="shared" si="260"/>
        <v>2149.3517882911578</v>
      </c>
      <c r="DA120" s="192">
        <f t="shared" si="260"/>
        <v>2046.0716658499866</v>
      </c>
      <c r="DB120" s="192">
        <f t="shared" si="260"/>
        <v>1941.7587421844037</v>
      </c>
      <c r="DC120" s="192">
        <f t="shared" si="260"/>
        <v>1836.4026892821648</v>
      </c>
      <c r="DD120" s="192">
        <f t="shared" si="260"/>
        <v>1729.9930758509038</v>
      </c>
      <c r="DE120" s="192">
        <f t="shared" si="260"/>
        <v>1622.5193662853301</v>
      </c>
      <c r="DF120" s="192">
        <f t="shared" si="260"/>
        <v>1513.9709196241006</v>
      </c>
      <c r="DG120" s="192">
        <f t="shared" si="260"/>
        <v>1404.3369884962585</v>
      </c>
      <c r="DH120" s="192">
        <f t="shared" si="260"/>
        <v>1293.6067180571383</v>
      </c>
      <c r="DI120" s="192">
        <f t="shared" si="260"/>
        <v>1181.7691449136271</v>
      </c>
      <c r="DJ120" s="192">
        <f t="shared" si="260"/>
        <v>1068.8131960386804</v>
      </c>
      <c r="DK120" s="192">
        <f t="shared" si="260"/>
        <v>954.72768767498451</v>
      </c>
      <c r="DL120" s="192">
        <f t="shared" si="260"/>
        <v>839.50132422765148</v>
      </c>
      <c r="DM120" s="192">
        <f t="shared" si="260"/>
        <v>723.12269714584522</v>
      </c>
      <c r="DN120" s="192">
        <f t="shared" si="260"/>
        <v>605.58028379322081</v>
      </c>
      <c r="DO120" s="192">
        <f t="shared" si="260"/>
        <v>486.86244630707023</v>
      </c>
      <c r="DP120" s="192">
        <f t="shared" si="260"/>
        <v>366.95743044605814</v>
      </c>
      <c r="DQ120" s="192">
        <f t="shared" si="260"/>
        <v>245.85336442643592</v>
      </c>
      <c r="DR120" s="192">
        <f t="shared" si="260"/>
        <v>123.53825774661746</v>
      </c>
      <c r="DS120" s="192">
        <f t="shared" si="260"/>
        <v>8.1854523159563543E-13</v>
      </c>
      <c r="DT120" s="192">
        <f t="shared" si="260"/>
        <v>8.267306839115918E-13</v>
      </c>
      <c r="DU120" s="192">
        <f t="shared" si="260"/>
        <v>8.3499799075070785E-13</v>
      </c>
      <c r="DV120" s="192">
        <f t="shared" si="260"/>
        <v>8.4334797065821497E-13</v>
      </c>
      <c r="DW120" s="192">
        <f t="shared" si="260"/>
        <v>8.5178145036479701E-13</v>
      </c>
      <c r="DX120" s="192">
        <f t="shared" si="260"/>
        <v>8.6029926486844504E-13</v>
      </c>
      <c r="DY120" s="192">
        <f t="shared" si="260"/>
        <v>8.6890225751712948E-13</v>
      </c>
      <c r="DZ120" s="192">
        <f t="shared" si="260"/>
        <v>8.7759128009230079E-13</v>
      </c>
      <c r="EA120" s="192">
        <f t="shared" si="260"/>
        <v>8.8636719289322373E-13</v>
      </c>
      <c r="EB120" s="192">
        <f t="shared" si="260"/>
        <v>8.9523086482215589E-13</v>
      </c>
      <c r="EC120" s="192">
        <f t="shared" ref="EC120:FZ120" si="261">+EB118*($B$113/12)</f>
        <v>9.0418317347037746E-13</v>
      </c>
      <c r="ED120" s="192">
        <f t="shared" si="261"/>
        <v>9.1322500520508134E-13</v>
      </c>
      <c r="EE120" s="192">
        <f t="shared" si="261"/>
        <v>9.2235725525713199E-13</v>
      </c>
      <c r="EF120" s="192">
        <f t="shared" si="261"/>
        <v>9.3158082780970356E-13</v>
      </c>
      <c r="EG120" s="192">
        <f t="shared" si="261"/>
        <v>9.4089663608780058E-13</v>
      </c>
      <c r="EH120" s="192">
        <f t="shared" si="261"/>
        <v>9.5030560244867847E-13</v>
      </c>
      <c r="EI120" s="192">
        <f t="shared" si="261"/>
        <v>9.5980865847316539E-13</v>
      </c>
      <c r="EJ120" s="192">
        <f t="shared" si="261"/>
        <v>9.6940674505789689E-13</v>
      </c>
      <c r="EK120" s="192">
        <f t="shared" si="261"/>
        <v>9.7910081250847598E-13</v>
      </c>
      <c r="EL120" s="192">
        <f t="shared" si="261"/>
        <v>9.8889182063356061E-13</v>
      </c>
      <c r="EM120" s="192">
        <f t="shared" si="261"/>
        <v>9.9878073883989621E-13</v>
      </c>
      <c r="EN120" s="192">
        <f t="shared" si="261"/>
        <v>1.0087685462282952E-12</v>
      </c>
      <c r="EO120" s="192">
        <f t="shared" si="261"/>
        <v>1.0188562316905781E-12</v>
      </c>
      <c r="EP120" s="192">
        <f t="shared" si="261"/>
        <v>1.029044794007484E-12</v>
      </c>
      <c r="EQ120" s="192">
        <f t="shared" si="261"/>
        <v>1.0393352419475589E-12</v>
      </c>
      <c r="ER120" s="192">
        <f t="shared" si="261"/>
        <v>1.0497285943670345E-12</v>
      </c>
      <c r="ES120" s="192">
        <f t="shared" si="261"/>
        <v>1.0602258803107048E-12</v>
      </c>
      <c r="ET120" s="192">
        <f t="shared" si="261"/>
        <v>1.0708281391138119E-12</v>
      </c>
      <c r="EU120" s="192">
        <f t="shared" si="261"/>
        <v>1.0815364205049501E-12</v>
      </c>
      <c r="EV120" s="192">
        <f t="shared" si="261"/>
        <v>1.0923517847099995E-12</v>
      </c>
      <c r="EW120" s="192">
        <f t="shared" si="261"/>
        <v>1.1032753025570994E-12</v>
      </c>
      <c r="EX120" s="192">
        <f t="shared" si="261"/>
        <v>1.1143080555826704E-12</v>
      </c>
      <c r="EY120" s="192">
        <f t="shared" si="261"/>
        <v>1.1254511361384971E-12</v>
      </c>
      <c r="EZ120" s="192">
        <f t="shared" si="261"/>
        <v>1.1367056474998822E-12</v>
      </c>
      <c r="FA120" s="192">
        <f t="shared" si="261"/>
        <v>1.148072703974881E-12</v>
      </c>
      <c r="FB120" s="192">
        <f t="shared" si="261"/>
        <v>1.1595534310146298E-12</v>
      </c>
      <c r="FC120" s="192">
        <f t="shared" si="261"/>
        <v>1.1711489653247763E-12</v>
      </c>
      <c r="FD120" s="192">
        <f t="shared" si="261"/>
        <v>1.1828604549780241E-12</v>
      </c>
      <c r="FE120" s="192">
        <f t="shared" si="261"/>
        <v>1.1946890595278042E-12</v>
      </c>
      <c r="FF120" s="192">
        <f t="shared" si="261"/>
        <v>1.2066359501230824E-12</v>
      </c>
      <c r="FG120" s="192">
        <f t="shared" si="261"/>
        <v>1.2187023096243132E-12</v>
      </c>
      <c r="FH120" s="192">
        <f t="shared" si="261"/>
        <v>1.2308893327205563E-12</v>
      </c>
      <c r="FI120" s="192">
        <f t="shared" si="261"/>
        <v>1.2431982260477618E-12</v>
      </c>
      <c r="FJ120" s="192">
        <f t="shared" si="261"/>
        <v>1.2556302083082395E-12</v>
      </c>
      <c r="FK120" s="192">
        <f t="shared" si="261"/>
        <v>1.268186510391322E-12</v>
      </c>
      <c r="FL120" s="192">
        <f t="shared" si="261"/>
        <v>1.2808683754952351E-12</v>
      </c>
      <c r="FM120" s="192">
        <f t="shared" si="261"/>
        <v>1.2936770592501874E-12</v>
      </c>
      <c r="FN120" s="192">
        <f t="shared" si="261"/>
        <v>1.3066138298426893E-12</v>
      </c>
      <c r="FO120" s="192">
        <f t="shared" si="261"/>
        <v>1.3196799681411162E-12</v>
      </c>
      <c r="FP120" s="192">
        <f t="shared" si="261"/>
        <v>1.3328767678225272E-12</v>
      </c>
      <c r="FQ120" s="192">
        <f t="shared" si="261"/>
        <v>1.3462055355007525E-12</v>
      </c>
      <c r="FR120" s="192">
        <f t="shared" si="261"/>
        <v>1.3596675908557601E-12</v>
      </c>
      <c r="FS120" s="192">
        <f t="shared" si="261"/>
        <v>1.3732642667643178E-12</v>
      </c>
      <c r="FT120" s="192">
        <f t="shared" si="261"/>
        <v>1.3869969094319609E-12</v>
      </c>
      <c r="FU120" s="192">
        <f t="shared" si="261"/>
        <v>1.4008668785262807E-12</v>
      </c>
      <c r="FV120" s="192">
        <f t="shared" si="261"/>
        <v>1.4148755473115434E-12</v>
      </c>
      <c r="FW120" s="192">
        <f t="shared" si="261"/>
        <v>1.4290243027846591E-12</v>
      </c>
      <c r="FX120" s="192">
        <f t="shared" si="261"/>
        <v>1.4433145458125054E-12</v>
      </c>
      <c r="FY120" s="192">
        <f t="shared" si="261"/>
        <v>1.4577476912706305E-12</v>
      </c>
      <c r="FZ120" s="192">
        <f t="shared" si="261"/>
        <v>1.4723251681833367E-12</v>
      </c>
    </row>
    <row r="121" spans="1:182" outlineLevel="1" x14ac:dyDescent="0.2">
      <c r="A121" s="24" t="s">
        <v>234</v>
      </c>
      <c r="B121" s="192">
        <f>SUM(C121:DR121)</f>
        <v>265061.47609484615</v>
      </c>
      <c r="C121" s="192">
        <v>0</v>
      </c>
      <c r="D121" s="192">
        <f>+D119-D120</f>
        <v>0</v>
      </c>
      <c r="E121" s="192">
        <f t="shared" ref="E121:BP121" si="262">+E119-E120</f>
        <v>0</v>
      </c>
      <c r="F121" s="192">
        <f t="shared" si="262"/>
        <v>0</v>
      </c>
      <c r="G121" s="192">
        <f t="shared" si="262"/>
        <v>0</v>
      </c>
      <c r="H121" s="192">
        <f t="shared" si="262"/>
        <v>0</v>
      </c>
      <c r="I121" s="192">
        <f t="shared" si="262"/>
        <v>0</v>
      </c>
      <c r="J121" s="192">
        <f t="shared" si="262"/>
        <v>0</v>
      </c>
      <c r="K121" s="192">
        <f t="shared" si="262"/>
        <v>0</v>
      </c>
      <c r="L121" s="192">
        <f t="shared" si="262"/>
        <v>0</v>
      </c>
      <c r="M121" s="192">
        <f t="shared" si="262"/>
        <v>0</v>
      </c>
      <c r="N121" s="192">
        <f t="shared" si="262"/>
        <v>0</v>
      </c>
      <c r="O121" s="192">
        <f t="shared" si="262"/>
        <v>0</v>
      </c>
      <c r="P121" s="192">
        <f t="shared" si="262"/>
        <v>0</v>
      </c>
      <c r="Q121" s="192">
        <f t="shared" si="262"/>
        <v>0</v>
      </c>
      <c r="R121" s="192">
        <f t="shared" si="262"/>
        <v>0</v>
      </c>
      <c r="S121" s="192">
        <f t="shared" si="262"/>
        <v>0</v>
      </c>
      <c r="T121" s="192">
        <f t="shared" si="262"/>
        <v>0</v>
      </c>
      <c r="U121" s="192">
        <f t="shared" si="262"/>
        <v>0</v>
      </c>
      <c r="V121" s="192">
        <f t="shared" si="262"/>
        <v>0</v>
      </c>
      <c r="W121" s="192">
        <f t="shared" si="262"/>
        <v>0</v>
      </c>
      <c r="X121" s="192">
        <f t="shared" si="262"/>
        <v>0</v>
      </c>
      <c r="Y121" s="192">
        <f t="shared" si="262"/>
        <v>0</v>
      </c>
      <c r="Z121" s="192">
        <f t="shared" si="262"/>
        <v>0</v>
      </c>
      <c r="AA121" s="192">
        <f t="shared" si="262"/>
        <v>0</v>
      </c>
      <c r="AB121" s="192">
        <f t="shared" si="262"/>
        <v>0</v>
      </c>
      <c r="AC121" s="192">
        <f t="shared" si="262"/>
        <v>0</v>
      </c>
      <c r="AD121" s="192">
        <f t="shared" si="262"/>
        <v>0</v>
      </c>
      <c r="AE121" s="192">
        <f t="shared" si="262"/>
        <v>0</v>
      </c>
      <c r="AF121" s="192">
        <f t="shared" si="262"/>
        <v>0</v>
      </c>
      <c r="AG121" s="192">
        <f t="shared" si="262"/>
        <v>0</v>
      </c>
      <c r="AH121" s="192">
        <f t="shared" si="262"/>
        <v>0</v>
      </c>
      <c r="AI121" s="192">
        <f t="shared" si="262"/>
        <v>0</v>
      </c>
      <c r="AJ121" s="192">
        <f t="shared" si="262"/>
        <v>0</v>
      </c>
      <c r="AK121" s="192">
        <f t="shared" si="262"/>
        <v>0</v>
      </c>
      <c r="AL121" s="192">
        <f t="shared" si="262"/>
        <v>0</v>
      </c>
      <c r="AM121" s="192">
        <f t="shared" si="262"/>
        <v>0</v>
      </c>
      <c r="AN121" s="192">
        <f t="shared" si="262"/>
        <v>0</v>
      </c>
      <c r="AO121" s="192">
        <f t="shared" si="262"/>
        <v>0</v>
      </c>
      <c r="AP121" s="192">
        <f t="shared" si="262"/>
        <v>0</v>
      </c>
      <c r="AQ121" s="192">
        <f t="shared" si="262"/>
        <v>0</v>
      </c>
      <c r="AR121" s="192">
        <f t="shared" si="262"/>
        <v>0</v>
      </c>
      <c r="AS121" s="192">
        <f t="shared" si="262"/>
        <v>0</v>
      </c>
      <c r="AT121" s="192">
        <f t="shared" si="262"/>
        <v>0</v>
      </c>
      <c r="AU121" s="192">
        <f t="shared" si="262"/>
        <v>0</v>
      </c>
      <c r="AV121" s="192">
        <f t="shared" si="262"/>
        <v>0</v>
      </c>
      <c r="AW121" s="192">
        <f t="shared" si="262"/>
        <v>0</v>
      </c>
      <c r="AX121" s="192">
        <f t="shared" si="262"/>
        <v>0</v>
      </c>
      <c r="AY121" s="192">
        <f t="shared" si="262"/>
        <v>0</v>
      </c>
      <c r="AZ121" s="192">
        <f t="shared" si="262"/>
        <v>0</v>
      </c>
      <c r="BA121" s="192">
        <f t="shared" si="262"/>
        <v>0</v>
      </c>
      <c r="BB121" s="192">
        <f t="shared" si="262"/>
        <v>0</v>
      </c>
      <c r="BC121" s="192">
        <f t="shared" si="262"/>
        <v>0</v>
      </c>
      <c r="BD121" s="192">
        <f t="shared" si="262"/>
        <v>0</v>
      </c>
      <c r="BE121" s="192">
        <f t="shared" si="262"/>
        <v>0</v>
      </c>
      <c r="BF121" s="192">
        <f t="shared" si="262"/>
        <v>0</v>
      </c>
      <c r="BG121" s="192">
        <f t="shared" si="262"/>
        <v>0</v>
      </c>
      <c r="BH121" s="192">
        <f t="shared" si="262"/>
        <v>0</v>
      </c>
      <c r="BI121" s="192">
        <f t="shared" si="262"/>
        <v>0</v>
      </c>
      <c r="BJ121" s="192">
        <f t="shared" si="262"/>
        <v>0</v>
      </c>
      <c r="BK121" s="192">
        <f t="shared" si="262"/>
        <v>0</v>
      </c>
      <c r="BL121" s="192">
        <f t="shared" si="262"/>
        <v>0</v>
      </c>
      <c r="BM121" s="192">
        <f t="shared" si="262"/>
        <v>0</v>
      </c>
      <c r="BN121" s="192">
        <f t="shared" si="262"/>
        <v>0</v>
      </c>
      <c r="BO121" s="192">
        <f t="shared" si="262"/>
        <v>0</v>
      </c>
      <c r="BP121" s="192">
        <f t="shared" si="262"/>
        <v>0</v>
      </c>
      <c r="BQ121" s="192">
        <f t="shared" ref="BQ121:EB121" si="263">+BQ119-BQ120</f>
        <v>0</v>
      </c>
      <c r="BR121" s="192">
        <f t="shared" si="263"/>
        <v>0</v>
      </c>
      <c r="BS121" s="192">
        <f t="shared" si="263"/>
        <v>0</v>
      </c>
      <c r="BT121" s="192">
        <f t="shared" si="263"/>
        <v>0</v>
      </c>
      <c r="BU121" s="192">
        <f t="shared" si="263"/>
        <v>0</v>
      </c>
      <c r="BV121" s="192">
        <f t="shared" si="263"/>
        <v>0</v>
      </c>
      <c r="BW121" s="192">
        <f t="shared" si="263"/>
        <v>0</v>
      </c>
      <c r="BX121" s="192">
        <f t="shared" si="263"/>
        <v>0</v>
      </c>
      <c r="BY121" s="192">
        <f t="shared" si="263"/>
        <v>0</v>
      </c>
      <c r="BZ121" s="192">
        <f t="shared" si="263"/>
        <v>0</v>
      </c>
      <c r="CA121" s="192">
        <f t="shared" si="263"/>
        <v>0</v>
      </c>
      <c r="CB121" s="192">
        <f t="shared" si="263"/>
        <v>0</v>
      </c>
      <c r="CC121" s="192">
        <f t="shared" si="263"/>
        <v>0</v>
      </c>
      <c r="CD121" s="192">
        <f t="shared" si="263"/>
        <v>0</v>
      </c>
      <c r="CE121" s="192">
        <f t="shared" si="263"/>
        <v>0</v>
      </c>
      <c r="CF121" s="192">
        <f t="shared" si="263"/>
        <v>0</v>
      </c>
      <c r="CG121" s="192">
        <f t="shared" si="263"/>
        <v>0</v>
      </c>
      <c r="CH121" s="192">
        <f t="shared" si="263"/>
        <v>0</v>
      </c>
      <c r="CI121" s="192">
        <f t="shared" si="263"/>
        <v>0</v>
      </c>
      <c r="CJ121" s="192">
        <f t="shared" si="263"/>
        <v>0</v>
      </c>
      <c r="CK121" s="192">
        <f t="shared" si="263"/>
        <v>0</v>
      </c>
      <c r="CL121" s="192">
        <f t="shared" si="263"/>
        <v>0</v>
      </c>
      <c r="CM121" s="192">
        <f t="shared" si="263"/>
        <v>0</v>
      </c>
      <c r="CN121" s="192">
        <f t="shared" si="263"/>
        <v>0</v>
      </c>
      <c r="CO121" s="192">
        <f t="shared" si="263"/>
        <v>0</v>
      </c>
      <c r="CP121" s="192">
        <f t="shared" si="263"/>
        <v>0</v>
      </c>
      <c r="CQ121" s="192">
        <f t="shared" si="263"/>
        <v>0</v>
      </c>
      <c r="CR121" s="192">
        <f t="shared" si="263"/>
        <v>0</v>
      </c>
      <c r="CS121" s="192">
        <f t="shared" si="263"/>
        <v>0</v>
      </c>
      <c r="CT121" s="192">
        <f t="shared" si="263"/>
        <v>0</v>
      </c>
      <c r="CU121" s="192">
        <f t="shared" si="263"/>
        <v>9826.7492714598193</v>
      </c>
      <c r="CV121" s="192">
        <f t="shared" si="263"/>
        <v>9925.0167641744174</v>
      </c>
      <c r="CW121" s="192">
        <f t="shared" si="263"/>
        <v>10024.266931816161</v>
      </c>
      <c r="CX121" s="192">
        <f t="shared" si="263"/>
        <v>10124.509601134323</v>
      </c>
      <c r="CY121" s="192">
        <f t="shared" si="263"/>
        <v>10225.754697145667</v>
      </c>
      <c r="CZ121" s="192">
        <f t="shared" si="263"/>
        <v>10328.012244117122</v>
      </c>
      <c r="DA121" s="192">
        <f t="shared" si="263"/>
        <v>10431.292366558295</v>
      </c>
      <c r="DB121" s="192">
        <f t="shared" si="263"/>
        <v>10535.605290223877</v>
      </c>
      <c r="DC121" s="192">
        <f t="shared" si="263"/>
        <v>10640.961343126117</v>
      </c>
      <c r="DD121" s="192">
        <f t="shared" si="263"/>
        <v>10747.370956557377</v>
      </c>
      <c r="DE121" s="192">
        <f t="shared" si="263"/>
        <v>10854.84466612295</v>
      </c>
      <c r="DF121" s="192">
        <f t="shared" si="263"/>
        <v>10963.393112784181</v>
      </c>
      <c r="DG121" s="192">
        <f t="shared" si="263"/>
        <v>11073.027043912021</v>
      </c>
      <c r="DH121" s="192">
        <f t="shared" si="263"/>
        <v>11183.757314351142</v>
      </c>
      <c r="DI121" s="192">
        <f t="shared" si="263"/>
        <v>11295.594887494653</v>
      </c>
      <c r="DJ121" s="192">
        <f t="shared" si="263"/>
        <v>11408.550836369601</v>
      </c>
      <c r="DK121" s="192">
        <f t="shared" si="263"/>
        <v>11522.636344733297</v>
      </c>
      <c r="DL121" s="192">
        <f t="shared" si="263"/>
        <v>11637.86270818063</v>
      </c>
      <c r="DM121" s="192">
        <f t="shared" si="263"/>
        <v>11754.241335262435</v>
      </c>
      <c r="DN121" s="192">
        <f t="shared" si="263"/>
        <v>11871.78374861506</v>
      </c>
      <c r="DO121" s="192">
        <f t="shared" si="263"/>
        <v>11990.501586101211</v>
      </c>
      <c r="DP121" s="192">
        <f t="shared" si="263"/>
        <v>12110.406601962222</v>
      </c>
      <c r="DQ121" s="192">
        <f t="shared" si="263"/>
        <v>12231.510667981845</v>
      </c>
      <c r="DR121" s="192">
        <f t="shared" si="263"/>
        <v>12353.825774661664</v>
      </c>
      <c r="DS121" s="192">
        <f t="shared" si="263"/>
        <v>-8.1854523159563543E-13</v>
      </c>
      <c r="DT121" s="192">
        <f t="shared" si="263"/>
        <v>-8.267306839115918E-13</v>
      </c>
      <c r="DU121" s="192">
        <f t="shared" si="263"/>
        <v>-8.3499799075070785E-13</v>
      </c>
      <c r="DV121" s="192">
        <f t="shared" si="263"/>
        <v>-8.4334797065821497E-13</v>
      </c>
      <c r="DW121" s="192">
        <f t="shared" si="263"/>
        <v>-8.5178145036479701E-13</v>
      </c>
      <c r="DX121" s="192">
        <f t="shared" si="263"/>
        <v>-8.6029926486844504E-13</v>
      </c>
      <c r="DY121" s="192">
        <f t="shared" si="263"/>
        <v>-8.6890225751712948E-13</v>
      </c>
      <c r="DZ121" s="192">
        <f t="shared" si="263"/>
        <v>-8.7759128009230079E-13</v>
      </c>
      <c r="EA121" s="192">
        <f t="shared" si="263"/>
        <v>-8.8636719289322373E-13</v>
      </c>
      <c r="EB121" s="192">
        <f t="shared" si="263"/>
        <v>-8.9523086482215589E-13</v>
      </c>
      <c r="EC121" s="192">
        <f t="shared" ref="EC121:FZ121" si="264">+EC119-EC120</f>
        <v>-9.0418317347037746E-13</v>
      </c>
      <c r="ED121" s="192">
        <f t="shared" si="264"/>
        <v>-9.1322500520508134E-13</v>
      </c>
      <c r="EE121" s="192">
        <f t="shared" si="264"/>
        <v>-9.2235725525713199E-13</v>
      </c>
      <c r="EF121" s="192">
        <f t="shared" si="264"/>
        <v>-9.3158082780970356E-13</v>
      </c>
      <c r="EG121" s="192">
        <f t="shared" si="264"/>
        <v>-9.4089663608780058E-13</v>
      </c>
      <c r="EH121" s="192">
        <f t="shared" si="264"/>
        <v>-9.5030560244867847E-13</v>
      </c>
      <c r="EI121" s="192">
        <f t="shared" si="264"/>
        <v>-9.5980865847316539E-13</v>
      </c>
      <c r="EJ121" s="192">
        <f t="shared" si="264"/>
        <v>-9.6940674505789689E-13</v>
      </c>
      <c r="EK121" s="192">
        <f t="shared" si="264"/>
        <v>-9.7910081250847598E-13</v>
      </c>
      <c r="EL121" s="192">
        <f t="shared" si="264"/>
        <v>-9.8889182063356061E-13</v>
      </c>
      <c r="EM121" s="192">
        <f t="shared" si="264"/>
        <v>-9.9878073883989621E-13</v>
      </c>
      <c r="EN121" s="192">
        <f t="shared" si="264"/>
        <v>-1.0087685462282952E-12</v>
      </c>
      <c r="EO121" s="192">
        <f t="shared" si="264"/>
        <v>-1.0188562316905781E-12</v>
      </c>
      <c r="EP121" s="192">
        <f t="shared" si="264"/>
        <v>-1.029044794007484E-12</v>
      </c>
      <c r="EQ121" s="192">
        <f t="shared" si="264"/>
        <v>-1.0393352419475589E-12</v>
      </c>
      <c r="ER121" s="192">
        <f t="shared" si="264"/>
        <v>-1.0497285943670345E-12</v>
      </c>
      <c r="ES121" s="192">
        <f t="shared" si="264"/>
        <v>-1.0602258803107048E-12</v>
      </c>
      <c r="ET121" s="192">
        <f t="shared" si="264"/>
        <v>-1.0708281391138119E-12</v>
      </c>
      <c r="EU121" s="192">
        <f t="shared" si="264"/>
        <v>-1.0815364205049501E-12</v>
      </c>
      <c r="EV121" s="192">
        <f t="shared" si="264"/>
        <v>-1.0923517847099995E-12</v>
      </c>
      <c r="EW121" s="192">
        <f t="shared" si="264"/>
        <v>-1.1032753025570994E-12</v>
      </c>
      <c r="EX121" s="192">
        <f t="shared" si="264"/>
        <v>-1.1143080555826704E-12</v>
      </c>
      <c r="EY121" s="192">
        <f t="shared" si="264"/>
        <v>-1.1254511361384971E-12</v>
      </c>
      <c r="EZ121" s="192">
        <f t="shared" si="264"/>
        <v>-1.1367056474998822E-12</v>
      </c>
      <c r="FA121" s="192">
        <f t="shared" si="264"/>
        <v>-1.148072703974881E-12</v>
      </c>
      <c r="FB121" s="192">
        <f t="shared" si="264"/>
        <v>-1.1595534310146298E-12</v>
      </c>
      <c r="FC121" s="192">
        <f t="shared" si="264"/>
        <v>-1.1711489653247763E-12</v>
      </c>
      <c r="FD121" s="192">
        <f t="shared" si="264"/>
        <v>-1.1828604549780241E-12</v>
      </c>
      <c r="FE121" s="192">
        <f t="shared" si="264"/>
        <v>-1.1946890595278042E-12</v>
      </c>
      <c r="FF121" s="192">
        <f t="shared" si="264"/>
        <v>-1.2066359501230824E-12</v>
      </c>
      <c r="FG121" s="192">
        <f t="shared" si="264"/>
        <v>-1.2187023096243132E-12</v>
      </c>
      <c r="FH121" s="192">
        <f t="shared" si="264"/>
        <v>-1.2308893327205563E-12</v>
      </c>
      <c r="FI121" s="192">
        <f t="shared" si="264"/>
        <v>-1.2431982260477618E-12</v>
      </c>
      <c r="FJ121" s="192">
        <f t="shared" si="264"/>
        <v>-1.2556302083082395E-12</v>
      </c>
      <c r="FK121" s="192">
        <f t="shared" si="264"/>
        <v>-1.268186510391322E-12</v>
      </c>
      <c r="FL121" s="192">
        <f t="shared" si="264"/>
        <v>-1.2808683754952351E-12</v>
      </c>
      <c r="FM121" s="192">
        <f t="shared" si="264"/>
        <v>-1.2936770592501874E-12</v>
      </c>
      <c r="FN121" s="192">
        <f t="shared" si="264"/>
        <v>-1.3066138298426893E-12</v>
      </c>
      <c r="FO121" s="192">
        <f t="shared" si="264"/>
        <v>-1.3196799681411162E-12</v>
      </c>
      <c r="FP121" s="192">
        <f t="shared" si="264"/>
        <v>-1.3328767678225272E-12</v>
      </c>
      <c r="FQ121" s="192">
        <f t="shared" si="264"/>
        <v>-1.3462055355007525E-12</v>
      </c>
      <c r="FR121" s="192">
        <f t="shared" si="264"/>
        <v>-1.3596675908557601E-12</v>
      </c>
      <c r="FS121" s="192">
        <f t="shared" si="264"/>
        <v>-1.3732642667643178E-12</v>
      </c>
      <c r="FT121" s="192">
        <f t="shared" si="264"/>
        <v>-1.3869969094319609E-12</v>
      </c>
      <c r="FU121" s="192">
        <f t="shared" si="264"/>
        <v>-1.4008668785262807E-12</v>
      </c>
      <c r="FV121" s="192">
        <f t="shared" si="264"/>
        <v>-1.4148755473115434E-12</v>
      </c>
      <c r="FW121" s="192">
        <f t="shared" si="264"/>
        <v>-1.4290243027846591E-12</v>
      </c>
      <c r="FX121" s="192">
        <f t="shared" si="264"/>
        <v>-1.4433145458125054E-12</v>
      </c>
      <c r="FY121" s="192">
        <f t="shared" si="264"/>
        <v>-1.4577476912706305E-12</v>
      </c>
      <c r="FZ121" s="192">
        <f t="shared" si="264"/>
        <v>-1.4723251681833367E-12</v>
      </c>
    </row>
    <row r="124" spans="1:182" x14ac:dyDescent="0.2">
      <c r="A124" s="145" t="s">
        <v>443</v>
      </c>
    </row>
    <row r="125" spans="1:182" outlineLevel="1" x14ac:dyDescent="0.2">
      <c r="A125" s="24" t="s">
        <v>228</v>
      </c>
      <c r="B125" s="166">
        <f>+Inv.Rep.!L58</f>
        <v>275663.93513863999</v>
      </c>
    </row>
    <row r="126" spans="1:182" outlineLevel="1" x14ac:dyDescent="0.2">
      <c r="A126" s="24" t="s">
        <v>229</v>
      </c>
      <c r="B126" s="191">
        <f>+Condiciones!$B$20</f>
        <v>0.12</v>
      </c>
    </row>
    <row r="127" spans="1:182" outlineLevel="1" x14ac:dyDescent="0.2">
      <c r="A127" s="24" t="s">
        <v>230</v>
      </c>
      <c r="B127" s="139">
        <v>12</v>
      </c>
    </row>
    <row r="128" spans="1:182" outlineLevel="1" x14ac:dyDescent="0.2">
      <c r="A128" s="24" t="s">
        <v>231</v>
      </c>
      <c r="B128" s="192">
        <f>PMT(B126/12,B127,-B125)</f>
        <v>24492.406719373117</v>
      </c>
    </row>
    <row r="129" spans="1:182" outlineLevel="1" x14ac:dyDescent="0.2">
      <c r="A129" s="24" t="s">
        <v>356</v>
      </c>
      <c r="B129" s="139">
        <v>108</v>
      </c>
    </row>
    <row r="130" spans="1:182" outlineLevel="1" x14ac:dyDescent="0.2">
      <c r="B130" s="139"/>
    </row>
    <row r="131" spans="1:182" outlineLevel="1" x14ac:dyDescent="0.2">
      <c r="A131" s="24" t="s">
        <v>232</v>
      </c>
      <c r="B131" s="166">
        <f>+B125</f>
        <v>275663.93513863999</v>
      </c>
      <c r="C131" s="192">
        <v>0</v>
      </c>
      <c r="D131" s="192">
        <f>+IF(C131&gt;0,C131-D134,IF(D4&lt;$B$129,0,$B$131-D134))</f>
        <v>0</v>
      </c>
      <c r="E131" s="192">
        <f t="shared" ref="E131:BP131" si="265">+IF(D131&gt;0,D131-E134,IF(E4&lt;$B$129,0,$B$131-E134))</f>
        <v>0</v>
      </c>
      <c r="F131" s="192">
        <f t="shared" si="265"/>
        <v>0</v>
      </c>
      <c r="G131" s="192">
        <f t="shared" si="265"/>
        <v>0</v>
      </c>
      <c r="H131" s="192">
        <f t="shared" si="265"/>
        <v>0</v>
      </c>
      <c r="I131" s="192">
        <f t="shared" si="265"/>
        <v>0</v>
      </c>
      <c r="J131" s="192">
        <f t="shared" si="265"/>
        <v>0</v>
      </c>
      <c r="K131" s="192">
        <f t="shared" si="265"/>
        <v>0</v>
      </c>
      <c r="L131" s="192">
        <f t="shared" si="265"/>
        <v>0</v>
      </c>
      <c r="M131" s="192">
        <f t="shared" si="265"/>
        <v>0</v>
      </c>
      <c r="N131" s="192">
        <f t="shared" si="265"/>
        <v>0</v>
      </c>
      <c r="O131" s="192">
        <f t="shared" si="265"/>
        <v>0</v>
      </c>
      <c r="P131" s="192">
        <f t="shared" si="265"/>
        <v>0</v>
      </c>
      <c r="Q131" s="192">
        <f t="shared" si="265"/>
        <v>0</v>
      </c>
      <c r="R131" s="192">
        <f t="shared" si="265"/>
        <v>0</v>
      </c>
      <c r="S131" s="192">
        <f t="shared" si="265"/>
        <v>0</v>
      </c>
      <c r="T131" s="192">
        <f t="shared" si="265"/>
        <v>0</v>
      </c>
      <c r="U131" s="192">
        <f t="shared" si="265"/>
        <v>0</v>
      </c>
      <c r="V131" s="192">
        <f t="shared" si="265"/>
        <v>0</v>
      </c>
      <c r="W131" s="192">
        <f t="shared" si="265"/>
        <v>0</v>
      </c>
      <c r="X131" s="192">
        <f t="shared" si="265"/>
        <v>0</v>
      </c>
      <c r="Y131" s="192">
        <f t="shared" si="265"/>
        <v>0</v>
      </c>
      <c r="Z131" s="192">
        <f t="shared" si="265"/>
        <v>0</v>
      </c>
      <c r="AA131" s="192">
        <f t="shared" si="265"/>
        <v>0</v>
      </c>
      <c r="AB131" s="192">
        <f t="shared" si="265"/>
        <v>0</v>
      </c>
      <c r="AC131" s="192">
        <f t="shared" si="265"/>
        <v>0</v>
      </c>
      <c r="AD131" s="192">
        <f t="shared" si="265"/>
        <v>0</v>
      </c>
      <c r="AE131" s="192">
        <f t="shared" si="265"/>
        <v>0</v>
      </c>
      <c r="AF131" s="192">
        <f t="shared" si="265"/>
        <v>0</v>
      </c>
      <c r="AG131" s="192">
        <f t="shared" si="265"/>
        <v>0</v>
      </c>
      <c r="AH131" s="192">
        <f t="shared" si="265"/>
        <v>0</v>
      </c>
      <c r="AI131" s="192">
        <f t="shared" si="265"/>
        <v>0</v>
      </c>
      <c r="AJ131" s="192">
        <f t="shared" si="265"/>
        <v>0</v>
      </c>
      <c r="AK131" s="192">
        <f t="shared" si="265"/>
        <v>0</v>
      </c>
      <c r="AL131" s="192">
        <f t="shared" si="265"/>
        <v>0</v>
      </c>
      <c r="AM131" s="192">
        <f t="shared" si="265"/>
        <v>0</v>
      </c>
      <c r="AN131" s="192">
        <f t="shared" si="265"/>
        <v>0</v>
      </c>
      <c r="AO131" s="192">
        <f t="shared" si="265"/>
        <v>0</v>
      </c>
      <c r="AP131" s="192">
        <f t="shared" si="265"/>
        <v>0</v>
      </c>
      <c r="AQ131" s="192">
        <f t="shared" si="265"/>
        <v>0</v>
      </c>
      <c r="AR131" s="192">
        <f t="shared" si="265"/>
        <v>0</v>
      </c>
      <c r="AS131" s="192">
        <f t="shared" si="265"/>
        <v>0</v>
      </c>
      <c r="AT131" s="192">
        <f t="shared" si="265"/>
        <v>0</v>
      </c>
      <c r="AU131" s="192">
        <f t="shared" si="265"/>
        <v>0</v>
      </c>
      <c r="AV131" s="192">
        <f t="shared" si="265"/>
        <v>0</v>
      </c>
      <c r="AW131" s="192">
        <f t="shared" si="265"/>
        <v>0</v>
      </c>
      <c r="AX131" s="192">
        <f t="shared" si="265"/>
        <v>0</v>
      </c>
      <c r="AY131" s="192">
        <f t="shared" si="265"/>
        <v>0</v>
      </c>
      <c r="AZ131" s="192">
        <f t="shared" si="265"/>
        <v>0</v>
      </c>
      <c r="BA131" s="192">
        <f t="shared" si="265"/>
        <v>0</v>
      </c>
      <c r="BB131" s="192">
        <f t="shared" si="265"/>
        <v>0</v>
      </c>
      <c r="BC131" s="192">
        <f t="shared" si="265"/>
        <v>0</v>
      </c>
      <c r="BD131" s="192">
        <f t="shared" si="265"/>
        <v>0</v>
      </c>
      <c r="BE131" s="192">
        <f t="shared" si="265"/>
        <v>0</v>
      </c>
      <c r="BF131" s="192">
        <f t="shared" si="265"/>
        <v>0</v>
      </c>
      <c r="BG131" s="192">
        <f t="shared" si="265"/>
        <v>0</v>
      </c>
      <c r="BH131" s="192">
        <f t="shared" si="265"/>
        <v>0</v>
      </c>
      <c r="BI131" s="192">
        <f t="shared" si="265"/>
        <v>0</v>
      </c>
      <c r="BJ131" s="192">
        <f t="shared" si="265"/>
        <v>0</v>
      </c>
      <c r="BK131" s="192">
        <f t="shared" si="265"/>
        <v>0</v>
      </c>
      <c r="BL131" s="192">
        <f t="shared" si="265"/>
        <v>0</v>
      </c>
      <c r="BM131" s="192">
        <f t="shared" si="265"/>
        <v>0</v>
      </c>
      <c r="BN131" s="192">
        <f t="shared" si="265"/>
        <v>0</v>
      </c>
      <c r="BO131" s="192">
        <f t="shared" si="265"/>
        <v>0</v>
      </c>
      <c r="BP131" s="192">
        <f t="shared" si="265"/>
        <v>0</v>
      </c>
      <c r="BQ131" s="192">
        <f t="shared" ref="BQ131:EB131" si="266">+IF(BP131&gt;0,BP131-BQ134,IF(BQ4&lt;$B$129,0,$B$131-BQ134))</f>
        <v>0</v>
      </c>
      <c r="BR131" s="192">
        <f t="shared" si="266"/>
        <v>0</v>
      </c>
      <c r="BS131" s="192">
        <f t="shared" si="266"/>
        <v>0</v>
      </c>
      <c r="BT131" s="192">
        <f t="shared" si="266"/>
        <v>0</v>
      </c>
      <c r="BU131" s="192">
        <f t="shared" si="266"/>
        <v>0</v>
      </c>
      <c r="BV131" s="192">
        <f t="shared" si="266"/>
        <v>0</v>
      </c>
      <c r="BW131" s="192">
        <f t="shared" si="266"/>
        <v>0</v>
      </c>
      <c r="BX131" s="192">
        <f t="shared" si="266"/>
        <v>0</v>
      </c>
      <c r="BY131" s="192">
        <f t="shared" si="266"/>
        <v>0</v>
      </c>
      <c r="BZ131" s="192">
        <f t="shared" si="266"/>
        <v>0</v>
      </c>
      <c r="CA131" s="192">
        <f t="shared" si="266"/>
        <v>0</v>
      </c>
      <c r="CB131" s="192">
        <f t="shared" si="266"/>
        <v>0</v>
      </c>
      <c r="CC131" s="192">
        <f t="shared" si="266"/>
        <v>0</v>
      </c>
      <c r="CD131" s="192">
        <f t="shared" si="266"/>
        <v>0</v>
      </c>
      <c r="CE131" s="192">
        <f t="shared" si="266"/>
        <v>0</v>
      </c>
      <c r="CF131" s="192">
        <f t="shared" si="266"/>
        <v>0</v>
      </c>
      <c r="CG131" s="192">
        <f t="shared" si="266"/>
        <v>0</v>
      </c>
      <c r="CH131" s="192">
        <f t="shared" si="266"/>
        <v>0</v>
      </c>
      <c r="CI131" s="192">
        <f t="shared" si="266"/>
        <v>0</v>
      </c>
      <c r="CJ131" s="192">
        <f t="shared" si="266"/>
        <v>0</v>
      </c>
      <c r="CK131" s="192">
        <f t="shared" si="266"/>
        <v>0</v>
      </c>
      <c r="CL131" s="192">
        <f t="shared" si="266"/>
        <v>0</v>
      </c>
      <c r="CM131" s="192">
        <f t="shared" si="266"/>
        <v>0</v>
      </c>
      <c r="CN131" s="192">
        <f t="shared" si="266"/>
        <v>0</v>
      </c>
      <c r="CO131" s="192">
        <f t="shared" si="266"/>
        <v>0</v>
      </c>
      <c r="CP131" s="192">
        <f t="shared" si="266"/>
        <v>0</v>
      </c>
      <c r="CQ131" s="192">
        <f t="shared" si="266"/>
        <v>0</v>
      </c>
      <c r="CR131" s="192">
        <f t="shared" si="266"/>
        <v>0</v>
      </c>
      <c r="CS131" s="192">
        <f t="shared" si="266"/>
        <v>0</v>
      </c>
      <c r="CT131" s="192">
        <f t="shared" si="266"/>
        <v>0</v>
      </c>
      <c r="CU131" s="192">
        <f t="shared" si="266"/>
        <v>0</v>
      </c>
      <c r="CV131" s="192">
        <f t="shared" si="266"/>
        <v>0</v>
      </c>
      <c r="CW131" s="192">
        <f t="shared" si="266"/>
        <v>0</v>
      </c>
      <c r="CX131" s="192">
        <f t="shared" si="266"/>
        <v>0</v>
      </c>
      <c r="CY131" s="192">
        <f t="shared" si="266"/>
        <v>0</v>
      </c>
      <c r="CZ131" s="192">
        <f t="shared" si="266"/>
        <v>0</v>
      </c>
      <c r="DA131" s="192">
        <f t="shared" si="266"/>
        <v>0</v>
      </c>
      <c r="DB131" s="192">
        <f t="shared" si="266"/>
        <v>0</v>
      </c>
      <c r="DC131" s="192">
        <f t="shared" si="266"/>
        <v>0</v>
      </c>
      <c r="DD131" s="192">
        <f t="shared" si="266"/>
        <v>0</v>
      </c>
      <c r="DE131" s="192">
        <f t="shared" si="266"/>
        <v>0</v>
      </c>
      <c r="DF131" s="192">
        <f t="shared" si="266"/>
        <v>275663.93513863999</v>
      </c>
      <c r="DG131" s="192">
        <f t="shared" si="266"/>
        <v>253928.16777065326</v>
      </c>
      <c r="DH131" s="192">
        <f t="shared" si="266"/>
        <v>231975.04272898668</v>
      </c>
      <c r="DI131" s="192">
        <f t="shared" si="266"/>
        <v>209802.38643690344</v>
      </c>
      <c r="DJ131" s="192">
        <f t="shared" ref="DJ131" si="267">+IF(DI131&gt;0,DI131-DJ134,IF(DJ4&lt;$B$129,0,$B$131-DJ134))</f>
        <v>187408.00358189936</v>
      </c>
      <c r="DK131" s="192">
        <f t="shared" ref="DK131" si="268">+IF(DJ131&gt;0,DJ131-DK134,IF(DK4&lt;$B$129,0,$B$131-DK134))</f>
        <v>164789.67689834523</v>
      </c>
      <c r="DL131" s="192">
        <f t="shared" ref="DL131" si="269">+IF(DK131&gt;0,DK131-DL134,IF(DL4&lt;$B$129,0,$B$131-DL134))</f>
        <v>141945.16694795556</v>
      </c>
      <c r="DM131" s="192">
        <f t="shared" ref="DM131" si="270">+IF(DL131&gt;0,DL131-DM134,IF(DM4&lt;$B$129,0,$B$131-DM134))</f>
        <v>118872.211898062</v>
      </c>
      <c r="DN131" s="192">
        <f t="shared" ref="DN131" si="271">+IF(DM131&gt;0,DM131-DN134,IF(DN4&lt;$B$129,0,$B$131-DN134))</f>
        <v>95568.527297669498</v>
      </c>
      <c r="DO131" s="192">
        <f t="shared" ref="DO131" si="272">+IF(DN131&gt;0,DN131-DO134,IF(DO4&lt;$B$129,0,$B$131-DO134))</f>
        <v>72031.805851273079</v>
      </c>
      <c r="DP131" s="192">
        <f t="shared" ref="DP131" si="273">+IF(DO131&gt;0,DO131-DP134,IF(DP4&lt;$B$129,0,$B$131-DP134))</f>
        <v>48259.717190412688</v>
      </c>
      <c r="DQ131" s="192">
        <f t="shared" ref="DQ131" si="274">+IF(DP131&gt;0,DP131-DQ134,IF(DQ4&lt;$B$129,0,$B$131-DQ134))</f>
        <v>24249.907642943697</v>
      </c>
      <c r="DR131" s="192">
        <f t="shared" ref="DR131" si="275">+IF(DQ131&gt;0,DQ131-DR134,IF(DR4&lt;$B$129,0,$B$131-DR134))</f>
        <v>1.8189894035458565E-11</v>
      </c>
      <c r="DS131" s="192">
        <f t="shared" si="266"/>
        <v>1.837179297581315E-11</v>
      </c>
      <c r="DT131" s="192">
        <f t="shared" si="266"/>
        <v>1.8555510905571283E-11</v>
      </c>
      <c r="DU131" s="192">
        <f t="shared" si="266"/>
        <v>1.8741066014626996E-11</v>
      </c>
      <c r="DV131" s="192">
        <f t="shared" si="266"/>
        <v>1.8928476674773265E-11</v>
      </c>
      <c r="DW131" s="192">
        <f t="shared" si="266"/>
        <v>1.9117761441520998E-11</v>
      </c>
      <c r="DX131" s="192">
        <f t="shared" si="266"/>
        <v>1.9308939055936209E-11</v>
      </c>
      <c r="DY131" s="192">
        <f t="shared" si="266"/>
        <v>1.9502028446495572E-11</v>
      </c>
      <c r="DZ131" s="192">
        <f t="shared" si="266"/>
        <v>1.9697048730960527E-11</v>
      </c>
      <c r="EA131" s="192">
        <f t="shared" si="266"/>
        <v>1.9894019218270131E-11</v>
      </c>
      <c r="EB131" s="192">
        <f t="shared" si="266"/>
        <v>2.0092959410452834E-11</v>
      </c>
      <c r="EC131" s="192">
        <f t="shared" ref="EC131:FZ131" si="276">+IF(EB131&gt;0,EB131-EC134,IF(EC4&lt;$B$129,0,$B$131-EC134))</f>
        <v>2.0293889004557362E-11</v>
      </c>
      <c r="ED131" s="192">
        <f t="shared" si="276"/>
        <v>2.0496827894602935E-11</v>
      </c>
      <c r="EE131" s="192">
        <f t="shared" si="276"/>
        <v>2.0701796173548964E-11</v>
      </c>
      <c r="EF131" s="192">
        <f t="shared" si="276"/>
        <v>2.0908814135284454E-11</v>
      </c>
      <c r="EG131" s="192">
        <f t="shared" si="276"/>
        <v>2.1117902276637299E-11</v>
      </c>
      <c r="EH131" s="192">
        <f t="shared" si="276"/>
        <v>2.1329081299403672E-11</v>
      </c>
      <c r="EI131" s="192">
        <f t="shared" si="276"/>
        <v>2.1542372112397709E-11</v>
      </c>
      <c r="EJ131" s="192">
        <f t="shared" si="276"/>
        <v>2.1757795833521687E-11</v>
      </c>
      <c r="EK131" s="192">
        <f t="shared" si="276"/>
        <v>2.1975373791856904E-11</v>
      </c>
      <c r="EL131" s="192">
        <f t="shared" si="276"/>
        <v>2.2195127529775474E-11</v>
      </c>
      <c r="EM131" s="192">
        <f t="shared" si="276"/>
        <v>2.241707880507323E-11</v>
      </c>
      <c r="EN131" s="192">
        <f t="shared" si="276"/>
        <v>2.2641249593123964E-11</v>
      </c>
      <c r="EO131" s="192">
        <f t="shared" si="276"/>
        <v>2.2867662089055204E-11</v>
      </c>
      <c r="EP131" s="192">
        <f t="shared" si="276"/>
        <v>2.3096338709945754E-11</v>
      </c>
      <c r="EQ131" s="192">
        <f t="shared" si="276"/>
        <v>2.3327302097045212E-11</v>
      </c>
      <c r="ER131" s="192">
        <f t="shared" si="276"/>
        <v>2.3560575118015664E-11</v>
      </c>
      <c r="ES131" s="192">
        <f t="shared" si="276"/>
        <v>2.379618086919582E-11</v>
      </c>
      <c r="ET131" s="192">
        <f t="shared" si="276"/>
        <v>2.4034142677887779E-11</v>
      </c>
      <c r="EU131" s="192">
        <f t="shared" si="276"/>
        <v>2.4274484104666657E-11</v>
      </c>
      <c r="EV131" s="192">
        <f t="shared" si="276"/>
        <v>2.4517228945713322E-11</v>
      </c>
      <c r="EW131" s="192">
        <f t="shared" si="276"/>
        <v>2.4762401235170457E-11</v>
      </c>
      <c r="EX131" s="192">
        <f t="shared" si="276"/>
        <v>2.5010025247522161E-11</v>
      </c>
      <c r="EY131" s="192">
        <f t="shared" si="276"/>
        <v>2.5260125499997383E-11</v>
      </c>
      <c r="EZ131" s="192">
        <f t="shared" si="276"/>
        <v>2.5512726754997357E-11</v>
      </c>
      <c r="FA131" s="192">
        <f t="shared" si="276"/>
        <v>2.5767854022547329E-11</v>
      </c>
      <c r="FB131" s="192">
        <f t="shared" si="276"/>
        <v>2.60255325627728E-11</v>
      </c>
      <c r="FC131" s="192">
        <f t="shared" si="276"/>
        <v>2.6285787888400529E-11</v>
      </c>
      <c r="FD131" s="192">
        <f t="shared" si="276"/>
        <v>2.6548645767284533E-11</v>
      </c>
      <c r="FE131" s="192">
        <f t="shared" si="276"/>
        <v>2.681413222495738E-11</v>
      </c>
      <c r="FF131" s="192">
        <f t="shared" si="276"/>
        <v>2.7082273547206954E-11</v>
      </c>
      <c r="FG131" s="192">
        <f t="shared" si="276"/>
        <v>2.7353096282679024E-11</v>
      </c>
      <c r="FH131" s="192">
        <f t="shared" si="276"/>
        <v>2.7626627245505814E-11</v>
      </c>
      <c r="FI131" s="192">
        <f t="shared" si="276"/>
        <v>2.7902893517960872E-11</v>
      </c>
      <c r="FJ131" s="192">
        <f t="shared" si="276"/>
        <v>2.8181922453140481E-11</v>
      </c>
      <c r="FK131" s="192">
        <f t="shared" si="276"/>
        <v>2.8463741677671887E-11</v>
      </c>
      <c r="FL131" s="192">
        <f t="shared" si="276"/>
        <v>2.8748379094448606E-11</v>
      </c>
      <c r="FM131" s="192">
        <f t="shared" si="276"/>
        <v>2.9035862885393093E-11</v>
      </c>
      <c r="FN131" s="192">
        <f t="shared" si="276"/>
        <v>2.9326221514247026E-11</v>
      </c>
      <c r="FO131" s="192">
        <f t="shared" si="276"/>
        <v>2.9619483729389494E-11</v>
      </c>
      <c r="FP131" s="192">
        <f t="shared" si="276"/>
        <v>2.9915678566683386E-11</v>
      </c>
      <c r="FQ131" s="192">
        <f t="shared" si="276"/>
        <v>3.021483535235022E-11</v>
      </c>
      <c r="FR131" s="192">
        <f t="shared" si="276"/>
        <v>3.0516983705873721E-11</v>
      </c>
      <c r="FS131" s="192">
        <f t="shared" si="276"/>
        <v>3.082215354293246E-11</v>
      </c>
      <c r="FT131" s="192">
        <f t="shared" si="276"/>
        <v>3.1130375078361782E-11</v>
      </c>
      <c r="FU131" s="192">
        <f t="shared" si="276"/>
        <v>3.1441678829145402E-11</v>
      </c>
      <c r="FV131" s="192">
        <f t="shared" si="276"/>
        <v>3.1756095617436854E-11</v>
      </c>
      <c r="FW131" s="192">
        <f t="shared" si="276"/>
        <v>3.2073656573611222E-11</v>
      </c>
      <c r="FX131" s="192">
        <f t="shared" si="276"/>
        <v>3.2394393139347337E-11</v>
      </c>
      <c r="FY131" s="192">
        <f t="shared" si="276"/>
        <v>3.271833707074081E-11</v>
      </c>
      <c r="FZ131" s="192">
        <f t="shared" si="276"/>
        <v>3.3045520441448215E-11</v>
      </c>
    </row>
    <row r="132" spans="1:182" outlineLevel="1" x14ac:dyDescent="0.2">
      <c r="A132" s="24" t="s">
        <v>231</v>
      </c>
      <c r="B132" s="192">
        <f>SUM(C132:EP132)</f>
        <v>293908.88063247746</v>
      </c>
      <c r="C132" s="192">
        <v>0</v>
      </c>
      <c r="D132" s="192">
        <f>+IF(C131=0,0,IF(D4&gt;$B$127+$B$129,0,$B$128))</f>
        <v>0</v>
      </c>
      <c r="E132" s="192">
        <f t="shared" ref="E132:BP132" si="277">+IF(D131=0,0,IF(E4&gt;$B$127+$B$129,0,$B$128))</f>
        <v>0</v>
      </c>
      <c r="F132" s="192">
        <f t="shared" si="277"/>
        <v>0</v>
      </c>
      <c r="G132" s="192">
        <f t="shared" si="277"/>
        <v>0</v>
      </c>
      <c r="H132" s="192">
        <f t="shared" si="277"/>
        <v>0</v>
      </c>
      <c r="I132" s="192">
        <f t="shared" si="277"/>
        <v>0</v>
      </c>
      <c r="J132" s="192">
        <f t="shared" si="277"/>
        <v>0</v>
      </c>
      <c r="K132" s="192">
        <f t="shared" si="277"/>
        <v>0</v>
      </c>
      <c r="L132" s="192">
        <f t="shared" si="277"/>
        <v>0</v>
      </c>
      <c r="M132" s="192">
        <f t="shared" si="277"/>
        <v>0</v>
      </c>
      <c r="N132" s="192">
        <f t="shared" si="277"/>
        <v>0</v>
      </c>
      <c r="O132" s="192">
        <f t="shared" si="277"/>
        <v>0</v>
      </c>
      <c r="P132" s="192">
        <f t="shared" si="277"/>
        <v>0</v>
      </c>
      <c r="Q132" s="192">
        <f t="shared" si="277"/>
        <v>0</v>
      </c>
      <c r="R132" s="192">
        <f t="shared" si="277"/>
        <v>0</v>
      </c>
      <c r="S132" s="192">
        <f t="shared" si="277"/>
        <v>0</v>
      </c>
      <c r="T132" s="192">
        <f t="shared" si="277"/>
        <v>0</v>
      </c>
      <c r="U132" s="192">
        <f t="shared" si="277"/>
        <v>0</v>
      </c>
      <c r="V132" s="192">
        <f t="shared" si="277"/>
        <v>0</v>
      </c>
      <c r="W132" s="192">
        <f t="shared" si="277"/>
        <v>0</v>
      </c>
      <c r="X132" s="192">
        <f t="shared" si="277"/>
        <v>0</v>
      </c>
      <c r="Y132" s="192">
        <f t="shared" si="277"/>
        <v>0</v>
      </c>
      <c r="Z132" s="192">
        <f t="shared" si="277"/>
        <v>0</v>
      </c>
      <c r="AA132" s="192">
        <f t="shared" si="277"/>
        <v>0</v>
      </c>
      <c r="AB132" s="192">
        <f t="shared" si="277"/>
        <v>0</v>
      </c>
      <c r="AC132" s="192">
        <f t="shared" si="277"/>
        <v>0</v>
      </c>
      <c r="AD132" s="192">
        <f t="shared" si="277"/>
        <v>0</v>
      </c>
      <c r="AE132" s="192">
        <f t="shared" si="277"/>
        <v>0</v>
      </c>
      <c r="AF132" s="192">
        <f t="shared" si="277"/>
        <v>0</v>
      </c>
      <c r="AG132" s="192">
        <f t="shared" si="277"/>
        <v>0</v>
      </c>
      <c r="AH132" s="192">
        <f t="shared" si="277"/>
        <v>0</v>
      </c>
      <c r="AI132" s="192">
        <f t="shared" si="277"/>
        <v>0</v>
      </c>
      <c r="AJ132" s="192">
        <f t="shared" si="277"/>
        <v>0</v>
      </c>
      <c r="AK132" s="192">
        <f t="shared" si="277"/>
        <v>0</v>
      </c>
      <c r="AL132" s="192">
        <f t="shared" si="277"/>
        <v>0</v>
      </c>
      <c r="AM132" s="192">
        <f t="shared" si="277"/>
        <v>0</v>
      </c>
      <c r="AN132" s="192">
        <f t="shared" si="277"/>
        <v>0</v>
      </c>
      <c r="AO132" s="192">
        <f t="shared" si="277"/>
        <v>0</v>
      </c>
      <c r="AP132" s="192">
        <f t="shared" si="277"/>
        <v>0</v>
      </c>
      <c r="AQ132" s="192">
        <f t="shared" si="277"/>
        <v>0</v>
      </c>
      <c r="AR132" s="192">
        <f t="shared" si="277"/>
        <v>0</v>
      </c>
      <c r="AS132" s="192">
        <f t="shared" si="277"/>
        <v>0</v>
      </c>
      <c r="AT132" s="192">
        <f t="shared" si="277"/>
        <v>0</v>
      </c>
      <c r="AU132" s="192">
        <f t="shared" si="277"/>
        <v>0</v>
      </c>
      <c r="AV132" s="192">
        <f t="shared" si="277"/>
        <v>0</v>
      </c>
      <c r="AW132" s="192">
        <f t="shared" si="277"/>
        <v>0</v>
      </c>
      <c r="AX132" s="192">
        <f t="shared" si="277"/>
        <v>0</v>
      </c>
      <c r="AY132" s="192">
        <f t="shared" si="277"/>
        <v>0</v>
      </c>
      <c r="AZ132" s="192">
        <f t="shared" si="277"/>
        <v>0</v>
      </c>
      <c r="BA132" s="192">
        <f t="shared" si="277"/>
        <v>0</v>
      </c>
      <c r="BB132" s="192">
        <f t="shared" si="277"/>
        <v>0</v>
      </c>
      <c r="BC132" s="192">
        <f t="shared" si="277"/>
        <v>0</v>
      </c>
      <c r="BD132" s="192">
        <f t="shared" si="277"/>
        <v>0</v>
      </c>
      <c r="BE132" s="192">
        <f t="shared" si="277"/>
        <v>0</v>
      </c>
      <c r="BF132" s="192">
        <f t="shared" si="277"/>
        <v>0</v>
      </c>
      <c r="BG132" s="192">
        <f t="shared" si="277"/>
        <v>0</v>
      </c>
      <c r="BH132" s="192">
        <f t="shared" si="277"/>
        <v>0</v>
      </c>
      <c r="BI132" s="192">
        <f t="shared" si="277"/>
        <v>0</v>
      </c>
      <c r="BJ132" s="192">
        <f t="shared" si="277"/>
        <v>0</v>
      </c>
      <c r="BK132" s="192">
        <f t="shared" si="277"/>
        <v>0</v>
      </c>
      <c r="BL132" s="192">
        <f t="shared" si="277"/>
        <v>0</v>
      </c>
      <c r="BM132" s="192">
        <f t="shared" si="277"/>
        <v>0</v>
      </c>
      <c r="BN132" s="192">
        <f t="shared" si="277"/>
        <v>0</v>
      </c>
      <c r="BO132" s="192">
        <f t="shared" si="277"/>
        <v>0</v>
      </c>
      <c r="BP132" s="192">
        <f t="shared" si="277"/>
        <v>0</v>
      </c>
      <c r="BQ132" s="192">
        <f t="shared" ref="BQ132:EB132" si="278">+IF(BP131=0,0,IF(BQ4&gt;$B$127+$B$129,0,$B$128))</f>
        <v>0</v>
      </c>
      <c r="BR132" s="192">
        <f t="shared" si="278"/>
        <v>0</v>
      </c>
      <c r="BS132" s="192">
        <f t="shared" si="278"/>
        <v>0</v>
      </c>
      <c r="BT132" s="192">
        <f t="shared" si="278"/>
        <v>0</v>
      </c>
      <c r="BU132" s="192">
        <f t="shared" si="278"/>
        <v>0</v>
      </c>
      <c r="BV132" s="192">
        <f t="shared" si="278"/>
        <v>0</v>
      </c>
      <c r="BW132" s="192">
        <f t="shared" si="278"/>
        <v>0</v>
      </c>
      <c r="BX132" s="192">
        <f t="shared" si="278"/>
        <v>0</v>
      </c>
      <c r="BY132" s="192">
        <f t="shared" si="278"/>
        <v>0</v>
      </c>
      <c r="BZ132" s="192">
        <f t="shared" si="278"/>
        <v>0</v>
      </c>
      <c r="CA132" s="192">
        <f t="shared" si="278"/>
        <v>0</v>
      </c>
      <c r="CB132" s="192">
        <f t="shared" si="278"/>
        <v>0</v>
      </c>
      <c r="CC132" s="192">
        <f t="shared" si="278"/>
        <v>0</v>
      </c>
      <c r="CD132" s="192">
        <f t="shared" si="278"/>
        <v>0</v>
      </c>
      <c r="CE132" s="192">
        <f t="shared" si="278"/>
        <v>0</v>
      </c>
      <c r="CF132" s="192">
        <f t="shared" si="278"/>
        <v>0</v>
      </c>
      <c r="CG132" s="192">
        <f t="shared" si="278"/>
        <v>0</v>
      </c>
      <c r="CH132" s="192">
        <f t="shared" si="278"/>
        <v>0</v>
      </c>
      <c r="CI132" s="192">
        <f t="shared" si="278"/>
        <v>0</v>
      </c>
      <c r="CJ132" s="192">
        <f t="shared" si="278"/>
        <v>0</v>
      </c>
      <c r="CK132" s="192">
        <f t="shared" si="278"/>
        <v>0</v>
      </c>
      <c r="CL132" s="192">
        <f t="shared" si="278"/>
        <v>0</v>
      </c>
      <c r="CM132" s="192">
        <f t="shared" si="278"/>
        <v>0</v>
      </c>
      <c r="CN132" s="192">
        <f t="shared" si="278"/>
        <v>0</v>
      </c>
      <c r="CO132" s="192">
        <f t="shared" si="278"/>
        <v>0</v>
      </c>
      <c r="CP132" s="192">
        <f t="shared" si="278"/>
        <v>0</v>
      </c>
      <c r="CQ132" s="192">
        <f t="shared" si="278"/>
        <v>0</v>
      </c>
      <c r="CR132" s="192">
        <f t="shared" si="278"/>
        <v>0</v>
      </c>
      <c r="CS132" s="192">
        <f t="shared" si="278"/>
        <v>0</v>
      </c>
      <c r="CT132" s="192">
        <f t="shared" si="278"/>
        <v>0</v>
      </c>
      <c r="CU132" s="192">
        <f t="shared" si="278"/>
        <v>0</v>
      </c>
      <c r="CV132" s="192">
        <f t="shared" si="278"/>
        <v>0</v>
      </c>
      <c r="CW132" s="192">
        <f t="shared" si="278"/>
        <v>0</v>
      </c>
      <c r="CX132" s="192">
        <f t="shared" si="278"/>
        <v>0</v>
      </c>
      <c r="CY132" s="192">
        <f t="shared" si="278"/>
        <v>0</v>
      </c>
      <c r="CZ132" s="192">
        <f t="shared" si="278"/>
        <v>0</v>
      </c>
      <c r="DA132" s="192">
        <f t="shared" si="278"/>
        <v>0</v>
      </c>
      <c r="DB132" s="192">
        <f t="shared" si="278"/>
        <v>0</v>
      </c>
      <c r="DC132" s="192">
        <f t="shared" si="278"/>
        <v>0</v>
      </c>
      <c r="DD132" s="192">
        <f t="shared" si="278"/>
        <v>0</v>
      </c>
      <c r="DE132" s="192">
        <f t="shared" si="278"/>
        <v>0</v>
      </c>
      <c r="DF132" s="192">
        <f t="shared" si="278"/>
        <v>0</v>
      </c>
      <c r="DG132" s="192">
        <f t="shared" si="278"/>
        <v>24492.406719373117</v>
      </c>
      <c r="DH132" s="192">
        <f t="shared" si="278"/>
        <v>24492.406719373117</v>
      </c>
      <c r="DI132" s="192">
        <f t="shared" si="278"/>
        <v>24492.406719373117</v>
      </c>
      <c r="DJ132" s="192">
        <f t="shared" ref="DJ132" si="279">+IF(DI131=0,0,IF(DJ4&gt;$B$127+$B$129,0,$B$128))</f>
        <v>24492.406719373117</v>
      </c>
      <c r="DK132" s="192">
        <f t="shared" ref="DK132" si="280">+IF(DJ131=0,0,IF(DK4&gt;$B$127+$B$129,0,$B$128))</f>
        <v>24492.406719373117</v>
      </c>
      <c r="DL132" s="192">
        <f t="shared" ref="DL132" si="281">+IF(DK131=0,0,IF(DL4&gt;$B$127+$B$129,0,$B$128))</f>
        <v>24492.406719373117</v>
      </c>
      <c r="DM132" s="192">
        <f t="shared" ref="DM132" si="282">+IF(DL131=0,0,IF(DM4&gt;$B$127+$B$129,0,$B$128))</f>
        <v>24492.406719373117</v>
      </c>
      <c r="DN132" s="192">
        <f t="shared" ref="DN132" si="283">+IF(DM131=0,0,IF(DN4&gt;$B$127+$B$129,0,$B$128))</f>
        <v>24492.406719373117</v>
      </c>
      <c r="DO132" s="192">
        <f t="shared" ref="DO132" si="284">+IF(DN131=0,0,IF(DO4&gt;$B$127+$B$129,0,$B$128))</f>
        <v>24492.406719373117</v>
      </c>
      <c r="DP132" s="192">
        <f t="shared" ref="DP132" si="285">+IF(DO131=0,0,IF(DP4&gt;$B$127+$B$129,0,$B$128))</f>
        <v>24492.406719373117</v>
      </c>
      <c r="DQ132" s="192">
        <f t="shared" ref="DQ132" si="286">+IF(DP131=0,0,IF(DQ4&gt;$B$127+$B$129,0,$B$128))</f>
        <v>24492.406719373117</v>
      </c>
      <c r="DR132" s="192">
        <f t="shared" ref="DR132" si="287">+IF(DQ131=0,0,IF(DR4&gt;$B$127+$B$129,0,$B$128))</f>
        <v>24492.406719373117</v>
      </c>
      <c r="DS132" s="192">
        <f t="shared" si="278"/>
        <v>0</v>
      </c>
      <c r="DT132" s="192">
        <f t="shared" si="278"/>
        <v>0</v>
      </c>
      <c r="DU132" s="192">
        <f t="shared" si="278"/>
        <v>0</v>
      </c>
      <c r="DV132" s="192">
        <f t="shared" si="278"/>
        <v>0</v>
      </c>
      <c r="DW132" s="192">
        <f t="shared" si="278"/>
        <v>0</v>
      </c>
      <c r="DX132" s="192">
        <f t="shared" si="278"/>
        <v>0</v>
      </c>
      <c r="DY132" s="192">
        <f t="shared" si="278"/>
        <v>0</v>
      </c>
      <c r="DZ132" s="192">
        <f t="shared" si="278"/>
        <v>0</v>
      </c>
      <c r="EA132" s="192">
        <f t="shared" si="278"/>
        <v>0</v>
      </c>
      <c r="EB132" s="192">
        <f t="shared" si="278"/>
        <v>0</v>
      </c>
      <c r="EC132" s="192">
        <f t="shared" ref="EC132:FZ132" si="288">+IF(EB131=0,0,IF(EC4&gt;$B$127+$B$129,0,$B$128))</f>
        <v>0</v>
      </c>
      <c r="ED132" s="192">
        <f t="shared" si="288"/>
        <v>0</v>
      </c>
      <c r="EE132" s="192">
        <f t="shared" si="288"/>
        <v>0</v>
      </c>
      <c r="EF132" s="192">
        <f t="shared" si="288"/>
        <v>0</v>
      </c>
      <c r="EG132" s="192">
        <f t="shared" si="288"/>
        <v>0</v>
      </c>
      <c r="EH132" s="192">
        <f t="shared" si="288"/>
        <v>0</v>
      </c>
      <c r="EI132" s="192">
        <f t="shared" si="288"/>
        <v>0</v>
      </c>
      <c r="EJ132" s="192">
        <f t="shared" si="288"/>
        <v>0</v>
      </c>
      <c r="EK132" s="192">
        <f t="shared" si="288"/>
        <v>0</v>
      </c>
      <c r="EL132" s="192">
        <f t="shared" si="288"/>
        <v>0</v>
      </c>
      <c r="EM132" s="192">
        <f t="shared" si="288"/>
        <v>0</v>
      </c>
      <c r="EN132" s="192">
        <f t="shared" si="288"/>
        <v>0</v>
      </c>
      <c r="EO132" s="192">
        <f t="shared" si="288"/>
        <v>0</v>
      </c>
      <c r="EP132" s="192">
        <f t="shared" si="288"/>
        <v>0</v>
      </c>
      <c r="EQ132" s="192">
        <f t="shared" si="288"/>
        <v>0</v>
      </c>
      <c r="ER132" s="192">
        <f t="shared" si="288"/>
        <v>0</v>
      </c>
      <c r="ES132" s="192">
        <f t="shared" si="288"/>
        <v>0</v>
      </c>
      <c r="ET132" s="192">
        <f t="shared" si="288"/>
        <v>0</v>
      </c>
      <c r="EU132" s="192">
        <f t="shared" si="288"/>
        <v>0</v>
      </c>
      <c r="EV132" s="192">
        <f t="shared" si="288"/>
        <v>0</v>
      </c>
      <c r="EW132" s="192">
        <f t="shared" si="288"/>
        <v>0</v>
      </c>
      <c r="EX132" s="192">
        <f t="shared" si="288"/>
        <v>0</v>
      </c>
      <c r="EY132" s="192">
        <f t="shared" si="288"/>
        <v>0</v>
      </c>
      <c r="EZ132" s="192">
        <f t="shared" si="288"/>
        <v>0</v>
      </c>
      <c r="FA132" s="192">
        <f t="shared" si="288"/>
        <v>0</v>
      </c>
      <c r="FB132" s="192">
        <f t="shared" si="288"/>
        <v>0</v>
      </c>
      <c r="FC132" s="192">
        <f t="shared" si="288"/>
        <v>0</v>
      </c>
      <c r="FD132" s="192">
        <f t="shared" si="288"/>
        <v>0</v>
      </c>
      <c r="FE132" s="192">
        <f t="shared" si="288"/>
        <v>0</v>
      </c>
      <c r="FF132" s="192">
        <f t="shared" si="288"/>
        <v>0</v>
      </c>
      <c r="FG132" s="192">
        <f t="shared" si="288"/>
        <v>0</v>
      </c>
      <c r="FH132" s="192">
        <f t="shared" si="288"/>
        <v>0</v>
      </c>
      <c r="FI132" s="192">
        <f t="shared" si="288"/>
        <v>0</v>
      </c>
      <c r="FJ132" s="192">
        <f t="shared" si="288"/>
        <v>0</v>
      </c>
      <c r="FK132" s="192">
        <f t="shared" si="288"/>
        <v>0</v>
      </c>
      <c r="FL132" s="192">
        <f t="shared" si="288"/>
        <v>0</v>
      </c>
      <c r="FM132" s="192">
        <f t="shared" si="288"/>
        <v>0</v>
      </c>
      <c r="FN132" s="192">
        <f t="shared" si="288"/>
        <v>0</v>
      </c>
      <c r="FO132" s="192">
        <f t="shared" si="288"/>
        <v>0</v>
      </c>
      <c r="FP132" s="192">
        <f t="shared" si="288"/>
        <v>0</v>
      </c>
      <c r="FQ132" s="192">
        <f t="shared" si="288"/>
        <v>0</v>
      </c>
      <c r="FR132" s="192">
        <f t="shared" si="288"/>
        <v>0</v>
      </c>
      <c r="FS132" s="192">
        <f t="shared" si="288"/>
        <v>0</v>
      </c>
      <c r="FT132" s="192">
        <f t="shared" si="288"/>
        <v>0</v>
      </c>
      <c r="FU132" s="192">
        <f t="shared" si="288"/>
        <v>0</v>
      </c>
      <c r="FV132" s="192">
        <f t="shared" si="288"/>
        <v>0</v>
      </c>
      <c r="FW132" s="192">
        <f t="shared" si="288"/>
        <v>0</v>
      </c>
      <c r="FX132" s="192">
        <f t="shared" si="288"/>
        <v>0</v>
      </c>
      <c r="FY132" s="192">
        <f t="shared" si="288"/>
        <v>0</v>
      </c>
      <c r="FZ132" s="192">
        <f t="shared" si="288"/>
        <v>0</v>
      </c>
    </row>
    <row r="133" spans="1:182" outlineLevel="1" x14ac:dyDescent="0.2">
      <c r="A133" s="24" t="s">
        <v>233</v>
      </c>
      <c r="B133" s="192">
        <f>SUM(C133:DR133)</f>
        <v>18244.945493837447</v>
      </c>
      <c r="C133" s="192">
        <v>0</v>
      </c>
      <c r="D133" s="192">
        <f>+C131*($B$126/12)</f>
        <v>0</v>
      </c>
      <c r="E133" s="192">
        <f t="shared" ref="E133:BP133" si="289">+D131*($B$126/12)</f>
        <v>0</v>
      </c>
      <c r="F133" s="192">
        <f t="shared" si="289"/>
        <v>0</v>
      </c>
      <c r="G133" s="192">
        <f t="shared" si="289"/>
        <v>0</v>
      </c>
      <c r="H133" s="192">
        <f t="shared" si="289"/>
        <v>0</v>
      </c>
      <c r="I133" s="192">
        <f t="shared" si="289"/>
        <v>0</v>
      </c>
      <c r="J133" s="192">
        <f t="shared" si="289"/>
        <v>0</v>
      </c>
      <c r="K133" s="192">
        <f t="shared" si="289"/>
        <v>0</v>
      </c>
      <c r="L133" s="192">
        <f t="shared" si="289"/>
        <v>0</v>
      </c>
      <c r="M133" s="192">
        <f t="shared" si="289"/>
        <v>0</v>
      </c>
      <c r="N133" s="192">
        <f t="shared" si="289"/>
        <v>0</v>
      </c>
      <c r="O133" s="192">
        <f t="shared" si="289"/>
        <v>0</v>
      </c>
      <c r="P133" s="192">
        <f t="shared" si="289"/>
        <v>0</v>
      </c>
      <c r="Q133" s="192">
        <f t="shared" si="289"/>
        <v>0</v>
      </c>
      <c r="R133" s="192">
        <f t="shared" si="289"/>
        <v>0</v>
      </c>
      <c r="S133" s="192">
        <f t="shared" si="289"/>
        <v>0</v>
      </c>
      <c r="T133" s="192">
        <f t="shared" si="289"/>
        <v>0</v>
      </c>
      <c r="U133" s="192">
        <f t="shared" si="289"/>
        <v>0</v>
      </c>
      <c r="V133" s="192">
        <f t="shared" si="289"/>
        <v>0</v>
      </c>
      <c r="W133" s="192">
        <f t="shared" si="289"/>
        <v>0</v>
      </c>
      <c r="X133" s="192">
        <f t="shared" si="289"/>
        <v>0</v>
      </c>
      <c r="Y133" s="192">
        <f t="shared" si="289"/>
        <v>0</v>
      </c>
      <c r="Z133" s="192">
        <f t="shared" si="289"/>
        <v>0</v>
      </c>
      <c r="AA133" s="192">
        <f t="shared" si="289"/>
        <v>0</v>
      </c>
      <c r="AB133" s="192">
        <f t="shared" si="289"/>
        <v>0</v>
      </c>
      <c r="AC133" s="192">
        <f t="shared" si="289"/>
        <v>0</v>
      </c>
      <c r="AD133" s="192">
        <f t="shared" si="289"/>
        <v>0</v>
      </c>
      <c r="AE133" s="192">
        <f t="shared" si="289"/>
        <v>0</v>
      </c>
      <c r="AF133" s="192">
        <f t="shared" si="289"/>
        <v>0</v>
      </c>
      <c r="AG133" s="192">
        <f t="shared" si="289"/>
        <v>0</v>
      </c>
      <c r="AH133" s="192">
        <f t="shared" si="289"/>
        <v>0</v>
      </c>
      <c r="AI133" s="192">
        <f t="shared" si="289"/>
        <v>0</v>
      </c>
      <c r="AJ133" s="192">
        <f t="shared" si="289"/>
        <v>0</v>
      </c>
      <c r="AK133" s="192">
        <f t="shared" si="289"/>
        <v>0</v>
      </c>
      <c r="AL133" s="192">
        <f t="shared" si="289"/>
        <v>0</v>
      </c>
      <c r="AM133" s="192">
        <f t="shared" si="289"/>
        <v>0</v>
      </c>
      <c r="AN133" s="192">
        <f t="shared" si="289"/>
        <v>0</v>
      </c>
      <c r="AO133" s="192">
        <f t="shared" si="289"/>
        <v>0</v>
      </c>
      <c r="AP133" s="192">
        <f t="shared" si="289"/>
        <v>0</v>
      </c>
      <c r="AQ133" s="192">
        <f t="shared" si="289"/>
        <v>0</v>
      </c>
      <c r="AR133" s="192">
        <f t="shared" si="289"/>
        <v>0</v>
      </c>
      <c r="AS133" s="192">
        <f t="shared" si="289"/>
        <v>0</v>
      </c>
      <c r="AT133" s="192">
        <f t="shared" si="289"/>
        <v>0</v>
      </c>
      <c r="AU133" s="192">
        <f t="shared" si="289"/>
        <v>0</v>
      </c>
      <c r="AV133" s="192">
        <f t="shared" si="289"/>
        <v>0</v>
      </c>
      <c r="AW133" s="192">
        <f t="shared" si="289"/>
        <v>0</v>
      </c>
      <c r="AX133" s="192">
        <f t="shared" si="289"/>
        <v>0</v>
      </c>
      <c r="AY133" s="192">
        <f t="shared" si="289"/>
        <v>0</v>
      </c>
      <c r="AZ133" s="192">
        <f t="shared" si="289"/>
        <v>0</v>
      </c>
      <c r="BA133" s="192">
        <f t="shared" si="289"/>
        <v>0</v>
      </c>
      <c r="BB133" s="192">
        <f t="shared" si="289"/>
        <v>0</v>
      </c>
      <c r="BC133" s="192">
        <f t="shared" si="289"/>
        <v>0</v>
      </c>
      <c r="BD133" s="192">
        <f t="shared" si="289"/>
        <v>0</v>
      </c>
      <c r="BE133" s="192">
        <f t="shared" si="289"/>
        <v>0</v>
      </c>
      <c r="BF133" s="192">
        <f t="shared" si="289"/>
        <v>0</v>
      </c>
      <c r="BG133" s="192">
        <f t="shared" si="289"/>
        <v>0</v>
      </c>
      <c r="BH133" s="192">
        <f t="shared" si="289"/>
        <v>0</v>
      </c>
      <c r="BI133" s="192">
        <f t="shared" si="289"/>
        <v>0</v>
      </c>
      <c r="BJ133" s="192">
        <f t="shared" si="289"/>
        <v>0</v>
      </c>
      <c r="BK133" s="192">
        <f t="shared" si="289"/>
        <v>0</v>
      </c>
      <c r="BL133" s="192">
        <f t="shared" si="289"/>
        <v>0</v>
      </c>
      <c r="BM133" s="192">
        <f t="shared" si="289"/>
        <v>0</v>
      </c>
      <c r="BN133" s="192">
        <f t="shared" si="289"/>
        <v>0</v>
      </c>
      <c r="BO133" s="192">
        <f t="shared" si="289"/>
        <v>0</v>
      </c>
      <c r="BP133" s="192">
        <f t="shared" si="289"/>
        <v>0</v>
      </c>
      <c r="BQ133" s="192">
        <f t="shared" ref="BQ133:EB133" si="290">+BP131*($B$126/12)</f>
        <v>0</v>
      </c>
      <c r="BR133" s="192">
        <f t="shared" si="290"/>
        <v>0</v>
      </c>
      <c r="BS133" s="192">
        <f t="shared" si="290"/>
        <v>0</v>
      </c>
      <c r="BT133" s="192">
        <f t="shared" si="290"/>
        <v>0</v>
      </c>
      <c r="BU133" s="192">
        <f t="shared" si="290"/>
        <v>0</v>
      </c>
      <c r="BV133" s="192">
        <f t="shared" si="290"/>
        <v>0</v>
      </c>
      <c r="BW133" s="192">
        <f t="shared" si="290"/>
        <v>0</v>
      </c>
      <c r="BX133" s="192">
        <f t="shared" si="290"/>
        <v>0</v>
      </c>
      <c r="BY133" s="192">
        <f t="shared" si="290"/>
        <v>0</v>
      </c>
      <c r="BZ133" s="192">
        <f t="shared" si="290"/>
        <v>0</v>
      </c>
      <c r="CA133" s="192">
        <f t="shared" si="290"/>
        <v>0</v>
      </c>
      <c r="CB133" s="192">
        <f t="shared" si="290"/>
        <v>0</v>
      </c>
      <c r="CC133" s="192">
        <f t="shared" si="290"/>
        <v>0</v>
      </c>
      <c r="CD133" s="192">
        <f t="shared" si="290"/>
        <v>0</v>
      </c>
      <c r="CE133" s="192">
        <f t="shared" si="290"/>
        <v>0</v>
      </c>
      <c r="CF133" s="192">
        <f t="shared" si="290"/>
        <v>0</v>
      </c>
      <c r="CG133" s="192">
        <f t="shared" si="290"/>
        <v>0</v>
      </c>
      <c r="CH133" s="192">
        <f t="shared" si="290"/>
        <v>0</v>
      </c>
      <c r="CI133" s="192">
        <f t="shared" si="290"/>
        <v>0</v>
      </c>
      <c r="CJ133" s="192">
        <f t="shared" si="290"/>
        <v>0</v>
      </c>
      <c r="CK133" s="192">
        <f t="shared" si="290"/>
        <v>0</v>
      </c>
      <c r="CL133" s="192">
        <f t="shared" si="290"/>
        <v>0</v>
      </c>
      <c r="CM133" s="192">
        <f t="shared" si="290"/>
        <v>0</v>
      </c>
      <c r="CN133" s="192">
        <f t="shared" si="290"/>
        <v>0</v>
      </c>
      <c r="CO133" s="192">
        <f t="shared" si="290"/>
        <v>0</v>
      </c>
      <c r="CP133" s="192">
        <f t="shared" si="290"/>
        <v>0</v>
      </c>
      <c r="CQ133" s="192">
        <f t="shared" si="290"/>
        <v>0</v>
      </c>
      <c r="CR133" s="192">
        <f t="shared" si="290"/>
        <v>0</v>
      </c>
      <c r="CS133" s="192">
        <f t="shared" si="290"/>
        <v>0</v>
      </c>
      <c r="CT133" s="192">
        <f t="shared" si="290"/>
        <v>0</v>
      </c>
      <c r="CU133" s="192">
        <f t="shared" si="290"/>
        <v>0</v>
      </c>
      <c r="CV133" s="192">
        <f t="shared" si="290"/>
        <v>0</v>
      </c>
      <c r="CW133" s="192">
        <f t="shared" si="290"/>
        <v>0</v>
      </c>
      <c r="CX133" s="192">
        <f t="shared" si="290"/>
        <v>0</v>
      </c>
      <c r="CY133" s="192">
        <f t="shared" si="290"/>
        <v>0</v>
      </c>
      <c r="CZ133" s="192">
        <f t="shared" si="290"/>
        <v>0</v>
      </c>
      <c r="DA133" s="192">
        <f t="shared" si="290"/>
        <v>0</v>
      </c>
      <c r="DB133" s="192">
        <f t="shared" si="290"/>
        <v>0</v>
      </c>
      <c r="DC133" s="192">
        <f t="shared" si="290"/>
        <v>0</v>
      </c>
      <c r="DD133" s="192">
        <f t="shared" si="290"/>
        <v>0</v>
      </c>
      <c r="DE133" s="192">
        <f t="shared" si="290"/>
        <v>0</v>
      </c>
      <c r="DF133" s="192">
        <f t="shared" si="290"/>
        <v>0</v>
      </c>
      <c r="DG133" s="192">
        <f t="shared" si="290"/>
        <v>2756.6393513864</v>
      </c>
      <c r="DH133" s="192">
        <f t="shared" si="290"/>
        <v>2539.2816777065327</v>
      </c>
      <c r="DI133" s="192">
        <f t="shared" si="290"/>
        <v>2319.7504272898668</v>
      </c>
      <c r="DJ133" s="192">
        <f t="shared" ref="DJ133" si="291">+DI131*($B$126/12)</f>
        <v>2098.0238643690345</v>
      </c>
      <c r="DK133" s="192">
        <f t="shared" ref="DK133" si="292">+DJ131*($B$126/12)</f>
        <v>1874.0800358189936</v>
      </c>
      <c r="DL133" s="192">
        <f t="shared" ref="DL133" si="293">+DK131*($B$126/12)</f>
        <v>1647.8967689834524</v>
      </c>
      <c r="DM133" s="192">
        <f t="shared" ref="DM133" si="294">+DL131*($B$126/12)</f>
        <v>1419.4516694795557</v>
      </c>
      <c r="DN133" s="192">
        <f t="shared" ref="DN133" si="295">+DM131*($B$126/12)</f>
        <v>1188.7221189806201</v>
      </c>
      <c r="DO133" s="192">
        <f t="shared" ref="DO133" si="296">+DN131*($B$126/12)</f>
        <v>955.68527297669505</v>
      </c>
      <c r="DP133" s="192">
        <f t="shared" ref="DP133" si="297">+DO131*($B$126/12)</f>
        <v>720.31805851273077</v>
      </c>
      <c r="DQ133" s="192">
        <f t="shared" ref="DQ133" si="298">+DP131*($B$126/12)</f>
        <v>482.59717190412687</v>
      </c>
      <c r="DR133" s="192">
        <f t="shared" ref="DR133" si="299">+DQ131*($B$126/12)</f>
        <v>242.49907642943697</v>
      </c>
      <c r="DS133" s="192">
        <f t="shared" si="290"/>
        <v>1.8189894035458566E-13</v>
      </c>
      <c r="DT133" s="192">
        <f t="shared" si="290"/>
        <v>1.8371792975813149E-13</v>
      </c>
      <c r="DU133" s="192">
        <f t="shared" si="290"/>
        <v>1.8555510905571283E-13</v>
      </c>
      <c r="DV133" s="192">
        <f t="shared" si="290"/>
        <v>1.8741066014626997E-13</v>
      </c>
      <c r="DW133" s="192">
        <f t="shared" si="290"/>
        <v>1.8928476674773267E-13</v>
      </c>
      <c r="DX133" s="192">
        <f t="shared" si="290"/>
        <v>1.9117761441520997E-13</v>
      </c>
      <c r="DY133" s="192">
        <f t="shared" si="290"/>
        <v>1.9308939055936209E-13</v>
      </c>
      <c r="DZ133" s="192">
        <f t="shared" si="290"/>
        <v>1.9502028446495571E-13</v>
      </c>
      <c r="EA133" s="192">
        <f t="shared" si="290"/>
        <v>1.9697048730960527E-13</v>
      </c>
      <c r="EB133" s="192">
        <f t="shared" si="290"/>
        <v>1.9894019218270132E-13</v>
      </c>
      <c r="EC133" s="192">
        <f t="shared" ref="EC133:FZ133" si="300">+EB131*($B$126/12)</f>
        <v>2.0092959410452833E-13</v>
      </c>
      <c r="ED133" s="192">
        <f t="shared" si="300"/>
        <v>2.0293889004557362E-13</v>
      </c>
      <c r="EE133" s="192">
        <f t="shared" si="300"/>
        <v>2.0496827894602937E-13</v>
      </c>
      <c r="EF133" s="192">
        <f t="shared" si="300"/>
        <v>2.0701796173548965E-13</v>
      </c>
      <c r="EG133" s="192">
        <f t="shared" si="300"/>
        <v>2.0908814135284455E-13</v>
      </c>
      <c r="EH133" s="192">
        <f t="shared" si="300"/>
        <v>2.1117902276637299E-13</v>
      </c>
      <c r="EI133" s="192">
        <f t="shared" si="300"/>
        <v>2.1329081299403673E-13</v>
      </c>
      <c r="EJ133" s="192">
        <f t="shared" si="300"/>
        <v>2.1542372112397709E-13</v>
      </c>
      <c r="EK133" s="192">
        <f t="shared" si="300"/>
        <v>2.1757795833521688E-13</v>
      </c>
      <c r="EL133" s="192">
        <f t="shared" si="300"/>
        <v>2.1975373791856905E-13</v>
      </c>
      <c r="EM133" s="192">
        <f t="shared" si="300"/>
        <v>2.2195127529775476E-13</v>
      </c>
      <c r="EN133" s="192">
        <f t="shared" si="300"/>
        <v>2.2417078805073232E-13</v>
      </c>
      <c r="EO133" s="192">
        <f t="shared" si="300"/>
        <v>2.2641249593123965E-13</v>
      </c>
      <c r="EP133" s="192">
        <f t="shared" si="300"/>
        <v>2.2867662089055204E-13</v>
      </c>
      <c r="EQ133" s="192">
        <f t="shared" si="300"/>
        <v>2.3096338709945752E-13</v>
      </c>
      <c r="ER133" s="192">
        <f t="shared" si="300"/>
        <v>2.3327302097045215E-13</v>
      </c>
      <c r="ES133" s="192">
        <f t="shared" si="300"/>
        <v>2.3560575118015663E-13</v>
      </c>
      <c r="ET133" s="192">
        <f t="shared" si="300"/>
        <v>2.379618086919582E-13</v>
      </c>
      <c r="EU133" s="192">
        <f t="shared" si="300"/>
        <v>2.4034142677887779E-13</v>
      </c>
      <c r="EV133" s="192">
        <f t="shared" si="300"/>
        <v>2.4274484104666658E-13</v>
      </c>
      <c r="EW133" s="192">
        <f t="shared" si="300"/>
        <v>2.4517228945713322E-13</v>
      </c>
      <c r="EX133" s="192">
        <f t="shared" si="300"/>
        <v>2.4762401235170455E-13</v>
      </c>
      <c r="EY133" s="192">
        <f t="shared" si="300"/>
        <v>2.5010025247522162E-13</v>
      </c>
      <c r="EZ133" s="192">
        <f t="shared" si="300"/>
        <v>2.5260125499997381E-13</v>
      </c>
      <c r="FA133" s="192">
        <f t="shared" si="300"/>
        <v>2.5512726754997357E-13</v>
      </c>
      <c r="FB133" s="192">
        <f t="shared" si="300"/>
        <v>2.5767854022547331E-13</v>
      </c>
      <c r="FC133" s="192">
        <f t="shared" si="300"/>
        <v>2.6025532562772802E-13</v>
      </c>
      <c r="FD133" s="192">
        <f t="shared" si="300"/>
        <v>2.628578788840053E-13</v>
      </c>
      <c r="FE133" s="192">
        <f t="shared" si="300"/>
        <v>2.6548645767284535E-13</v>
      </c>
      <c r="FF133" s="192">
        <f t="shared" si="300"/>
        <v>2.6814132224957379E-13</v>
      </c>
      <c r="FG133" s="192">
        <f t="shared" si="300"/>
        <v>2.7082273547206956E-13</v>
      </c>
      <c r="FH133" s="192">
        <f t="shared" si="300"/>
        <v>2.7353096282679026E-13</v>
      </c>
      <c r="FI133" s="192">
        <f t="shared" si="300"/>
        <v>2.7626627245505814E-13</v>
      </c>
      <c r="FJ133" s="192">
        <f t="shared" si="300"/>
        <v>2.790289351796087E-13</v>
      </c>
      <c r="FK133" s="192">
        <f t="shared" si="300"/>
        <v>2.8181922453140482E-13</v>
      </c>
      <c r="FL133" s="192">
        <f t="shared" si="300"/>
        <v>2.8463741677671886E-13</v>
      </c>
      <c r="FM133" s="192">
        <f t="shared" si="300"/>
        <v>2.8748379094448606E-13</v>
      </c>
      <c r="FN133" s="192">
        <f t="shared" si="300"/>
        <v>2.9035862885393096E-13</v>
      </c>
      <c r="FO133" s="192">
        <f t="shared" si="300"/>
        <v>2.9326221514247029E-13</v>
      </c>
      <c r="FP133" s="192">
        <f t="shared" si="300"/>
        <v>2.9619483729389494E-13</v>
      </c>
      <c r="FQ133" s="192">
        <f t="shared" si="300"/>
        <v>2.9915678566683389E-13</v>
      </c>
      <c r="FR133" s="192">
        <f t="shared" si="300"/>
        <v>3.0214835352350223E-13</v>
      </c>
      <c r="FS133" s="192">
        <f t="shared" si="300"/>
        <v>3.0516983705873722E-13</v>
      </c>
      <c r="FT133" s="192">
        <f t="shared" si="300"/>
        <v>3.0822153542932459E-13</v>
      </c>
      <c r="FU133" s="192">
        <f t="shared" si="300"/>
        <v>3.1130375078361781E-13</v>
      </c>
      <c r="FV133" s="192">
        <f t="shared" si="300"/>
        <v>3.1441678829145402E-13</v>
      </c>
      <c r="FW133" s="192">
        <f t="shared" si="300"/>
        <v>3.1756095617436857E-13</v>
      </c>
      <c r="FX133" s="192">
        <f t="shared" si="300"/>
        <v>3.2073656573611225E-13</v>
      </c>
      <c r="FY133" s="192">
        <f t="shared" si="300"/>
        <v>3.2394393139347335E-13</v>
      </c>
      <c r="FZ133" s="192">
        <f t="shared" si="300"/>
        <v>3.2718337070740811E-13</v>
      </c>
    </row>
    <row r="134" spans="1:182" outlineLevel="1" x14ac:dyDescent="0.2">
      <c r="A134" s="24" t="s">
        <v>234</v>
      </c>
      <c r="B134" s="192">
        <f>SUM(C134:DR134)</f>
        <v>275663.93513863999</v>
      </c>
      <c r="C134" s="192">
        <v>0</v>
      </c>
      <c r="D134" s="192">
        <f t="shared" ref="D134:AI134" si="301">+D132-D133</f>
        <v>0</v>
      </c>
      <c r="E134" s="192">
        <f t="shared" si="301"/>
        <v>0</v>
      </c>
      <c r="F134" s="192">
        <f t="shared" si="301"/>
        <v>0</v>
      </c>
      <c r="G134" s="192">
        <f t="shared" si="301"/>
        <v>0</v>
      </c>
      <c r="H134" s="192">
        <f t="shared" si="301"/>
        <v>0</v>
      </c>
      <c r="I134" s="192">
        <f t="shared" si="301"/>
        <v>0</v>
      </c>
      <c r="J134" s="192">
        <f t="shared" si="301"/>
        <v>0</v>
      </c>
      <c r="K134" s="192">
        <f t="shared" si="301"/>
        <v>0</v>
      </c>
      <c r="L134" s="192">
        <f t="shared" si="301"/>
        <v>0</v>
      </c>
      <c r="M134" s="192">
        <f t="shared" si="301"/>
        <v>0</v>
      </c>
      <c r="N134" s="192">
        <f t="shared" si="301"/>
        <v>0</v>
      </c>
      <c r="O134" s="192">
        <f t="shared" si="301"/>
        <v>0</v>
      </c>
      <c r="P134" s="192">
        <f t="shared" si="301"/>
        <v>0</v>
      </c>
      <c r="Q134" s="192">
        <f t="shared" si="301"/>
        <v>0</v>
      </c>
      <c r="R134" s="192">
        <f t="shared" si="301"/>
        <v>0</v>
      </c>
      <c r="S134" s="192">
        <f t="shared" si="301"/>
        <v>0</v>
      </c>
      <c r="T134" s="192">
        <f t="shared" si="301"/>
        <v>0</v>
      </c>
      <c r="U134" s="192">
        <f t="shared" si="301"/>
        <v>0</v>
      </c>
      <c r="V134" s="192">
        <f t="shared" si="301"/>
        <v>0</v>
      </c>
      <c r="W134" s="192">
        <f t="shared" si="301"/>
        <v>0</v>
      </c>
      <c r="X134" s="192">
        <f t="shared" si="301"/>
        <v>0</v>
      </c>
      <c r="Y134" s="192">
        <f t="shared" si="301"/>
        <v>0</v>
      </c>
      <c r="Z134" s="192">
        <f t="shared" si="301"/>
        <v>0</v>
      </c>
      <c r="AA134" s="192">
        <f t="shared" si="301"/>
        <v>0</v>
      </c>
      <c r="AB134" s="192">
        <f t="shared" si="301"/>
        <v>0</v>
      </c>
      <c r="AC134" s="192">
        <f t="shared" si="301"/>
        <v>0</v>
      </c>
      <c r="AD134" s="192">
        <f t="shared" si="301"/>
        <v>0</v>
      </c>
      <c r="AE134" s="192">
        <f t="shared" si="301"/>
        <v>0</v>
      </c>
      <c r="AF134" s="192">
        <f t="shared" si="301"/>
        <v>0</v>
      </c>
      <c r="AG134" s="192">
        <f t="shared" si="301"/>
        <v>0</v>
      </c>
      <c r="AH134" s="192">
        <f t="shared" si="301"/>
        <v>0</v>
      </c>
      <c r="AI134" s="192">
        <f t="shared" si="301"/>
        <v>0</v>
      </c>
      <c r="AJ134" s="192">
        <f t="shared" ref="AJ134:BO134" si="302">+AJ132-AJ133</f>
        <v>0</v>
      </c>
      <c r="AK134" s="192">
        <f t="shared" si="302"/>
        <v>0</v>
      </c>
      <c r="AL134" s="192">
        <f t="shared" si="302"/>
        <v>0</v>
      </c>
      <c r="AM134" s="192">
        <f t="shared" si="302"/>
        <v>0</v>
      </c>
      <c r="AN134" s="192">
        <f t="shared" si="302"/>
        <v>0</v>
      </c>
      <c r="AO134" s="192">
        <f t="shared" si="302"/>
        <v>0</v>
      </c>
      <c r="AP134" s="192">
        <f t="shared" si="302"/>
        <v>0</v>
      </c>
      <c r="AQ134" s="192">
        <f t="shared" si="302"/>
        <v>0</v>
      </c>
      <c r="AR134" s="192">
        <f t="shared" si="302"/>
        <v>0</v>
      </c>
      <c r="AS134" s="192">
        <f t="shared" si="302"/>
        <v>0</v>
      </c>
      <c r="AT134" s="192">
        <f t="shared" si="302"/>
        <v>0</v>
      </c>
      <c r="AU134" s="192">
        <f t="shared" si="302"/>
        <v>0</v>
      </c>
      <c r="AV134" s="192">
        <f t="shared" si="302"/>
        <v>0</v>
      </c>
      <c r="AW134" s="192">
        <f t="shared" si="302"/>
        <v>0</v>
      </c>
      <c r="AX134" s="192">
        <f t="shared" si="302"/>
        <v>0</v>
      </c>
      <c r="AY134" s="192">
        <f t="shared" si="302"/>
        <v>0</v>
      </c>
      <c r="AZ134" s="192">
        <f t="shared" si="302"/>
        <v>0</v>
      </c>
      <c r="BA134" s="192">
        <f t="shared" si="302"/>
        <v>0</v>
      </c>
      <c r="BB134" s="192">
        <f t="shared" si="302"/>
        <v>0</v>
      </c>
      <c r="BC134" s="192">
        <f t="shared" si="302"/>
        <v>0</v>
      </c>
      <c r="BD134" s="192">
        <f t="shared" si="302"/>
        <v>0</v>
      </c>
      <c r="BE134" s="192">
        <f t="shared" si="302"/>
        <v>0</v>
      </c>
      <c r="BF134" s="192">
        <f t="shared" si="302"/>
        <v>0</v>
      </c>
      <c r="BG134" s="192">
        <f t="shared" si="302"/>
        <v>0</v>
      </c>
      <c r="BH134" s="192">
        <f t="shared" si="302"/>
        <v>0</v>
      </c>
      <c r="BI134" s="192">
        <f t="shared" si="302"/>
        <v>0</v>
      </c>
      <c r="BJ134" s="192">
        <f t="shared" si="302"/>
        <v>0</v>
      </c>
      <c r="BK134" s="192">
        <f t="shared" si="302"/>
        <v>0</v>
      </c>
      <c r="BL134" s="192">
        <f t="shared" si="302"/>
        <v>0</v>
      </c>
      <c r="BM134" s="192">
        <f t="shared" si="302"/>
        <v>0</v>
      </c>
      <c r="BN134" s="192">
        <f t="shared" si="302"/>
        <v>0</v>
      </c>
      <c r="BO134" s="192">
        <f t="shared" si="302"/>
        <v>0</v>
      </c>
      <c r="BP134" s="192">
        <f t="shared" ref="BP134:CU134" si="303">+BP132-BP133</f>
        <v>0</v>
      </c>
      <c r="BQ134" s="192">
        <f t="shared" si="303"/>
        <v>0</v>
      </c>
      <c r="BR134" s="192">
        <f t="shared" si="303"/>
        <v>0</v>
      </c>
      <c r="BS134" s="192">
        <f t="shared" si="303"/>
        <v>0</v>
      </c>
      <c r="BT134" s="192">
        <f t="shared" si="303"/>
        <v>0</v>
      </c>
      <c r="BU134" s="192">
        <f t="shared" si="303"/>
        <v>0</v>
      </c>
      <c r="BV134" s="192">
        <f t="shared" si="303"/>
        <v>0</v>
      </c>
      <c r="BW134" s="192">
        <f t="shared" si="303"/>
        <v>0</v>
      </c>
      <c r="BX134" s="192">
        <f t="shared" si="303"/>
        <v>0</v>
      </c>
      <c r="BY134" s="192">
        <f t="shared" si="303"/>
        <v>0</v>
      </c>
      <c r="BZ134" s="192">
        <f t="shared" si="303"/>
        <v>0</v>
      </c>
      <c r="CA134" s="192">
        <f t="shared" si="303"/>
        <v>0</v>
      </c>
      <c r="CB134" s="192">
        <f t="shared" si="303"/>
        <v>0</v>
      </c>
      <c r="CC134" s="192">
        <f t="shared" si="303"/>
        <v>0</v>
      </c>
      <c r="CD134" s="192">
        <f t="shared" si="303"/>
        <v>0</v>
      </c>
      <c r="CE134" s="192">
        <f t="shared" si="303"/>
        <v>0</v>
      </c>
      <c r="CF134" s="192">
        <f t="shared" si="303"/>
        <v>0</v>
      </c>
      <c r="CG134" s="192">
        <f t="shared" si="303"/>
        <v>0</v>
      </c>
      <c r="CH134" s="192">
        <f t="shared" si="303"/>
        <v>0</v>
      </c>
      <c r="CI134" s="192">
        <f t="shared" si="303"/>
        <v>0</v>
      </c>
      <c r="CJ134" s="192">
        <f t="shared" si="303"/>
        <v>0</v>
      </c>
      <c r="CK134" s="192">
        <f t="shared" si="303"/>
        <v>0</v>
      </c>
      <c r="CL134" s="192">
        <f t="shared" si="303"/>
        <v>0</v>
      </c>
      <c r="CM134" s="192">
        <f t="shared" si="303"/>
        <v>0</v>
      </c>
      <c r="CN134" s="192">
        <f t="shared" si="303"/>
        <v>0</v>
      </c>
      <c r="CO134" s="192">
        <f t="shared" si="303"/>
        <v>0</v>
      </c>
      <c r="CP134" s="192">
        <f t="shared" si="303"/>
        <v>0</v>
      </c>
      <c r="CQ134" s="192">
        <f t="shared" si="303"/>
        <v>0</v>
      </c>
      <c r="CR134" s="192">
        <f t="shared" si="303"/>
        <v>0</v>
      </c>
      <c r="CS134" s="192">
        <f t="shared" si="303"/>
        <v>0</v>
      </c>
      <c r="CT134" s="192">
        <f t="shared" si="303"/>
        <v>0</v>
      </c>
      <c r="CU134" s="192">
        <f t="shared" si="303"/>
        <v>0</v>
      </c>
      <c r="CV134" s="192">
        <f t="shared" ref="CV134:EA134" si="304">+CV132-CV133</f>
        <v>0</v>
      </c>
      <c r="CW134" s="192">
        <f t="shared" si="304"/>
        <v>0</v>
      </c>
      <c r="CX134" s="192">
        <f t="shared" si="304"/>
        <v>0</v>
      </c>
      <c r="CY134" s="192">
        <f t="shared" si="304"/>
        <v>0</v>
      </c>
      <c r="CZ134" s="192">
        <f t="shared" si="304"/>
        <v>0</v>
      </c>
      <c r="DA134" s="192">
        <f t="shared" si="304"/>
        <v>0</v>
      </c>
      <c r="DB134" s="192">
        <f t="shared" si="304"/>
        <v>0</v>
      </c>
      <c r="DC134" s="192">
        <f t="shared" si="304"/>
        <v>0</v>
      </c>
      <c r="DD134" s="192">
        <f t="shared" si="304"/>
        <v>0</v>
      </c>
      <c r="DE134" s="192">
        <f t="shared" si="304"/>
        <v>0</v>
      </c>
      <c r="DF134" s="192">
        <f t="shared" si="304"/>
        <v>0</v>
      </c>
      <c r="DG134" s="192">
        <f t="shared" si="304"/>
        <v>21735.767367986718</v>
      </c>
      <c r="DH134" s="192">
        <f t="shared" si="304"/>
        <v>21953.125041666586</v>
      </c>
      <c r="DI134" s="192">
        <f t="shared" si="304"/>
        <v>22172.656292083251</v>
      </c>
      <c r="DJ134" s="192">
        <f t="shared" ref="DJ134:DR134" si="305">+DJ132-DJ133</f>
        <v>22394.382855004082</v>
      </c>
      <c r="DK134" s="192">
        <f t="shared" si="305"/>
        <v>22618.326683554122</v>
      </c>
      <c r="DL134" s="192">
        <f t="shared" si="305"/>
        <v>22844.509950389664</v>
      </c>
      <c r="DM134" s="192">
        <f t="shared" si="305"/>
        <v>23072.95504989356</v>
      </c>
      <c r="DN134" s="192">
        <f t="shared" si="305"/>
        <v>23303.684600392498</v>
      </c>
      <c r="DO134" s="192">
        <f t="shared" si="305"/>
        <v>23536.721446396423</v>
      </c>
      <c r="DP134" s="192">
        <f t="shared" si="305"/>
        <v>23772.088660860387</v>
      </c>
      <c r="DQ134" s="192">
        <f t="shared" si="305"/>
        <v>24009.809547468991</v>
      </c>
      <c r="DR134" s="192">
        <f t="shared" si="305"/>
        <v>24249.907642943679</v>
      </c>
      <c r="DS134" s="192">
        <f t="shared" si="304"/>
        <v>-1.8189894035458566E-13</v>
      </c>
      <c r="DT134" s="192">
        <f t="shared" si="304"/>
        <v>-1.8371792975813149E-13</v>
      </c>
      <c r="DU134" s="192">
        <f t="shared" si="304"/>
        <v>-1.8555510905571283E-13</v>
      </c>
      <c r="DV134" s="192">
        <f t="shared" si="304"/>
        <v>-1.8741066014626997E-13</v>
      </c>
      <c r="DW134" s="192">
        <f t="shared" si="304"/>
        <v>-1.8928476674773267E-13</v>
      </c>
      <c r="DX134" s="192">
        <f t="shared" si="304"/>
        <v>-1.9117761441520997E-13</v>
      </c>
      <c r="DY134" s="192">
        <f t="shared" si="304"/>
        <v>-1.9308939055936209E-13</v>
      </c>
      <c r="DZ134" s="192">
        <f t="shared" si="304"/>
        <v>-1.9502028446495571E-13</v>
      </c>
      <c r="EA134" s="192">
        <f t="shared" si="304"/>
        <v>-1.9697048730960527E-13</v>
      </c>
      <c r="EB134" s="192">
        <f t="shared" ref="EB134:FG134" si="306">+EB132-EB133</f>
        <v>-1.9894019218270132E-13</v>
      </c>
      <c r="EC134" s="192">
        <f t="shared" si="306"/>
        <v>-2.0092959410452833E-13</v>
      </c>
      <c r="ED134" s="192">
        <f t="shared" si="306"/>
        <v>-2.0293889004557362E-13</v>
      </c>
      <c r="EE134" s="192">
        <f t="shared" si="306"/>
        <v>-2.0496827894602937E-13</v>
      </c>
      <c r="EF134" s="192">
        <f t="shared" si="306"/>
        <v>-2.0701796173548965E-13</v>
      </c>
      <c r="EG134" s="192">
        <f t="shared" si="306"/>
        <v>-2.0908814135284455E-13</v>
      </c>
      <c r="EH134" s="192">
        <f t="shared" si="306"/>
        <v>-2.1117902276637299E-13</v>
      </c>
      <c r="EI134" s="192">
        <f t="shared" si="306"/>
        <v>-2.1329081299403673E-13</v>
      </c>
      <c r="EJ134" s="192">
        <f t="shared" si="306"/>
        <v>-2.1542372112397709E-13</v>
      </c>
      <c r="EK134" s="192">
        <f t="shared" si="306"/>
        <v>-2.1757795833521688E-13</v>
      </c>
      <c r="EL134" s="192">
        <f t="shared" si="306"/>
        <v>-2.1975373791856905E-13</v>
      </c>
      <c r="EM134" s="192">
        <f t="shared" si="306"/>
        <v>-2.2195127529775476E-13</v>
      </c>
      <c r="EN134" s="192">
        <f t="shared" si="306"/>
        <v>-2.2417078805073232E-13</v>
      </c>
      <c r="EO134" s="192">
        <f t="shared" si="306"/>
        <v>-2.2641249593123965E-13</v>
      </c>
      <c r="EP134" s="192">
        <f t="shared" si="306"/>
        <v>-2.2867662089055204E-13</v>
      </c>
      <c r="EQ134" s="192">
        <f t="shared" si="306"/>
        <v>-2.3096338709945752E-13</v>
      </c>
      <c r="ER134" s="192">
        <f t="shared" si="306"/>
        <v>-2.3327302097045215E-13</v>
      </c>
      <c r="ES134" s="192">
        <f t="shared" si="306"/>
        <v>-2.3560575118015663E-13</v>
      </c>
      <c r="ET134" s="192">
        <f t="shared" si="306"/>
        <v>-2.379618086919582E-13</v>
      </c>
      <c r="EU134" s="192">
        <f t="shared" si="306"/>
        <v>-2.4034142677887779E-13</v>
      </c>
      <c r="EV134" s="192">
        <f t="shared" si="306"/>
        <v>-2.4274484104666658E-13</v>
      </c>
      <c r="EW134" s="192">
        <f t="shared" si="306"/>
        <v>-2.4517228945713322E-13</v>
      </c>
      <c r="EX134" s="192">
        <f t="shared" si="306"/>
        <v>-2.4762401235170455E-13</v>
      </c>
      <c r="EY134" s="192">
        <f t="shared" si="306"/>
        <v>-2.5010025247522162E-13</v>
      </c>
      <c r="EZ134" s="192">
        <f t="shared" si="306"/>
        <v>-2.5260125499997381E-13</v>
      </c>
      <c r="FA134" s="192">
        <f t="shared" si="306"/>
        <v>-2.5512726754997357E-13</v>
      </c>
      <c r="FB134" s="192">
        <f t="shared" si="306"/>
        <v>-2.5767854022547331E-13</v>
      </c>
      <c r="FC134" s="192">
        <f t="shared" si="306"/>
        <v>-2.6025532562772802E-13</v>
      </c>
      <c r="FD134" s="192">
        <f t="shared" si="306"/>
        <v>-2.628578788840053E-13</v>
      </c>
      <c r="FE134" s="192">
        <f t="shared" si="306"/>
        <v>-2.6548645767284535E-13</v>
      </c>
      <c r="FF134" s="192">
        <f t="shared" si="306"/>
        <v>-2.6814132224957379E-13</v>
      </c>
      <c r="FG134" s="192">
        <f t="shared" si="306"/>
        <v>-2.7082273547206956E-13</v>
      </c>
      <c r="FH134" s="192">
        <f t="shared" ref="FH134:FZ134" si="307">+FH132-FH133</f>
        <v>-2.7353096282679026E-13</v>
      </c>
      <c r="FI134" s="192">
        <f t="shared" si="307"/>
        <v>-2.7626627245505814E-13</v>
      </c>
      <c r="FJ134" s="192">
        <f t="shared" si="307"/>
        <v>-2.790289351796087E-13</v>
      </c>
      <c r="FK134" s="192">
        <f t="shared" si="307"/>
        <v>-2.8181922453140482E-13</v>
      </c>
      <c r="FL134" s="192">
        <f t="shared" si="307"/>
        <v>-2.8463741677671886E-13</v>
      </c>
      <c r="FM134" s="192">
        <f t="shared" si="307"/>
        <v>-2.8748379094448606E-13</v>
      </c>
      <c r="FN134" s="192">
        <f t="shared" si="307"/>
        <v>-2.9035862885393096E-13</v>
      </c>
      <c r="FO134" s="192">
        <f t="shared" si="307"/>
        <v>-2.9326221514247029E-13</v>
      </c>
      <c r="FP134" s="192">
        <f t="shared" si="307"/>
        <v>-2.9619483729389494E-13</v>
      </c>
      <c r="FQ134" s="192">
        <f t="shared" si="307"/>
        <v>-2.9915678566683389E-13</v>
      </c>
      <c r="FR134" s="192">
        <f t="shared" si="307"/>
        <v>-3.0214835352350223E-13</v>
      </c>
      <c r="FS134" s="192">
        <f t="shared" si="307"/>
        <v>-3.0516983705873722E-13</v>
      </c>
      <c r="FT134" s="192">
        <f t="shared" si="307"/>
        <v>-3.0822153542932459E-13</v>
      </c>
      <c r="FU134" s="192">
        <f t="shared" si="307"/>
        <v>-3.1130375078361781E-13</v>
      </c>
      <c r="FV134" s="192">
        <f t="shared" si="307"/>
        <v>-3.1441678829145402E-13</v>
      </c>
      <c r="FW134" s="192">
        <f t="shared" si="307"/>
        <v>-3.1756095617436857E-13</v>
      </c>
      <c r="FX134" s="192">
        <f t="shared" si="307"/>
        <v>-3.2073656573611225E-13</v>
      </c>
      <c r="FY134" s="192">
        <f t="shared" si="307"/>
        <v>-3.2394393139347335E-13</v>
      </c>
      <c r="FZ134" s="192">
        <f t="shared" si="307"/>
        <v>-3.2718337070740811E-13</v>
      </c>
    </row>
    <row r="137" spans="1:182" x14ac:dyDescent="0.2">
      <c r="A137" s="145" t="s">
        <v>444</v>
      </c>
    </row>
    <row r="138" spans="1:182" outlineLevel="1" x14ac:dyDescent="0.2">
      <c r="A138" s="24" t="s">
        <v>228</v>
      </c>
      <c r="B138" s="166">
        <f>+Inv.Rep.!M58</f>
        <v>286690.49254418578</v>
      </c>
    </row>
    <row r="139" spans="1:182" outlineLevel="1" x14ac:dyDescent="0.2">
      <c r="A139" s="24" t="s">
        <v>229</v>
      </c>
      <c r="B139" s="191">
        <f>+Condiciones!$B$20</f>
        <v>0.12</v>
      </c>
    </row>
    <row r="140" spans="1:182" outlineLevel="1" x14ac:dyDescent="0.2">
      <c r="A140" s="24" t="s">
        <v>230</v>
      </c>
      <c r="B140" s="139">
        <v>6</v>
      </c>
    </row>
    <row r="141" spans="1:182" outlineLevel="1" x14ac:dyDescent="0.2">
      <c r="A141" s="24" t="s">
        <v>231</v>
      </c>
      <c r="B141" s="192">
        <f>PMT(B139/12,B140,-B138)</f>
        <v>49467.976240037373</v>
      </c>
    </row>
    <row r="142" spans="1:182" outlineLevel="1" x14ac:dyDescent="0.2">
      <c r="A142" s="24" t="s">
        <v>356</v>
      </c>
      <c r="B142" s="139">
        <v>114</v>
      </c>
    </row>
    <row r="143" spans="1:182" outlineLevel="1" x14ac:dyDescent="0.2"/>
    <row r="144" spans="1:182" outlineLevel="1" x14ac:dyDescent="0.2">
      <c r="A144" s="24" t="s">
        <v>232</v>
      </c>
      <c r="B144" s="166">
        <f>+B138</f>
        <v>286690.49254418578</v>
      </c>
      <c r="C144" s="192">
        <v>0</v>
      </c>
      <c r="D144" s="192">
        <f>+IF(C144&gt;0,C144-D147,IF(D4&lt;$B$142,0,$B$144-D147))</f>
        <v>0</v>
      </c>
      <c r="E144" s="192">
        <f t="shared" ref="E144:BP144" si="308">+IF(D144&gt;0,D144-E147,IF(E4&lt;$B$142,0,$B$144-E147))</f>
        <v>0</v>
      </c>
      <c r="F144" s="192">
        <f t="shared" si="308"/>
        <v>0</v>
      </c>
      <c r="G144" s="192">
        <f t="shared" si="308"/>
        <v>0</v>
      </c>
      <c r="H144" s="192">
        <f t="shared" si="308"/>
        <v>0</v>
      </c>
      <c r="I144" s="192">
        <f t="shared" si="308"/>
        <v>0</v>
      </c>
      <c r="J144" s="192">
        <f t="shared" si="308"/>
        <v>0</v>
      </c>
      <c r="K144" s="192">
        <f t="shared" si="308"/>
        <v>0</v>
      </c>
      <c r="L144" s="192">
        <f t="shared" si="308"/>
        <v>0</v>
      </c>
      <c r="M144" s="192">
        <f t="shared" si="308"/>
        <v>0</v>
      </c>
      <c r="N144" s="192">
        <f t="shared" si="308"/>
        <v>0</v>
      </c>
      <c r="O144" s="192">
        <f t="shared" si="308"/>
        <v>0</v>
      </c>
      <c r="P144" s="192">
        <f t="shared" si="308"/>
        <v>0</v>
      </c>
      <c r="Q144" s="192">
        <f t="shared" si="308"/>
        <v>0</v>
      </c>
      <c r="R144" s="192">
        <f t="shared" si="308"/>
        <v>0</v>
      </c>
      <c r="S144" s="192">
        <f t="shared" si="308"/>
        <v>0</v>
      </c>
      <c r="T144" s="192">
        <f t="shared" si="308"/>
        <v>0</v>
      </c>
      <c r="U144" s="192">
        <f t="shared" si="308"/>
        <v>0</v>
      </c>
      <c r="V144" s="192">
        <f t="shared" si="308"/>
        <v>0</v>
      </c>
      <c r="W144" s="192">
        <f t="shared" si="308"/>
        <v>0</v>
      </c>
      <c r="X144" s="192">
        <f t="shared" si="308"/>
        <v>0</v>
      </c>
      <c r="Y144" s="192">
        <f t="shared" si="308"/>
        <v>0</v>
      </c>
      <c r="Z144" s="192">
        <f t="shared" si="308"/>
        <v>0</v>
      </c>
      <c r="AA144" s="192">
        <f t="shared" si="308"/>
        <v>0</v>
      </c>
      <c r="AB144" s="192">
        <f t="shared" si="308"/>
        <v>0</v>
      </c>
      <c r="AC144" s="192">
        <f t="shared" si="308"/>
        <v>0</v>
      </c>
      <c r="AD144" s="192">
        <f t="shared" si="308"/>
        <v>0</v>
      </c>
      <c r="AE144" s="192">
        <f t="shared" si="308"/>
        <v>0</v>
      </c>
      <c r="AF144" s="192">
        <f t="shared" si="308"/>
        <v>0</v>
      </c>
      <c r="AG144" s="192">
        <f t="shared" si="308"/>
        <v>0</v>
      </c>
      <c r="AH144" s="192">
        <f t="shared" si="308"/>
        <v>0</v>
      </c>
      <c r="AI144" s="192">
        <f t="shared" si="308"/>
        <v>0</v>
      </c>
      <c r="AJ144" s="192">
        <f t="shared" si="308"/>
        <v>0</v>
      </c>
      <c r="AK144" s="192">
        <f t="shared" si="308"/>
        <v>0</v>
      </c>
      <c r="AL144" s="192">
        <f t="shared" si="308"/>
        <v>0</v>
      </c>
      <c r="AM144" s="192">
        <f t="shared" si="308"/>
        <v>0</v>
      </c>
      <c r="AN144" s="192">
        <f t="shared" si="308"/>
        <v>0</v>
      </c>
      <c r="AO144" s="192">
        <f t="shared" si="308"/>
        <v>0</v>
      </c>
      <c r="AP144" s="192">
        <f t="shared" si="308"/>
        <v>0</v>
      </c>
      <c r="AQ144" s="192">
        <f t="shared" si="308"/>
        <v>0</v>
      </c>
      <c r="AR144" s="192">
        <f t="shared" si="308"/>
        <v>0</v>
      </c>
      <c r="AS144" s="192">
        <f t="shared" si="308"/>
        <v>0</v>
      </c>
      <c r="AT144" s="192">
        <f t="shared" si="308"/>
        <v>0</v>
      </c>
      <c r="AU144" s="192">
        <f t="shared" si="308"/>
        <v>0</v>
      </c>
      <c r="AV144" s="192">
        <f t="shared" si="308"/>
        <v>0</v>
      </c>
      <c r="AW144" s="192">
        <f t="shared" si="308"/>
        <v>0</v>
      </c>
      <c r="AX144" s="192">
        <f t="shared" si="308"/>
        <v>0</v>
      </c>
      <c r="AY144" s="192">
        <f t="shared" si="308"/>
        <v>0</v>
      </c>
      <c r="AZ144" s="192">
        <f t="shared" si="308"/>
        <v>0</v>
      </c>
      <c r="BA144" s="192">
        <f t="shared" si="308"/>
        <v>0</v>
      </c>
      <c r="BB144" s="192">
        <f t="shared" si="308"/>
        <v>0</v>
      </c>
      <c r="BC144" s="192">
        <f t="shared" si="308"/>
        <v>0</v>
      </c>
      <c r="BD144" s="192">
        <f t="shared" si="308"/>
        <v>0</v>
      </c>
      <c r="BE144" s="192">
        <f t="shared" si="308"/>
        <v>0</v>
      </c>
      <c r="BF144" s="192">
        <f t="shared" si="308"/>
        <v>0</v>
      </c>
      <c r="BG144" s="192">
        <f t="shared" si="308"/>
        <v>0</v>
      </c>
      <c r="BH144" s="192">
        <f t="shared" si="308"/>
        <v>0</v>
      </c>
      <c r="BI144" s="192">
        <f t="shared" si="308"/>
        <v>0</v>
      </c>
      <c r="BJ144" s="192">
        <f t="shared" si="308"/>
        <v>0</v>
      </c>
      <c r="BK144" s="192">
        <f t="shared" si="308"/>
        <v>0</v>
      </c>
      <c r="BL144" s="192">
        <f t="shared" si="308"/>
        <v>0</v>
      </c>
      <c r="BM144" s="192">
        <f t="shared" si="308"/>
        <v>0</v>
      </c>
      <c r="BN144" s="192">
        <f t="shared" si="308"/>
        <v>0</v>
      </c>
      <c r="BO144" s="192">
        <f t="shared" si="308"/>
        <v>0</v>
      </c>
      <c r="BP144" s="192">
        <f t="shared" si="308"/>
        <v>0</v>
      </c>
      <c r="BQ144" s="192">
        <f t="shared" ref="BQ144:EB144" si="309">+IF(BP144&gt;0,BP144-BQ147,IF(BQ4&lt;$B$142,0,$B$144-BQ147))</f>
        <v>0</v>
      </c>
      <c r="BR144" s="192">
        <f t="shared" si="309"/>
        <v>0</v>
      </c>
      <c r="BS144" s="192">
        <f t="shared" si="309"/>
        <v>0</v>
      </c>
      <c r="BT144" s="192">
        <f t="shared" si="309"/>
        <v>0</v>
      </c>
      <c r="BU144" s="192">
        <f t="shared" si="309"/>
        <v>0</v>
      </c>
      <c r="BV144" s="192">
        <f t="shared" si="309"/>
        <v>0</v>
      </c>
      <c r="BW144" s="192">
        <f t="shared" si="309"/>
        <v>0</v>
      </c>
      <c r="BX144" s="192">
        <f t="shared" si="309"/>
        <v>0</v>
      </c>
      <c r="BY144" s="192">
        <f t="shared" si="309"/>
        <v>0</v>
      </c>
      <c r="BZ144" s="192">
        <f t="shared" si="309"/>
        <v>0</v>
      </c>
      <c r="CA144" s="192">
        <f t="shared" si="309"/>
        <v>0</v>
      </c>
      <c r="CB144" s="192">
        <f t="shared" si="309"/>
        <v>0</v>
      </c>
      <c r="CC144" s="192">
        <f t="shared" si="309"/>
        <v>0</v>
      </c>
      <c r="CD144" s="192">
        <f t="shared" si="309"/>
        <v>0</v>
      </c>
      <c r="CE144" s="192">
        <f t="shared" si="309"/>
        <v>0</v>
      </c>
      <c r="CF144" s="192">
        <f t="shared" si="309"/>
        <v>0</v>
      </c>
      <c r="CG144" s="192">
        <f t="shared" si="309"/>
        <v>0</v>
      </c>
      <c r="CH144" s="192">
        <f t="shared" si="309"/>
        <v>0</v>
      </c>
      <c r="CI144" s="192">
        <f t="shared" si="309"/>
        <v>0</v>
      </c>
      <c r="CJ144" s="192">
        <f t="shared" si="309"/>
        <v>0</v>
      </c>
      <c r="CK144" s="192">
        <f t="shared" si="309"/>
        <v>0</v>
      </c>
      <c r="CL144" s="192">
        <f t="shared" si="309"/>
        <v>0</v>
      </c>
      <c r="CM144" s="192">
        <f t="shared" si="309"/>
        <v>0</v>
      </c>
      <c r="CN144" s="192">
        <f t="shared" si="309"/>
        <v>0</v>
      </c>
      <c r="CO144" s="192">
        <f t="shared" si="309"/>
        <v>0</v>
      </c>
      <c r="CP144" s="192">
        <f t="shared" si="309"/>
        <v>0</v>
      </c>
      <c r="CQ144" s="192">
        <f t="shared" si="309"/>
        <v>0</v>
      </c>
      <c r="CR144" s="192">
        <f t="shared" si="309"/>
        <v>0</v>
      </c>
      <c r="CS144" s="192">
        <f t="shared" si="309"/>
        <v>0</v>
      </c>
      <c r="CT144" s="192">
        <f t="shared" si="309"/>
        <v>0</v>
      </c>
      <c r="CU144" s="192">
        <f t="shared" si="309"/>
        <v>0</v>
      </c>
      <c r="CV144" s="192">
        <f t="shared" si="309"/>
        <v>0</v>
      </c>
      <c r="CW144" s="192">
        <f t="shared" si="309"/>
        <v>0</v>
      </c>
      <c r="CX144" s="192">
        <f t="shared" si="309"/>
        <v>0</v>
      </c>
      <c r="CY144" s="192">
        <f t="shared" si="309"/>
        <v>0</v>
      </c>
      <c r="CZ144" s="192">
        <f t="shared" si="309"/>
        <v>0</v>
      </c>
      <c r="DA144" s="192">
        <f t="shared" si="309"/>
        <v>0</v>
      </c>
      <c r="DB144" s="192">
        <f t="shared" si="309"/>
        <v>0</v>
      </c>
      <c r="DC144" s="192">
        <f t="shared" si="309"/>
        <v>0</v>
      </c>
      <c r="DD144" s="192">
        <f t="shared" si="309"/>
        <v>0</v>
      </c>
      <c r="DE144" s="192">
        <f t="shared" si="309"/>
        <v>0</v>
      </c>
      <c r="DF144" s="192">
        <f t="shared" si="309"/>
        <v>0</v>
      </c>
      <c r="DG144" s="192">
        <f t="shared" si="309"/>
        <v>0</v>
      </c>
      <c r="DH144" s="192">
        <f t="shared" si="309"/>
        <v>0</v>
      </c>
      <c r="DI144" s="192">
        <f t="shared" si="309"/>
        <v>0</v>
      </c>
      <c r="DJ144" s="192">
        <f t="shared" si="309"/>
        <v>0</v>
      </c>
      <c r="DK144" s="192">
        <f t="shared" si="309"/>
        <v>0</v>
      </c>
      <c r="DL144" s="192">
        <f t="shared" si="309"/>
        <v>286690.49254418578</v>
      </c>
      <c r="DM144" s="192">
        <f t="shared" si="309"/>
        <v>240089.42122959025</v>
      </c>
      <c r="DN144" s="192">
        <f t="shared" si="309"/>
        <v>193022.33920184878</v>
      </c>
      <c r="DO144" s="192">
        <f t="shared" ref="DO144" si="310">+IF(DN144&gt;0,DN144-DO147,IF(DO4&lt;$B$142,0,$B$144-DO147))</f>
        <v>145484.58635382989</v>
      </c>
      <c r="DP144" s="192">
        <f t="shared" ref="DP144" si="311">+IF(DO144&gt;0,DO144-DP147,IF(DP4&lt;$B$142,0,$B$144-DP147))</f>
        <v>97471.455977330814</v>
      </c>
      <c r="DQ144" s="192">
        <f t="shared" ref="DQ144" si="312">+IF(DP144&gt;0,DP144-DQ147,IF(DQ4&lt;$B$142,0,$B$144-DQ147))</f>
        <v>48978.194297066751</v>
      </c>
      <c r="DR144" s="192">
        <f t="shared" ref="DR144" si="313">+IF(DQ144&gt;0,DQ144-DR147,IF(DR4&lt;$B$142,0,$B$144-DR147))</f>
        <v>4.3655745685100555E-11</v>
      </c>
      <c r="DS144" s="192">
        <f t="shared" si="309"/>
        <v>4.4092303141951558E-11</v>
      </c>
      <c r="DT144" s="192">
        <f t="shared" si="309"/>
        <v>4.4533226173371074E-11</v>
      </c>
      <c r="DU144" s="192">
        <f t="shared" si="309"/>
        <v>4.4978558435104787E-11</v>
      </c>
      <c r="DV144" s="192">
        <f t="shared" si="309"/>
        <v>4.5428344019455836E-11</v>
      </c>
      <c r="DW144" s="192">
        <f t="shared" si="309"/>
        <v>4.5882627459650397E-11</v>
      </c>
      <c r="DX144" s="192">
        <f t="shared" si="309"/>
        <v>4.63414537342469E-11</v>
      </c>
      <c r="DY144" s="192">
        <f t="shared" si="309"/>
        <v>4.6804868271589369E-11</v>
      </c>
      <c r="DZ144" s="192">
        <f t="shared" si="309"/>
        <v>4.7272916954305263E-11</v>
      </c>
      <c r="EA144" s="192">
        <f t="shared" si="309"/>
        <v>4.7745646123848315E-11</v>
      </c>
      <c r="EB144" s="192">
        <f t="shared" si="309"/>
        <v>4.8223102585086797E-11</v>
      </c>
      <c r="EC144" s="192">
        <f t="shared" ref="EC144:FZ144" si="314">+IF(EB144&gt;0,EB144-EC147,IF(EC4&lt;$B$142,0,$B$144-EC147))</f>
        <v>4.8705333610937667E-11</v>
      </c>
      <c r="ED144" s="192">
        <f t="shared" si="314"/>
        <v>4.9192386947047046E-11</v>
      </c>
      <c r="EE144" s="192">
        <f t="shared" si="314"/>
        <v>4.9684310816517514E-11</v>
      </c>
      <c r="EF144" s="192">
        <f t="shared" si="314"/>
        <v>5.0181153924682687E-11</v>
      </c>
      <c r="EG144" s="192">
        <f t="shared" si="314"/>
        <v>5.0682965463929512E-11</v>
      </c>
      <c r="EH144" s="192">
        <f t="shared" si="314"/>
        <v>5.118979511856881E-11</v>
      </c>
      <c r="EI144" s="192">
        <f t="shared" si="314"/>
        <v>5.1701693069754501E-11</v>
      </c>
      <c r="EJ144" s="192">
        <f t="shared" si="314"/>
        <v>5.2218710000452048E-11</v>
      </c>
      <c r="EK144" s="192">
        <f t="shared" si="314"/>
        <v>5.2740897100456566E-11</v>
      </c>
      <c r="EL144" s="192">
        <f t="shared" si="314"/>
        <v>5.3268306071461133E-11</v>
      </c>
      <c r="EM144" s="192">
        <f t="shared" si="314"/>
        <v>5.3800989132175746E-11</v>
      </c>
      <c r="EN144" s="192">
        <f t="shared" si="314"/>
        <v>5.43389990234975E-11</v>
      </c>
      <c r="EO144" s="192">
        <f t="shared" si="314"/>
        <v>5.4882389013732476E-11</v>
      </c>
      <c r="EP144" s="192">
        <f t="shared" si="314"/>
        <v>5.5431212903869798E-11</v>
      </c>
      <c r="EQ144" s="192">
        <f t="shared" si="314"/>
        <v>5.5985525032908496E-11</v>
      </c>
      <c r="ER144" s="192">
        <f t="shared" si="314"/>
        <v>5.6545380283237579E-11</v>
      </c>
      <c r="ES144" s="192">
        <f t="shared" si="314"/>
        <v>5.7110834086069953E-11</v>
      </c>
      <c r="ET144" s="192">
        <f t="shared" si="314"/>
        <v>5.7681942426930653E-11</v>
      </c>
      <c r="EU144" s="192">
        <f t="shared" si="314"/>
        <v>5.8258761851199963E-11</v>
      </c>
      <c r="EV144" s="192">
        <f t="shared" si="314"/>
        <v>5.8841349469711962E-11</v>
      </c>
      <c r="EW144" s="192">
        <f t="shared" si="314"/>
        <v>5.9429762964409088E-11</v>
      </c>
      <c r="EX144" s="192">
        <f t="shared" si="314"/>
        <v>6.002406059405318E-11</v>
      </c>
      <c r="EY144" s="192">
        <f t="shared" si="314"/>
        <v>6.0624301199993713E-11</v>
      </c>
      <c r="EZ144" s="192">
        <f t="shared" si="314"/>
        <v>6.1230544211993656E-11</v>
      </c>
      <c r="FA144" s="192">
        <f t="shared" si="314"/>
        <v>6.1842849654113594E-11</v>
      </c>
      <c r="FB144" s="192">
        <f t="shared" si="314"/>
        <v>6.2461278150654726E-11</v>
      </c>
      <c r="FC144" s="192">
        <f t="shared" si="314"/>
        <v>6.3085890932161275E-11</v>
      </c>
      <c r="FD144" s="192">
        <f t="shared" si="314"/>
        <v>6.3716749841482893E-11</v>
      </c>
      <c r="FE144" s="192">
        <f t="shared" si="314"/>
        <v>6.4353917339897725E-11</v>
      </c>
      <c r="FF144" s="192">
        <f t="shared" si="314"/>
        <v>6.4997456513296706E-11</v>
      </c>
      <c r="FG144" s="192">
        <f t="shared" si="314"/>
        <v>6.564743107842967E-11</v>
      </c>
      <c r="FH144" s="192">
        <f t="shared" si="314"/>
        <v>6.6303905389213971E-11</v>
      </c>
      <c r="FI144" s="192">
        <f t="shared" si="314"/>
        <v>6.696694444310611E-11</v>
      </c>
      <c r="FJ144" s="192">
        <f t="shared" si="314"/>
        <v>6.7636613887537166E-11</v>
      </c>
      <c r="FK144" s="192">
        <f t="shared" si="314"/>
        <v>6.8312980026412532E-11</v>
      </c>
      <c r="FL144" s="192">
        <f t="shared" si="314"/>
        <v>6.8996109826676656E-11</v>
      </c>
      <c r="FM144" s="192">
        <f t="shared" si="314"/>
        <v>6.9686070924943422E-11</v>
      </c>
      <c r="FN144" s="192">
        <f t="shared" si="314"/>
        <v>7.0382931634192861E-11</v>
      </c>
      <c r="FO144" s="192">
        <f t="shared" si="314"/>
        <v>7.1086760950534788E-11</v>
      </c>
      <c r="FP144" s="192">
        <f t="shared" si="314"/>
        <v>7.179762856004014E-11</v>
      </c>
      <c r="FQ144" s="192">
        <f t="shared" si="314"/>
        <v>7.2515604845640538E-11</v>
      </c>
      <c r="FR144" s="192">
        <f t="shared" si="314"/>
        <v>7.3240760894096949E-11</v>
      </c>
      <c r="FS144" s="192">
        <f t="shared" si="314"/>
        <v>7.3973168503037919E-11</v>
      </c>
      <c r="FT144" s="192">
        <f t="shared" si="314"/>
        <v>7.4712900188068301E-11</v>
      </c>
      <c r="FU144" s="192">
        <f t="shared" si="314"/>
        <v>7.5460029189948988E-11</v>
      </c>
      <c r="FV144" s="192">
        <f t="shared" si="314"/>
        <v>7.6214629481848479E-11</v>
      </c>
      <c r="FW144" s="192">
        <f t="shared" si="314"/>
        <v>7.6976775776666962E-11</v>
      </c>
      <c r="FX144" s="192">
        <f t="shared" si="314"/>
        <v>7.774654353443363E-11</v>
      </c>
      <c r="FY144" s="192">
        <f t="shared" si="314"/>
        <v>7.8524008969777972E-11</v>
      </c>
      <c r="FZ144" s="192">
        <f t="shared" si="314"/>
        <v>7.9309249059475754E-11</v>
      </c>
    </row>
    <row r="145" spans="1:182" outlineLevel="1" x14ac:dyDescent="0.2">
      <c r="A145" s="24" t="s">
        <v>231</v>
      </c>
      <c r="B145" s="192">
        <f>SUM(C145:EP145)</f>
        <v>296807.85744022421</v>
      </c>
      <c r="C145" s="192">
        <v>0</v>
      </c>
      <c r="D145" s="192">
        <f>+IF(C144=0,0,IF(D4&gt;$B$140+$B$142,0,$B$141))</f>
        <v>0</v>
      </c>
      <c r="E145" s="192">
        <f t="shared" ref="E145:BP145" si="315">+IF(D144=0,0,IF(E4&gt;$B$140+$B$142,0,$B$141))</f>
        <v>0</v>
      </c>
      <c r="F145" s="192">
        <f t="shared" si="315"/>
        <v>0</v>
      </c>
      <c r="G145" s="192">
        <f t="shared" si="315"/>
        <v>0</v>
      </c>
      <c r="H145" s="192">
        <f t="shared" si="315"/>
        <v>0</v>
      </c>
      <c r="I145" s="192">
        <f t="shared" si="315"/>
        <v>0</v>
      </c>
      <c r="J145" s="192">
        <f t="shared" si="315"/>
        <v>0</v>
      </c>
      <c r="K145" s="192">
        <f t="shared" si="315"/>
        <v>0</v>
      </c>
      <c r="L145" s="192">
        <f t="shared" si="315"/>
        <v>0</v>
      </c>
      <c r="M145" s="192">
        <f t="shared" si="315"/>
        <v>0</v>
      </c>
      <c r="N145" s="192">
        <f t="shared" si="315"/>
        <v>0</v>
      </c>
      <c r="O145" s="192">
        <f t="shared" si="315"/>
        <v>0</v>
      </c>
      <c r="P145" s="192">
        <f t="shared" si="315"/>
        <v>0</v>
      </c>
      <c r="Q145" s="192">
        <f t="shared" si="315"/>
        <v>0</v>
      </c>
      <c r="R145" s="192">
        <f t="shared" si="315"/>
        <v>0</v>
      </c>
      <c r="S145" s="192">
        <f t="shared" si="315"/>
        <v>0</v>
      </c>
      <c r="T145" s="192">
        <f t="shared" si="315"/>
        <v>0</v>
      </c>
      <c r="U145" s="192">
        <f t="shared" si="315"/>
        <v>0</v>
      </c>
      <c r="V145" s="192">
        <f t="shared" si="315"/>
        <v>0</v>
      </c>
      <c r="W145" s="192">
        <f t="shared" si="315"/>
        <v>0</v>
      </c>
      <c r="X145" s="192">
        <f t="shared" si="315"/>
        <v>0</v>
      </c>
      <c r="Y145" s="192">
        <f t="shared" si="315"/>
        <v>0</v>
      </c>
      <c r="Z145" s="192">
        <f t="shared" si="315"/>
        <v>0</v>
      </c>
      <c r="AA145" s="192">
        <f t="shared" si="315"/>
        <v>0</v>
      </c>
      <c r="AB145" s="192">
        <f t="shared" si="315"/>
        <v>0</v>
      </c>
      <c r="AC145" s="192">
        <f t="shared" si="315"/>
        <v>0</v>
      </c>
      <c r="AD145" s="192">
        <f t="shared" si="315"/>
        <v>0</v>
      </c>
      <c r="AE145" s="192">
        <f t="shared" si="315"/>
        <v>0</v>
      </c>
      <c r="AF145" s="192">
        <f t="shared" si="315"/>
        <v>0</v>
      </c>
      <c r="AG145" s="192">
        <f t="shared" si="315"/>
        <v>0</v>
      </c>
      <c r="AH145" s="192">
        <f t="shared" si="315"/>
        <v>0</v>
      </c>
      <c r="AI145" s="192">
        <f t="shared" si="315"/>
        <v>0</v>
      </c>
      <c r="AJ145" s="192">
        <f t="shared" si="315"/>
        <v>0</v>
      </c>
      <c r="AK145" s="192">
        <f t="shared" si="315"/>
        <v>0</v>
      </c>
      <c r="AL145" s="192">
        <f t="shared" si="315"/>
        <v>0</v>
      </c>
      <c r="AM145" s="192">
        <f t="shared" si="315"/>
        <v>0</v>
      </c>
      <c r="AN145" s="192">
        <f t="shared" si="315"/>
        <v>0</v>
      </c>
      <c r="AO145" s="192">
        <f t="shared" si="315"/>
        <v>0</v>
      </c>
      <c r="AP145" s="192">
        <f t="shared" si="315"/>
        <v>0</v>
      </c>
      <c r="AQ145" s="192">
        <f t="shared" si="315"/>
        <v>0</v>
      </c>
      <c r="AR145" s="192">
        <f t="shared" si="315"/>
        <v>0</v>
      </c>
      <c r="AS145" s="192">
        <f t="shared" si="315"/>
        <v>0</v>
      </c>
      <c r="AT145" s="192">
        <f t="shared" si="315"/>
        <v>0</v>
      </c>
      <c r="AU145" s="192">
        <f t="shared" si="315"/>
        <v>0</v>
      </c>
      <c r="AV145" s="192">
        <f t="shared" si="315"/>
        <v>0</v>
      </c>
      <c r="AW145" s="192">
        <f t="shared" si="315"/>
        <v>0</v>
      </c>
      <c r="AX145" s="192">
        <f t="shared" si="315"/>
        <v>0</v>
      </c>
      <c r="AY145" s="192">
        <f t="shared" si="315"/>
        <v>0</v>
      </c>
      <c r="AZ145" s="192">
        <f t="shared" si="315"/>
        <v>0</v>
      </c>
      <c r="BA145" s="192">
        <f t="shared" si="315"/>
        <v>0</v>
      </c>
      <c r="BB145" s="192">
        <f t="shared" si="315"/>
        <v>0</v>
      </c>
      <c r="BC145" s="192">
        <f t="shared" si="315"/>
        <v>0</v>
      </c>
      <c r="BD145" s="192">
        <f t="shared" si="315"/>
        <v>0</v>
      </c>
      <c r="BE145" s="192">
        <f t="shared" si="315"/>
        <v>0</v>
      </c>
      <c r="BF145" s="192">
        <f t="shared" si="315"/>
        <v>0</v>
      </c>
      <c r="BG145" s="192">
        <f t="shared" si="315"/>
        <v>0</v>
      </c>
      <c r="BH145" s="192">
        <f t="shared" si="315"/>
        <v>0</v>
      </c>
      <c r="BI145" s="192">
        <f t="shared" si="315"/>
        <v>0</v>
      </c>
      <c r="BJ145" s="192">
        <f t="shared" si="315"/>
        <v>0</v>
      </c>
      <c r="BK145" s="192">
        <f t="shared" si="315"/>
        <v>0</v>
      </c>
      <c r="BL145" s="192">
        <f t="shared" si="315"/>
        <v>0</v>
      </c>
      <c r="BM145" s="192">
        <f t="shared" si="315"/>
        <v>0</v>
      </c>
      <c r="BN145" s="192">
        <f t="shared" si="315"/>
        <v>0</v>
      </c>
      <c r="BO145" s="192">
        <f t="shared" si="315"/>
        <v>0</v>
      </c>
      <c r="BP145" s="192">
        <f t="shared" si="315"/>
        <v>0</v>
      </c>
      <c r="BQ145" s="192">
        <f t="shared" ref="BQ145:EB145" si="316">+IF(BP144=0,0,IF(BQ4&gt;$B$140+$B$142,0,$B$141))</f>
        <v>0</v>
      </c>
      <c r="BR145" s="192">
        <f t="shared" si="316"/>
        <v>0</v>
      </c>
      <c r="BS145" s="192">
        <f t="shared" si="316"/>
        <v>0</v>
      </c>
      <c r="BT145" s="192">
        <f t="shared" si="316"/>
        <v>0</v>
      </c>
      <c r="BU145" s="192">
        <f t="shared" si="316"/>
        <v>0</v>
      </c>
      <c r="BV145" s="192">
        <f t="shared" si="316"/>
        <v>0</v>
      </c>
      <c r="BW145" s="192">
        <f t="shared" si="316"/>
        <v>0</v>
      </c>
      <c r="BX145" s="192">
        <f t="shared" si="316"/>
        <v>0</v>
      </c>
      <c r="BY145" s="192">
        <f t="shared" si="316"/>
        <v>0</v>
      </c>
      <c r="BZ145" s="192">
        <f t="shared" si="316"/>
        <v>0</v>
      </c>
      <c r="CA145" s="192">
        <f t="shared" si="316"/>
        <v>0</v>
      </c>
      <c r="CB145" s="192">
        <f t="shared" si="316"/>
        <v>0</v>
      </c>
      <c r="CC145" s="192">
        <f t="shared" si="316"/>
        <v>0</v>
      </c>
      <c r="CD145" s="192">
        <f t="shared" si="316"/>
        <v>0</v>
      </c>
      <c r="CE145" s="192">
        <f t="shared" si="316"/>
        <v>0</v>
      </c>
      <c r="CF145" s="192">
        <f t="shared" si="316"/>
        <v>0</v>
      </c>
      <c r="CG145" s="192">
        <f t="shared" si="316"/>
        <v>0</v>
      </c>
      <c r="CH145" s="192">
        <f t="shared" si="316"/>
        <v>0</v>
      </c>
      <c r="CI145" s="192">
        <f t="shared" si="316"/>
        <v>0</v>
      </c>
      <c r="CJ145" s="192">
        <f t="shared" si="316"/>
        <v>0</v>
      </c>
      <c r="CK145" s="192">
        <f t="shared" si="316"/>
        <v>0</v>
      </c>
      <c r="CL145" s="192">
        <f t="shared" si="316"/>
        <v>0</v>
      </c>
      <c r="CM145" s="192">
        <f t="shared" si="316"/>
        <v>0</v>
      </c>
      <c r="CN145" s="192">
        <f t="shared" si="316"/>
        <v>0</v>
      </c>
      <c r="CO145" s="192">
        <f t="shared" si="316"/>
        <v>0</v>
      </c>
      <c r="CP145" s="192">
        <f t="shared" si="316"/>
        <v>0</v>
      </c>
      <c r="CQ145" s="192">
        <f t="shared" si="316"/>
        <v>0</v>
      </c>
      <c r="CR145" s="192">
        <f t="shared" si="316"/>
        <v>0</v>
      </c>
      <c r="CS145" s="192">
        <f t="shared" si="316"/>
        <v>0</v>
      </c>
      <c r="CT145" s="192">
        <f t="shared" si="316"/>
        <v>0</v>
      </c>
      <c r="CU145" s="192">
        <f t="shared" si="316"/>
        <v>0</v>
      </c>
      <c r="CV145" s="192">
        <f t="shared" si="316"/>
        <v>0</v>
      </c>
      <c r="CW145" s="192">
        <f t="shared" si="316"/>
        <v>0</v>
      </c>
      <c r="CX145" s="192">
        <f t="shared" si="316"/>
        <v>0</v>
      </c>
      <c r="CY145" s="192">
        <f t="shared" si="316"/>
        <v>0</v>
      </c>
      <c r="CZ145" s="192">
        <f t="shared" si="316"/>
        <v>0</v>
      </c>
      <c r="DA145" s="192">
        <f t="shared" si="316"/>
        <v>0</v>
      </c>
      <c r="DB145" s="192">
        <f t="shared" si="316"/>
        <v>0</v>
      </c>
      <c r="DC145" s="192">
        <f t="shared" si="316"/>
        <v>0</v>
      </c>
      <c r="DD145" s="192">
        <f t="shared" si="316"/>
        <v>0</v>
      </c>
      <c r="DE145" s="192">
        <f t="shared" si="316"/>
        <v>0</v>
      </c>
      <c r="DF145" s="192">
        <f t="shared" si="316"/>
        <v>0</v>
      </c>
      <c r="DG145" s="192">
        <f t="shared" si="316"/>
        <v>0</v>
      </c>
      <c r="DH145" s="192">
        <f t="shared" si="316"/>
        <v>0</v>
      </c>
      <c r="DI145" s="192">
        <f t="shared" si="316"/>
        <v>0</v>
      </c>
      <c r="DJ145" s="192">
        <f t="shared" si="316"/>
        <v>0</v>
      </c>
      <c r="DK145" s="192">
        <f t="shared" si="316"/>
        <v>0</v>
      </c>
      <c r="DL145" s="192">
        <f t="shared" si="316"/>
        <v>0</v>
      </c>
      <c r="DM145" s="192">
        <f t="shared" si="316"/>
        <v>49467.976240037373</v>
      </c>
      <c r="DN145" s="192">
        <f t="shared" si="316"/>
        <v>49467.976240037373</v>
      </c>
      <c r="DO145" s="192">
        <f t="shared" ref="DO145" si="317">+IF(DN144=0,0,IF(DO4&gt;$B$140+$B$142,0,$B$141))</f>
        <v>49467.976240037373</v>
      </c>
      <c r="DP145" s="192">
        <f t="shared" ref="DP145" si="318">+IF(DO144=0,0,IF(DP4&gt;$B$140+$B$142,0,$B$141))</f>
        <v>49467.976240037373</v>
      </c>
      <c r="DQ145" s="192">
        <f t="shared" ref="DQ145" si="319">+IF(DP144=0,0,IF(DQ4&gt;$B$140+$B$142,0,$B$141))</f>
        <v>49467.976240037373</v>
      </c>
      <c r="DR145" s="192">
        <f t="shared" ref="DR145" si="320">+IF(DQ144=0,0,IF(DR4&gt;$B$140+$B$142,0,$B$141))</f>
        <v>49467.976240037373</v>
      </c>
      <c r="DS145" s="192">
        <f t="shared" si="316"/>
        <v>0</v>
      </c>
      <c r="DT145" s="192">
        <f t="shared" si="316"/>
        <v>0</v>
      </c>
      <c r="DU145" s="192">
        <f t="shared" si="316"/>
        <v>0</v>
      </c>
      <c r="DV145" s="192">
        <f t="shared" si="316"/>
        <v>0</v>
      </c>
      <c r="DW145" s="192">
        <f t="shared" si="316"/>
        <v>0</v>
      </c>
      <c r="DX145" s="192">
        <f t="shared" si="316"/>
        <v>0</v>
      </c>
      <c r="DY145" s="192">
        <f t="shared" si="316"/>
        <v>0</v>
      </c>
      <c r="DZ145" s="192">
        <f t="shared" si="316"/>
        <v>0</v>
      </c>
      <c r="EA145" s="192">
        <f t="shared" si="316"/>
        <v>0</v>
      </c>
      <c r="EB145" s="192">
        <f t="shared" si="316"/>
        <v>0</v>
      </c>
      <c r="EC145" s="192">
        <f t="shared" ref="EC145:FZ145" si="321">+IF(EB144=0,0,IF(EC4&gt;$B$140+$B$142,0,$B$141))</f>
        <v>0</v>
      </c>
      <c r="ED145" s="192">
        <f t="shared" si="321"/>
        <v>0</v>
      </c>
      <c r="EE145" s="192">
        <f t="shared" si="321"/>
        <v>0</v>
      </c>
      <c r="EF145" s="192">
        <f t="shared" si="321"/>
        <v>0</v>
      </c>
      <c r="EG145" s="192">
        <f t="shared" si="321"/>
        <v>0</v>
      </c>
      <c r="EH145" s="192">
        <f t="shared" si="321"/>
        <v>0</v>
      </c>
      <c r="EI145" s="192">
        <f t="shared" si="321"/>
        <v>0</v>
      </c>
      <c r="EJ145" s="192">
        <f t="shared" si="321"/>
        <v>0</v>
      </c>
      <c r="EK145" s="192">
        <f t="shared" si="321"/>
        <v>0</v>
      </c>
      <c r="EL145" s="192">
        <f t="shared" si="321"/>
        <v>0</v>
      </c>
      <c r="EM145" s="192">
        <f t="shared" si="321"/>
        <v>0</v>
      </c>
      <c r="EN145" s="192">
        <f t="shared" si="321"/>
        <v>0</v>
      </c>
      <c r="EO145" s="192">
        <f t="shared" si="321"/>
        <v>0</v>
      </c>
      <c r="EP145" s="192">
        <f t="shared" si="321"/>
        <v>0</v>
      </c>
      <c r="EQ145" s="192">
        <f t="shared" si="321"/>
        <v>0</v>
      </c>
      <c r="ER145" s="192">
        <f t="shared" si="321"/>
        <v>0</v>
      </c>
      <c r="ES145" s="192">
        <f t="shared" si="321"/>
        <v>0</v>
      </c>
      <c r="ET145" s="192">
        <f t="shared" si="321"/>
        <v>0</v>
      </c>
      <c r="EU145" s="192">
        <f t="shared" si="321"/>
        <v>0</v>
      </c>
      <c r="EV145" s="192">
        <f t="shared" si="321"/>
        <v>0</v>
      </c>
      <c r="EW145" s="192">
        <f t="shared" si="321"/>
        <v>0</v>
      </c>
      <c r="EX145" s="192">
        <f t="shared" si="321"/>
        <v>0</v>
      </c>
      <c r="EY145" s="192">
        <f t="shared" si="321"/>
        <v>0</v>
      </c>
      <c r="EZ145" s="192">
        <f t="shared" si="321"/>
        <v>0</v>
      </c>
      <c r="FA145" s="192">
        <f t="shared" si="321"/>
        <v>0</v>
      </c>
      <c r="FB145" s="192">
        <f t="shared" si="321"/>
        <v>0</v>
      </c>
      <c r="FC145" s="192">
        <f t="shared" si="321"/>
        <v>0</v>
      </c>
      <c r="FD145" s="192">
        <f t="shared" si="321"/>
        <v>0</v>
      </c>
      <c r="FE145" s="192">
        <f t="shared" si="321"/>
        <v>0</v>
      </c>
      <c r="FF145" s="192">
        <f t="shared" si="321"/>
        <v>0</v>
      </c>
      <c r="FG145" s="192">
        <f t="shared" si="321"/>
        <v>0</v>
      </c>
      <c r="FH145" s="192">
        <f t="shared" si="321"/>
        <v>0</v>
      </c>
      <c r="FI145" s="192">
        <f t="shared" si="321"/>
        <v>0</v>
      </c>
      <c r="FJ145" s="192">
        <f t="shared" si="321"/>
        <v>0</v>
      </c>
      <c r="FK145" s="192">
        <f t="shared" si="321"/>
        <v>0</v>
      </c>
      <c r="FL145" s="192">
        <f t="shared" si="321"/>
        <v>0</v>
      </c>
      <c r="FM145" s="192">
        <f t="shared" si="321"/>
        <v>0</v>
      </c>
      <c r="FN145" s="192">
        <f t="shared" si="321"/>
        <v>0</v>
      </c>
      <c r="FO145" s="192">
        <f t="shared" si="321"/>
        <v>0</v>
      </c>
      <c r="FP145" s="192">
        <f t="shared" si="321"/>
        <v>0</v>
      </c>
      <c r="FQ145" s="192">
        <f t="shared" si="321"/>
        <v>0</v>
      </c>
      <c r="FR145" s="192">
        <f t="shared" si="321"/>
        <v>0</v>
      </c>
      <c r="FS145" s="192">
        <f t="shared" si="321"/>
        <v>0</v>
      </c>
      <c r="FT145" s="192">
        <f t="shared" si="321"/>
        <v>0</v>
      </c>
      <c r="FU145" s="192">
        <f t="shared" si="321"/>
        <v>0</v>
      </c>
      <c r="FV145" s="192">
        <f t="shared" si="321"/>
        <v>0</v>
      </c>
      <c r="FW145" s="192">
        <f t="shared" si="321"/>
        <v>0</v>
      </c>
      <c r="FX145" s="192">
        <f t="shared" si="321"/>
        <v>0</v>
      </c>
      <c r="FY145" s="192">
        <f t="shared" si="321"/>
        <v>0</v>
      </c>
      <c r="FZ145" s="192">
        <f t="shared" si="321"/>
        <v>0</v>
      </c>
    </row>
    <row r="146" spans="1:182" outlineLevel="1" x14ac:dyDescent="0.2">
      <c r="A146" s="24" t="s">
        <v>233</v>
      </c>
      <c r="B146" s="192">
        <f>SUM(C146:DR146)</f>
        <v>10117.364896038524</v>
      </c>
      <c r="C146" s="192">
        <v>0</v>
      </c>
      <c r="D146" s="192">
        <f>+C144*($B$139/12)</f>
        <v>0</v>
      </c>
      <c r="E146" s="192">
        <f t="shared" ref="E146:BP146" si="322">+D144*($B$139/12)</f>
        <v>0</v>
      </c>
      <c r="F146" s="192">
        <f t="shared" si="322"/>
        <v>0</v>
      </c>
      <c r="G146" s="192">
        <f t="shared" si="322"/>
        <v>0</v>
      </c>
      <c r="H146" s="192">
        <f t="shared" si="322"/>
        <v>0</v>
      </c>
      <c r="I146" s="192">
        <f t="shared" si="322"/>
        <v>0</v>
      </c>
      <c r="J146" s="192">
        <f t="shared" si="322"/>
        <v>0</v>
      </c>
      <c r="K146" s="192">
        <f t="shared" si="322"/>
        <v>0</v>
      </c>
      <c r="L146" s="192">
        <f t="shared" si="322"/>
        <v>0</v>
      </c>
      <c r="M146" s="192">
        <f t="shared" si="322"/>
        <v>0</v>
      </c>
      <c r="N146" s="192">
        <f t="shared" si="322"/>
        <v>0</v>
      </c>
      <c r="O146" s="192">
        <f t="shared" si="322"/>
        <v>0</v>
      </c>
      <c r="P146" s="192">
        <f t="shared" si="322"/>
        <v>0</v>
      </c>
      <c r="Q146" s="192">
        <f t="shared" si="322"/>
        <v>0</v>
      </c>
      <c r="R146" s="192">
        <f t="shared" si="322"/>
        <v>0</v>
      </c>
      <c r="S146" s="192">
        <f t="shared" si="322"/>
        <v>0</v>
      </c>
      <c r="T146" s="192">
        <f t="shared" si="322"/>
        <v>0</v>
      </c>
      <c r="U146" s="192">
        <f t="shared" si="322"/>
        <v>0</v>
      </c>
      <c r="V146" s="192">
        <f t="shared" si="322"/>
        <v>0</v>
      </c>
      <c r="W146" s="192">
        <f t="shared" si="322"/>
        <v>0</v>
      </c>
      <c r="X146" s="192">
        <f t="shared" si="322"/>
        <v>0</v>
      </c>
      <c r="Y146" s="192">
        <f t="shared" si="322"/>
        <v>0</v>
      </c>
      <c r="Z146" s="192">
        <f t="shared" si="322"/>
        <v>0</v>
      </c>
      <c r="AA146" s="192">
        <f t="shared" si="322"/>
        <v>0</v>
      </c>
      <c r="AB146" s="192">
        <f t="shared" si="322"/>
        <v>0</v>
      </c>
      <c r="AC146" s="192">
        <f t="shared" si="322"/>
        <v>0</v>
      </c>
      <c r="AD146" s="192">
        <f t="shared" si="322"/>
        <v>0</v>
      </c>
      <c r="AE146" s="192">
        <f t="shared" si="322"/>
        <v>0</v>
      </c>
      <c r="AF146" s="192">
        <f t="shared" si="322"/>
        <v>0</v>
      </c>
      <c r="AG146" s="192">
        <f t="shared" si="322"/>
        <v>0</v>
      </c>
      <c r="AH146" s="192">
        <f t="shared" si="322"/>
        <v>0</v>
      </c>
      <c r="AI146" s="192">
        <f t="shared" si="322"/>
        <v>0</v>
      </c>
      <c r="AJ146" s="192">
        <f t="shared" si="322"/>
        <v>0</v>
      </c>
      <c r="AK146" s="192">
        <f t="shared" si="322"/>
        <v>0</v>
      </c>
      <c r="AL146" s="192">
        <f t="shared" si="322"/>
        <v>0</v>
      </c>
      <c r="AM146" s="192">
        <f t="shared" si="322"/>
        <v>0</v>
      </c>
      <c r="AN146" s="192">
        <f t="shared" si="322"/>
        <v>0</v>
      </c>
      <c r="AO146" s="192">
        <f t="shared" si="322"/>
        <v>0</v>
      </c>
      <c r="AP146" s="192">
        <f t="shared" si="322"/>
        <v>0</v>
      </c>
      <c r="AQ146" s="192">
        <f t="shared" si="322"/>
        <v>0</v>
      </c>
      <c r="AR146" s="192">
        <f t="shared" si="322"/>
        <v>0</v>
      </c>
      <c r="AS146" s="192">
        <f t="shared" si="322"/>
        <v>0</v>
      </c>
      <c r="AT146" s="192">
        <f t="shared" si="322"/>
        <v>0</v>
      </c>
      <c r="AU146" s="192">
        <f t="shared" si="322"/>
        <v>0</v>
      </c>
      <c r="AV146" s="192">
        <f t="shared" si="322"/>
        <v>0</v>
      </c>
      <c r="AW146" s="192">
        <f t="shared" si="322"/>
        <v>0</v>
      </c>
      <c r="AX146" s="192">
        <f t="shared" si="322"/>
        <v>0</v>
      </c>
      <c r="AY146" s="192">
        <f t="shared" si="322"/>
        <v>0</v>
      </c>
      <c r="AZ146" s="192">
        <f t="shared" si="322"/>
        <v>0</v>
      </c>
      <c r="BA146" s="192">
        <f t="shared" si="322"/>
        <v>0</v>
      </c>
      <c r="BB146" s="192">
        <f t="shared" si="322"/>
        <v>0</v>
      </c>
      <c r="BC146" s="192">
        <f t="shared" si="322"/>
        <v>0</v>
      </c>
      <c r="BD146" s="192">
        <f t="shared" si="322"/>
        <v>0</v>
      </c>
      <c r="BE146" s="192">
        <f t="shared" si="322"/>
        <v>0</v>
      </c>
      <c r="BF146" s="192">
        <f t="shared" si="322"/>
        <v>0</v>
      </c>
      <c r="BG146" s="192">
        <f t="shared" si="322"/>
        <v>0</v>
      </c>
      <c r="BH146" s="192">
        <f t="shared" si="322"/>
        <v>0</v>
      </c>
      <c r="BI146" s="192">
        <f t="shared" si="322"/>
        <v>0</v>
      </c>
      <c r="BJ146" s="192">
        <f t="shared" si="322"/>
        <v>0</v>
      </c>
      <c r="BK146" s="192">
        <f t="shared" si="322"/>
        <v>0</v>
      </c>
      <c r="BL146" s="192">
        <f t="shared" si="322"/>
        <v>0</v>
      </c>
      <c r="BM146" s="192">
        <f t="shared" si="322"/>
        <v>0</v>
      </c>
      <c r="BN146" s="192">
        <f t="shared" si="322"/>
        <v>0</v>
      </c>
      <c r="BO146" s="192">
        <f t="shared" si="322"/>
        <v>0</v>
      </c>
      <c r="BP146" s="192">
        <f t="shared" si="322"/>
        <v>0</v>
      </c>
      <c r="BQ146" s="192">
        <f t="shared" ref="BQ146:EB146" si="323">+BP144*($B$139/12)</f>
        <v>0</v>
      </c>
      <c r="BR146" s="192">
        <f t="shared" si="323"/>
        <v>0</v>
      </c>
      <c r="BS146" s="192">
        <f t="shared" si="323"/>
        <v>0</v>
      </c>
      <c r="BT146" s="192">
        <f t="shared" si="323"/>
        <v>0</v>
      </c>
      <c r="BU146" s="192">
        <f t="shared" si="323"/>
        <v>0</v>
      </c>
      <c r="BV146" s="192">
        <f t="shared" si="323"/>
        <v>0</v>
      </c>
      <c r="BW146" s="192">
        <f t="shared" si="323"/>
        <v>0</v>
      </c>
      <c r="BX146" s="192">
        <f t="shared" si="323"/>
        <v>0</v>
      </c>
      <c r="BY146" s="192">
        <f t="shared" si="323"/>
        <v>0</v>
      </c>
      <c r="BZ146" s="192">
        <f t="shared" si="323"/>
        <v>0</v>
      </c>
      <c r="CA146" s="192">
        <f t="shared" si="323"/>
        <v>0</v>
      </c>
      <c r="CB146" s="192">
        <f t="shared" si="323"/>
        <v>0</v>
      </c>
      <c r="CC146" s="192">
        <f t="shared" si="323"/>
        <v>0</v>
      </c>
      <c r="CD146" s="192">
        <f t="shared" si="323"/>
        <v>0</v>
      </c>
      <c r="CE146" s="192">
        <f t="shared" si="323"/>
        <v>0</v>
      </c>
      <c r="CF146" s="192">
        <f t="shared" si="323"/>
        <v>0</v>
      </c>
      <c r="CG146" s="192">
        <f t="shared" si="323"/>
        <v>0</v>
      </c>
      <c r="CH146" s="192">
        <f t="shared" si="323"/>
        <v>0</v>
      </c>
      <c r="CI146" s="192">
        <f t="shared" si="323"/>
        <v>0</v>
      </c>
      <c r="CJ146" s="192">
        <f t="shared" si="323"/>
        <v>0</v>
      </c>
      <c r="CK146" s="192">
        <f t="shared" si="323"/>
        <v>0</v>
      </c>
      <c r="CL146" s="192">
        <f t="shared" si="323"/>
        <v>0</v>
      </c>
      <c r="CM146" s="192">
        <f t="shared" si="323"/>
        <v>0</v>
      </c>
      <c r="CN146" s="192">
        <f t="shared" si="323"/>
        <v>0</v>
      </c>
      <c r="CO146" s="192">
        <f t="shared" si="323"/>
        <v>0</v>
      </c>
      <c r="CP146" s="192">
        <f t="shared" si="323"/>
        <v>0</v>
      </c>
      <c r="CQ146" s="192">
        <f t="shared" si="323"/>
        <v>0</v>
      </c>
      <c r="CR146" s="192">
        <f t="shared" si="323"/>
        <v>0</v>
      </c>
      <c r="CS146" s="192">
        <f t="shared" si="323"/>
        <v>0</v>
      </c>
      <c r="CT146" s="192">
        <f t="shared" si="323"/>
        <v>0</v>
      </c>
      <c r="CU146" s="192">
        <f t="shared" si="323"/>
        <v>0</v>
      </c>
      <c r="CV146" s="192">
        <f t="shared" si="323"/>
        <v>0</v>
      </c>
      <c r="CW146" s="192">
        <f t="shared" si="323"/>
        <v>0</v>
      </c>
      <c r="CX146" s="192">
        <f t="shared" si="323"/>
        <v>0</v>
      </c>
      <c r="CY146" s="192">
        <f t="shared" si="323"/>
        <v>0</v>
      </c>
      <c r="CZ146" s="192">
        <f t="shared" si="323"/>
        <v>0</v>
      </c>
      <c r="DA146" s="192">
        <f t="shared" si="323"/>
        <v>0</v>
      </c>
      <c r="DB146" s="192">
        <f t="shared" si="323"/>
        <v>0</v>
      </c>
      <c r="DC146" s="192">
        <f t="shared" si="323"/>
        <v>0</v>
      </c>
      <c r="DD146" s="192">
        <f t="shared" si="323"/>
        <v>0</v>
      </c>
      <c r="DE146" s="192">
        <f t="shared" si="323"/>
        <v>0</v>
      </c>
      <c r="DF146" s="192">
        <f t="shared" si="323"/>
        <v>0</v>
      </c>
      <c r="DG146" s="192">
        <f t="shared" si="323"/>
        <v>0</v>
      </c>
      <c r="DH146" s="192">
        <f t="shared" si="323"/>
        <v>0</v>
      </c>
      <c r="DI146" s="192">
        <f t="shared" si="323"/>
        <v>0</v>
      </c>
      <c r="DJ146" s="192">
        <f t="shared" si="323"/>
        <v>0</v>
      </c>
      <c r="DK146" s="192">
        <f t="shared" si="323"/>
        <v>0</v>
      </c>
      <c r="DL146" s="192">
        <f t="shared" si="323"/>
        <v>0</v>
      </c>
      <c r="DM146" s="192">
        <f t="shared" si="323"/>
        <v>2866.9049254418578</v>
      </c>
      <c r="DN146" s="192">
        <f t="shared" si="323"/>
        <v>2400.8942122959024</v>
      </c>
      <c r="DO146" s="192">
        <f t="shared" ref="DO146" si="324">+DN144*($B$139/12)</f>
        <v>1930.2233920184879</v>
      </c>
      <c r="DP146" s="192">
        <f t="shared" ref="DP146" si="325">+DO144*($B$139/12)</f>
        <v>1454.845863538299</v>
      </c>
      <c r="DQ146" s="192">
        <f t="shared" ref="DQ146" si="326">+DP144*($B$139/12)</f>
        <v>974.71455977330811</v>
      </c>
      <c r="DR146" s="192">
        <f t="shared" ref="DR146" si="327">+DQ144*($B$139/12)</f>
        <v>489.7819429706675</v>
      </c>
      <c r="DS146" s="192">
        <f t="shared" si="323"/>
        <v>4.3655745685100554E-13</v>
      </c>
      <c r="DT146" s="192">
        <f t="shared" si="323"/>
        <v>4.4092303141951557E-13</v>
      </c>
      <c r="DU146" s="192">
        <f t="shared" si="323"/>
        <v>4.4533226173371074E-13</v>
      </c>
      <c r="DV146" s="192">
        <f t="shared" si="323"/>
        <v>4.4978558435104788E-13</v>
      </c>
      <c r="DW146" s="192">
        <f t="shared" si="323"/>
        <v>4.5428344019455839E-13</v>
      </c>
      <c r="DX146" s="192">
        <f t="shared" si="323"/>
        <v>4.5882627459650393E-13</v>
      </c>
      <c r="DY146" s="192">
        <f t="shared" si="323"/>
        <v>4.6341453734246898E-13</v>
      </c>
      <c r="DZ146" s="192">
        <f t="shared" si="323"/>
        <v>4.6804868271589365E-13</v>
      </c>
      <c r="EA146" s="192">
        <f t="shared" si="323"/>
        <v>4.7272916954305262E-13</v>
      </c>
      <c r="EB146" s="192">
        <f t="shared" si="323"/>
        <v>4.7745646123848317E-13</v>
      </c>
      <c r="EC146" s="192">
        <f t="shared" ref="EC146:FZ146" si="328">+EB144*($B$139/12)</f>
        <v>4.8223102585086799E-13</v>
      </c>
      <c r="ED146" s="192">
        <f t="shared" si="328"/>
        <v>4.8705333610937665E-13</v>
      </c>
      <c r="EE146" s="192">
        <f t="shared" si="328"/>
        <v>4.9192386947047048E-13</v>
      </c>
      <c r="EF146" s="192">
        <f t="shared" si="328"/>
        <v>4.9684310816517516E-13</v>
      </c>
      <c r="EG146" s="192">
        <f t="shared" si="328"/>
        <v>5.0181153924682687E-13</v>
      </c>
      <c r="EH146" s="192">
        <f t="shared" si="328"/>
        <v>5.0682965463929515E-13</v>
      </c>
      <c r="EI146" s="192">
        <f t="shared" si="328"/>
        <v>5.1189795118568808E-13</v>
      </c>
      <c r="EJ146" s="192">
        <f t="shared" si="328"/>
        <v>5.1701693069754503E-13</v>
      </c>
      <c r="EK146" s="192">
        <f t="shared" si="328"/>
        <v>5.2218710000452047E-13</v>
      </c>
      <c r="EL146" s="192">
        <f t="shared" si="328"/>
        <v>5.2740897100456566E-13</v>
      </c>
      <c r="EM146" s="192">
        <f t="shared" si="328"/>
        <v>5.3268306071461139E-13</v>
      </c>
      <c r="EN146" s="192">
        <f t="shared" si="328"/>
        <v>5.3800989132175748E-13</v>
      </c>
      <c r="EO146" s="192">
        <f t="shared" si="328"/>
        <v>5.4338999023497502E-13</v>
      </c>
      <c r="EP146" s="192">
        <f t="shared" si="328"/>
        <v>5.4882389013732473E-13</v>
      </c>
      <c r="EQ146" s="192">
        <f t="shared" si="328"/>
        <v>5.5431212903869803E-13</v>
      </c>
      <c r="ER146" s="192">
        <f t="shared" si="328"/>
        <v>5.5985525032908499E-13</v>
      </c>
      <c r="ES146" s="192">
        <f t="shared" si="328"/>
        <v>5.6545380283237582E-13</v>
      </c>
      <c r="ET146" s="192">
        <f t="shared" si="328"/>
        <v>5.7110834086069955E-13</v>
      </c>
      <c r="EU146" s="192">
        <f t="shared" si="328"/>
        <v>5.7681942426930652E-13</v>
      </c>
      <c r="EV146" s="192">
        <f t="shared" si="328"/>
        <v>5.8258761851199966E-13</v>
      </c>
      <c r="EW146" s="192">
        <f t="shared" si="328"/>
        <v>5.8841349469711959E-13</v>
      </c>
      <c r="EX146" s="192">
        <f t="shared" si="328"/>
        <v>5.9429762964409089E-13</v>
      </c>
      <c r="EY146" s="192">
        <f t="shared" si="328"/>
        <v>6.0024060594053178E-13</v>
      </c>
      <c r="EZ146" s="192">
        <f t="shared" si="328"/>
        <v>6.0624301199993718E-13</v>
      </c>
      <c r="FA146" s="192">
        <f t="shared" si="328"/>
        <v>6.1230544211993654E-13</v>
      </c>
      <c r="FB146" s="192">
        <f t="shared" si="328"/>
        <v>6.1842849654113595E-13</v>
      </c>
      <c r="FC146" s="192">
        <f t="shared" si="328"/>
        <v>6.2461278150654725E-13</v>
      </c>
      <c r="FD146" s="192">
        <f t="shared" si="328"/>
        <v>6.308589093216128E-13</v>
      </c>
      <c r="FE146" s="192">
        <f t="shared" si="328"/>
        <v>6.3716749841482899E-13</v>
      </c>
      <c r="FF146" s="192">
        <f t="shared" si="328"/>
        <v>6.4353917339897721E-13</v>
      </c>
      <c r="FG146" s="192">
        <f t="shared" si="328"/>
        <v>6.499745651329671E-13</v>
      </c>
      <c r="FH146" s="192">
        <f t="shared" si="328"/>
        <v>6.5647431078429674E-13</v>
      </c>
      <c r="FI146" s="192">
        <f t="shared" si="328"/>
        <v>6.6303905389213977E-13</v>
      </c>
      <c r="FJ146" s="192">
        <f t="shared" si="328"/>
        <v>6.6966944443106115E-13</v>
      </c>
      <c r="FK146" s="192">
        <f t="shared" si="328"/>
        <v>6.7636613887537171E-13</v>
      </c>
      <c r="FL146" s="192">
        <f t="shared" si="328"/>
        <v>6.831298002641253E-13</v>
      </c>
      <c r="FM146" s="192">
        <f t="shared" si="328"/>
        <v>6.8996109826676657E-13</v>
      </c>
      <c r="FN146" s="192">
        <f t="shared" si="328"/>
        <v>6.9686070924943427E-13</v>
      </c>
      <c r="FO146" s="192">
        <f t="shared" si="328"/>
        <v>7.0382931634192865E-13</v>
      </c>
      <c r="FP146" s="192">
        <f t="shared" si="328"/>
        <v>7.108676095053479E-13</v>
      </c>
      <c r="FQ146" s="192">
        <f t="shared" si="328"/>
        <v>7.1797628560040145E-13</v>
      </c>
      <c r="FR146" s="192">
        <f t="shared" si="328"/>
        <v>7.251560484564054E-13</v>
      </c>
      <c r="FS146" s="192">
        <f t="shared" si="328"/>
        <v>7.3240760894096953E-13</v>
      </c>
      <c r="FT146" s="192">
        <f t="shared" si="328"/>
        <v>7.3973168503037916E-13</v>
      </c>
      <c r="FU146" s="192">
        <f t="shared" si="328"/>
        <v>7.4712900188068307E-13</v>
      </c>
      <c r="FV146" s="192">
        <f t="shared" si="328"/>
        <v>7.5460029189948994E-13</v>
      </c>
      <c r="FW146" s="192">
        <f t="shared" si="328"/>
        <v>7.6214629481848483E-13</v>
      </c>
      <c r="FX146" s="192">
        <f t="shared" si="328"/>
        <v>7.6976775776666966E-13</v>
      </c>
      <c r="FY146" s="192">
        <f t="shared" si="328"/>
        <v>7.7746543534433633E-13</v>
      </c>
      <c r="FZ146" s="192">
        <f t="shared" si="328"/>
        <v>7.8524008969777975E-13</v>
      </c>
    </row>
    <row r="147" spans="1:182" outlineLevel="1" x14ac:dyDescent="0.2">
      <c r="A147" s="24" t="s">
        <v>234</v>
      </c>
      <c r="B147" s="192">
        <f>SUM(C147:DR147)</f>
        <v>286690.49254418566</v>
      </c>
      <c r="C147" s="192">
        <f t="shared" ref="C147:AH147" si="329">+C145-C146</f>
        <v>0</v>
      </c>
      <c r="D147" s="192">
        <f t="shared" si="329"/>
        <v>0</v>
      </c>
      <c r="E147" s="192">
        <f t="shared" si="329"/>
        <v>0</v>
      </c>
      <c r="F147" s="192">
        <f t="shared" si="329"/>
        <v>0</v>
      </c>
      <c r="G147" s="192">
        <f t="shared" si="329"/>
        <v>0</v>
      </c>
      <c r="H147" s="192">
        <f t="shared" si="329"/>
        <v>0</v>
      </c>
      <c r="I147" s="192">
        <f t="shared" si="329"/>
        <v>0</v>
      </c>
      <c r="J147" s="192">
        <f t="shared" si="329"/>
        <v>0</v>
      </c>
      <c r="K147" s="192">
        <f t="shared" si="329"/>
        <v>0</v>
      </c>
      <c r="L147" s="192">
        <f t="shared" si="329"/>
        <v>0</v>
      </c>
      <c r="M147" s="192">
        <f t="shared" si="329"/>
        <v>0</v>
      </c>
      <c r="N147" s="192">
        <f t="shared" si="329"/>
        <v>0</v>
      </c>
      <c r="O147" s="192">
        <f t="shared" si="329"/>
        <v>0</v>
      </c>
      <c r="P147" s="192">
        <f t="shared" si="329"/>
        <v>0</v>
      </c>
      <c r="Q147" s="192">
        <f t="shared" si="329"/>
        <v>0</v>
      </c>
      <c r="R147" s="192">
        <f t="shared" si="329"/>
        <v>0</v>
      </c>
      <c r="S147" s="192">
        <f t="shared" si="329"/>
        <v>0</v>
      </c>
      <c r="T147" s="192">
        <f t="shared" si="329"/>
        <v>0</v>
      </c>
      <c r="U147" s="192">
        <f t="shared" si="329"/>
        <v>0</v>
      </c>
      <c r="V147" s="192">
        <f t="shared" si="329"/>
        <v>0</v>
      </c>
      <c r="W147" s="192">
        <f t="shared" si="329"/>
        <v>0</v>
      </c>
      <c r="X147" s="192">
        <f t="shared" si="329"/>
        <v>0</v>
      </c>
      <c r="Y147" s="192">
        <f t="shared" si="329"/>
        <v>0</v>
      </c>
      <c r="Z147" s="192">
        <f t="shared" si="329"/>
        <v>0</v>
      </c>
      <c r="AA147" s="192">
        <f t="shared" si="329"/>
        <v>0</v>
      </c>
      <c r="AB147" s="192">
        <f t="shared" si="329"/>
        <v>0</v>
      </c>
      <c r="AC147" s="192">
        <f t="shared" si="329"/>
        <v>0</v>
      </c>
      <c r="AD147" s="192">
        <f t="shared" si="329"/>
        <v>0</v>
      </c>
      <c r="AE147" s="192">
        <f t="shared" si="329"/>
        <v>0</v>
      </c>
      <c r="AF147" s="192">
        <f t="shared" si="329"/>
        <v>0</v>
      </c>
      <c r="AG147" s="192">
        <f t="shared" si="329"/>
        <v>0</v>
      </c>
      <c r="AH147" s="192">
        <f t="shared" si="329"/>
        <v>0</v>
      </c>
      <c r="AI147" s="192">
        <f t="shared" ref="AI147:BN147" si="330">+AI145-AI146</f>
        <v>0</v>
      </c>
      <c r="AJ147" s="192">
        <f t="shared" si="330"/>
        <v>0</v>
      </c>
      <c r="AK147" s="192">
        <f t="shared" si="330"/>
        <v>0</v>
      </c>
      <c r="AL147" s="192">
        <f t="shared" si="330"/>
        <v>0</v>
      </c>
      <c r="AM147" s="192">
        <f t="shared" si="330"/>
        <v>0</v>
      </c>
      <c r="AN147" s="192">
        <f t="shared" si="330"/>
        <v>0</v>
      </c>
      <c r="AO147" s="192">
        <f t="shared" si="330"/>
        <v>0</v>
      </c>
      <c r="AP147" s="192">
        <f t="shared" si="330"/>
        <v>0</v>
      </c>
      <c r="AQ147" s="192">
        <f t="shared" si="330"/>
        <v>0</v>
      </c>
      <c r="AR147" s="192">
        <f t="shared" si="330"/>
        <v>0</v>
      </c>
      <c r="AS147" s="192">
        <f t="shared" si="330"/>
        <v>0</v>
      </c>
      <c r="AT147" s="192">
        <f t="shared" si="330"/>
        <v>0</v>
      </c>
      <c r="AU147" s="192">
        <f t="shared" si="330"/>
        <v>0</v>
      </c>
      <c r="AV147" s="192">
        <f t="shared" si="330"/>
        <v>0</v>
      </c>
      <c r="AW147" s="192">
        <f t="shared" si="330"/>
        <v>0</v>
      </c>
      <c r="AX147" s="192">
        <f t="shared" si="330"/>
        <v>0</v>
      </c>
      <c r="AY147" s="192">
        <f t="shared" si="330"/>
        <v>0</v>
      </c>
      <c r="AZ147" s="192">
        <f t="shared" si="330"/>
        <v>0</v>
      </c>
      <c r="BA147" s="192">
        <f t="shared" si="330"/>
        <v>0</v>
      </c>
      <c r="BB147" s="192">
        <f t="shared" si="330"/>
        <v>0</v>
      </c>
      <c r="BC147" s="192">
        <f t="shared" si="330"/>
        <v>0</v>
      </c>
      <c r="BD147" s="192">
        <f t="shared" si="330"/>
        <v>0</v>
      </c>
      <c r="BE147" s="192">
        <f t="shared" si="330"/>
        <v>0</v>
      </c>
      <c r="BF147" s="192">
        <f t="shared" si="330"/>
        <v>0</v>
      </c>
      <c r="BG147" s="192">
        <f t="shared" si="330"/>
        <v>0</v>
      </c>
      <c r="BH147" s="192">
        <f t="shared" si="330"/>
        <v>0</v>
      </c>
      <c r="BI147" s="192">
        <f t="shared" si="330"/>
        <v>0</v>
      </c>
      <c r="BJ147" s="192">
        <f t="shared" si="330"/>
        <v>0</v>
      </c>
      <c r="BK147" s="192">
        <f t="shared" si="330"/>
        <v>0</v>
      </c>
      <c r="BL147" s="192">
        <f t="shared" si="330"/>
        <v>0</v>
      </c>
      <c r="BM147" s="192">
        <f t="shared" si="330"/>
        <v>0</v>
      </c>
      <c r="BN147" s="192">
        <f t="shared" si="330"/>
        <v>0</v>
      </c>
      <c r="BO147" s="192">
        <f t="shared" ref="BO147:CT147" si="331">+BO145-BO146</f>
        <v>0</v>
      </c>
      <c r="BP147" s="192">
        <f t="shared" si="331"/>
        <v>0</v>
      </c>
      <c r="BQ147" s="192">
        <f t="shared" si="331"/>
        <v>0</v>
      </c>
      <c r="BR147" s="192">
        <f t="shared" si="331"/>
        <v>0</v>
      </c>
      <c r="BS147" s="192">
        <f t="shared" si="331"/>
        <v>0</v>
      </c>
      <c r="BT147" s="192">
        <f t="shared" si="331"/>
        <v>0</v>
      </c>
      <c r="BU147" s="192">
        <f t="shared" si="331"/>
        <v>0</v>
      </c>
      <c r="BV147" s="192">
        <f t="shared" si="331"/>
        <v>0</v>
      </c>
      <c r="BW147" s="192">
        <f t="shared" si="331"/>
        <v>0</v>
      </c>
      <c r="BX147" s="192">
        <f t="shared" si="331"/>
        <v>0</v>
      </c>
      <c r="BY147" s="192">
        <f t="shared" si="331"/>
        <v>0</v>
      </c>
      <c r="BZ147" s="192">
        <f t="shared" si="331"/>
        <v>0</v>
      </c>
      <c r="CA147" s="192">
        <f t="shared" si="331"/>
        <v>0</v>
      </c>
      <c r="CB147" s="192">
        <f t="shared" si="331"/>
        <v>0</v>
      </c>
      <c r="CC147" s="192">
        <f t="shared" si="331"/>
        <v>0</v>
      </c>
      <c r="CD147" s="192">
        <f t="shared" si="331"/>
        <v>0</v>
      </c>
      <c r="CE147" s="192">
        <f t="shared" si="331"/>
        <v>0</v>
      </c>
      <c r="CF147" s="192">
        <f t="shared" si="331"/>
        <v>0</v>
      </c>
      <c r="CG147" s="192">
        <f t="shared" si="331"/>
        <v>0</v>
      </c>
      <c r="CH147" s="192">
        <f t="shared" si="331"/>
        <v>0</v>
      </c>
      <c r="CI147" s="192">
        <f t="shared" si="331"/>
        <v>0</v>
      </c>
      <c r="CJ147" s="192">
        <f t="shared" si="331"/>
        <v>0</v>
      </c>
      <c r="CK147" s="192">
        <f t="shared" si="331"/>
        <v>0</v>
      </c>
      <c r="CL147" s="192">
        <f t="shared" si="331"/>
        <v>0</v>
      </c>
      <c r="CM147" s="192">
        <f t="shared" si="331"/>
        <v>0</v>
      </c>
      <c r="CN147" s="192">
        <f t="shared" si="331"/>
        <v>0</v>
      </c>
      <c r="CO147" s="192">
        <f t="shared" si="331"/>
        <v>0</v>
      </c>
      <c r="CP147" s="192">
        <f t="shared" si="331"/>
        <v>0</v>
      </c>
      <c r="CQ147" s="192">
        <f t="shared" si="331"/>
        <v>0</v>
      </c>
      <c r="CR147" s="192">
        <f t="shared" si="331"/>
        <v>0</v>
      </c>
      <c r="CS147" s="192">
        <f t="shared" si="331"/>
        <v>0</v>
      </c>
      <c r="CT147" s="192">
        <f t="shared" si="331"/>
        <v>0</v>
      </c>
      <c r="CU147" s="192">
        <f t="shared" ref="CU147:DZ147" si="332">+CU145-CU146</f>
        <v>0</v>
      </c>
      <c r="CV147" s="192">
        <f t="shared" si="332"/>
        <v>0</v>
      </c>
      <c r="CW147" s="192">
        <f t="shared" si="332"/>
        <v>0</v>
      </c>
      <c r="CX147" s="192">
        <f t="shared" si="332"/>
        <v>0</v>
      </c>
      <c r="CY147" s="192">
        <f t="shared" si="332"/>
        <v>0</v>
      </c>
      <c r="CZ147" s="192">
        <f t="shared" si="332"/>
        <v>0</v>
      </c>
      <c r="DA147" s="192">
        <f t="shared" si="332"/>
        <v>0</v>
      </c>
      <c r="DB147" s="192">
        <f t="shared" si="332"/>
        <v>0</v>
      </c>
      <c r="DC147" s="192">
        <f t="shared" si="332"/>
        <v>0</v>
      </c>
      <c r="DD147" s="192">
        <f t="shared" si="332"/>
        <v>0</v>
      </c>
      <c r="DE147" s="192">
        <f t="shared" si="332"/>
        <v>0</v>
      </c>
      <c r="DF147" s="192">
        <f t="shared" si="332"/>
        <v>0</v>
      </c>
      <c r="DG147" s="192">
        <f t="shared" si="332"/>
        <v>0</v>
      </c>
      <c r="DH147" s="192">
        <f t="shared" si="332"/>
        <v>0</v>
      </c>
      <c r="DI147" s="192">
        <f t="shared" si="332"/>
        <v>0</v>
      </c>
      <c r="DJ147" s="192">
        <f t="shared" si="332"/>
        <v>0</v>
      </c>
      <c r="DK147" s="192">
        <f t="shared" si="332"/>
        <v>0</v>
      </c>
      <c r="DL147" s="192">
        <f t="shared" si="332"/>
        <v>0</v>
      </c>
      <c r="DM147" s="192">
        <f t="shared" si="332"/>
        <v>46601.071314595516</v>
      </c>
      <c r="DN147" s="192">
        <f t="shared" si="332"/>
        <v>47067.082027741468</v>
      </c>
      <c r="DO147" s="192">
        <f t="shared" ref="DO147:DR147" si="333">+DO145-DO146</f>
        <v>47537.752848018885</v>
      </c>
      <c r="DP147" s="192">
        <f t="shared" si="333"/>
        <v>48013.130376499073</v>
      </c>
      <c r="DQ147" s="192">
        <f t="shared" si="333"/>
        <v>48493.261680264062</v>
      </c>
      <c r="DR147" s="192">
        <f t="shared" si="333"/>
        <v>48978.194297066708</v>
      </c>
      <c r="DS147" s="192">
        <f t="shared" si="332"/>
        <v>-4.3655745685100554E-13</v>
      </c>
      <c r="DT147" s="192">
        <f t="shared" si="332"/>
        <v>-4.4092303141951557E-13</v>
      </c>
      <c r="DU147" s="192">
        <f t="shared" si="332"/>
        <v>-4.4533226173371074E-13</v>
      </c>
      <c r="DV147" s="192">
        <f t="shared" si="332"/>
        <v>-4.4978558435104788E-13</v>
      </c>
      <c r="DW147" s="192">
        <f t="shared" si="332"/>
        <v>-4.5428344019455839E-13</v>
      </c>
      <c r="DX147" s="192">
        <f t="shared" si="332"/>
        <v>-4.5882627459650393E-13</v>
      </c>
      <c r="DY147" s="192">
        <f t="shared" si="332"/>
        <v>-4.6341453734246898E-13</v>
      </c>
      <c r="DZ147" s="192">
        <f t="shared" si="332"/>
        <v>-4.6804868271589365E-13</v>
      </c>
      <c r="EA147" s="192">
        <f t="shared" ref="EA147:FF147" si="334">+EA145-EA146</f>
        <v>-4.7272916954305262E-13</v>
      </c>
      <c r="EB147" s="192">
        <f t="shared" si="334"/>
        <v>-4.7745646123848317E-13</v>
      </c>
      <c r="EC147" s="192">
        <f t="shared" si="334"/>
        <v>-4.8223102585086799E-13</v>
      </c>
      <c r="ED147" s="192">
        <f t="shared" si="334"/>
        <v>-4.8705333610937665E-13</v>
      </c>
      <c r="EE147" s="192">
        <f t="shared" si="334"/>
        <v>-4.9192386947047048E-13</v>
      </c>
      <c r="EF147" s="192">
        <f t="shared" si="334"/>
        <v>-4.9684310816517516E-13</v>
      </c>
      <c r="EG147" s="192">
        <f t="shared" si="334"/>
        <v>-5.0181153924682687E-13</v>
      </c>
      <c r="EH147" s="192">
        <f t="shared" si="334"/>
        <v>-5.0682965463929515E-13</v>
      </c>
      <c r="EI147" s="192">
        <f t="shared" si="334"/>
        <v>-5.1189795118568808E-13</v>
      </c>
      <c r="EJ147" s="192">
        <f t="shared" si="334"/>
        <v>-5.1701693069754503E-13</v>
      </c>
      <c r="EK147" s="192">
        <f t="shared" si="334"/>
        <v>-5.2218710000452047E-13</v>
      </c>
      <c r="EL147" s="192">
        <f t="shared" si="334"/>
        <v>-5.2740897100456566E-13</v>
      </c>
      <c r="EM147" s="192">
        <f t="shared" si="334"/>
        <v>-5.3268306071461139E-13</v>
      </c>
      <c r="EN147" s="192">
        <f t="shared" si="334"/>
        <v>-5.3800989132175748E-13</v>
      </c>
      <c r="EO147" s="192">
        <f t="shared" si="334"/>
        <v>-5.4338999023497502E-13</v>
      </c>
      <c r="EP147" s="192">
        <f t="shared" si="334"/>
        <v>-5.4882389013732473E-13</v>
      </c>
      <c r="EQ147" s="192">
        <f t="shared" si="334"/>
        <v>-5.5431212903869803E-13</v>
      </c>
      <c r="ER147" s="192">
        <f t="shared" si="334"/>
        <v>-5.5985525032908499E-13</v>
      </c>
      <c r="ES147" s="192">
        <f t="shared" si="334"/>
        <v>-5.6545380283237582E-13</v>
      </c>
      <c r="ET147" s="192">
        <f t="shared" si="334"/>
        <v>-5.7110834086069955E-13</v>
      </c>
      <c r="EU147" s="192">
        <f t="shared" si="334"/>
        <v>-5.7681942426930652E-13</v>
      </c>
      <c r="EV147" s="192">
        <f t="shared" si="334"/>
        <v>-5.8258761851199966E-13</v>
      </c>
      <c r="EW147" s="192">
        <f t="shared" si="334"/>
        <v>-5.8841349469711959E-13</v>
      </c>
      <c r="EX147" s="192">
        <f t="shared" si="334"/>
        <v>-5.9429762964409089E-13</v>
      </c>
      <c r="EY147" s="192">
        <f t="shared" si="334"/>
        <v>-6.0024060594053178E-13</v>
      </c>
      <c r="EZ147" s="192">
        <f t="shared" si="334"/>
        <v>-6.0624301199993718E-13</v>
      </c>
      <c r="FA147" s="192">
        <f t="shared" si="334"/>
        <v>-6.1230544211993654E-13</v>
      </c>
      <c r="FB147" s="192">
        <f t="shared" si="334"/>
        <v>-6.1842849654113595E-13</v>
      </c>
      <c r="FC147" s="192">
        <f t="shared" si="334"/>
        <v>-6.2461278150654725E-13</v>
      </c>
      <c r="FD147" s="192">
        <f t="shared" si="334"/>
        <v>-6.308589093216128E-13</v>
      </c>
      <c r="FE147" s="192">
        <f t="shared" si="334"/>
        <v>-6.3716749841482899E-13</v>
      </c>
      <c r="FF147" s="192">
        <f t="shared" si="334"/>
        <v>-6.4353917339897721E-13</v>
      </c>
      <c r="FG147" s="192">
        <f t="shared" ref="FG147:FZ147" si="335">+FG145-FG146</f>
        <v>-6.499745651329671E-13</v>
      </c>
      <c r="FH147" s="192">
        <f t="shared" si="335"/>
        <v>-6.5647431078429674E-13</v>
      </c>
      <c r="FI147" s="192">
        <f t="shared" si="335"/>
        <v>-6.6303905389213977E-13</v>
      </c>
      <c r="FJ147" s="192">
        <f t="shared" si="335"/>
        <v>-6.6966944443106115E-13</v>
      </c>
      <c r="FK147" s="192">
        <f t="shared" si="335"/>
        <v>-6.7636613887537171E-13</v>
      </c>
      <c r="FL147" s="192">
        <f t="shared" si="335"/>
        <v>-6.831298002641253E-13</v>
      </c>
      <c r="FM147" s="192">
        <f t="shared" si="335"/>
        <v>-6.8996109826676657E-13</v>
      </c>
      <c r="FN147" s="192">
        <f t="shared" si="335"/>
        <v>-6.9686070924943427E-13</v>
      </c>
      <c r="FO147" s="192">
        <f t="shared" si="335"/>
        <v>-7.0382931634192865E-13</v>
      </c>
      <c r="FP147" s="192">
        <f t="shared" si="335"/>
        <v>-7.108676095053479E-13</v>
      </c>
      <c r="FQ147" s="192">
        <f t="shared" si="335"/>
        <v>-7.1797628560040145E-13</v>
      </c>
      <c r="FR147" s="192">
        <f t="shared" si="335"/>
        <v>-7.251560484564054E-13</v>
      </c>
      <c r="FS147" s="192">
        <f t="shared" si="335"/>
        <v>-7.3240760894096953E-13</v>
      </c>
      <c r="FT147" s="192">
        <f t="shared" si="335"/>
        <v>-7.3973168503037916E-13</v>
      </c>
      <c r="FU147" s="192">
        <f t="shared" si="335"/>
        <v>-7.4712900188068307E-13</v>
      </c>
      <c r="FV147" s="192">
        <f t="shared" si="335"/>
        <v>-7.5460029189948994E-13</v>
      </c>
      <c r="FW147" s="192">
        <f t="shared" si="335"/>
        <v>-7.6214629481848483E-13</v>
      </c>
      <c r="FX147" s="192">
        <f t="shared" si="335"/>
        <v>-7.6976775776666966E-13</v>
      </c>
      <c r="FY147" s="192">
        <f t="shared" si="335"/>
        <v>-7.7746543534433633E-13</v>
      </c>
      <c r="FZ147" s="192">
        <f t="shared" si="335"/>
        <v>-7.8524008969777975E-13</v>
      </c>
    </row>
    <row r="151" spans="1:182" x14ac:dyDescent="0.2">
      <c r="A151" s="145" t="s">
        <v>417</v>
      </c>
      <c r="C151" s="28" t="s">
        <v>0</v>
      </c>
      <c r="D151" s="28" t="s">
        <v>1</v>
      </c>
      <c r="E151" s="28" t="s">
        <v>2</v>
      </c>
      <c r="F151" s="28" t="s">
        <v>3</v>
      </c>
      <c r="G151" s="28" t="s">
        <v>4</v>
      </c>
      <c r="H151" s="28" t="s">
        <v>5</v>
      </c>
      <c r="I151" s="28" t="s">
        <v>6</v>
      </c>
      <c r="J151" s="28" t="s">
        <v>7</v>
      </c>
      <c r="K151" s="28" t="s">
        <v>8</v>
      </c>
      <c r="L151" s="28" t="s">
        <v>9</v>
      </c>
      <c r="M151" s="28" t="s">
        <v>91</v>
      </c>
      <c r="N151" s="28" t="s">
        <v>92</v>
      </c>
      <c r="O151" s="28" t="s">
        <v>93</v>
      </c>
      <c r="P151" s="28" t="s">
        <v>94</v>
      </c>
      <c r="Q151" s="28" t="s">
        <v>95</v>
      </c>
    </row>
    <row r="152" spans="1:182" x14ac:dyDescent="0.2">
      <c r="A152" s="26" t="s">
        <v>418</v>
      </c>
      <c r="C152" s="192" t="s">
        <v>183</v>
      </c>
      <c r="D152" s="192" t="s">
        <v>183</v>
      </c>
      <c r="E152" s="192"/>
    </row>
    <row r="153" spans="1:182" outlineLevel="1" x14ac:dyDescent="0.2">
      <c r="A153" s="24" t="s">
        <v>419</v>
      </c>
      <c r="B153" s="192">
        <f>SUM(C153:Q153)</f>
        <v>21878286.323552664</v>
      </c>
      <c r="C153" s="192">
        <f>SUM(C15:N15)</f>
        <v>2187828.6323552667</v>
      </c>
      <c r="D153" s="192">
        <f>SUM(O15:Z15)</f>
        <v>2187828.6323552667</v>
      </c>
      <c r="E153" s="192">
        <f>SUM(AA15:AL15)</f>
        <v>2187828.6323552667</v>
      </c>
      <c r="F153" s="192">
        <f>SUM(AM15:AX15)</f>
        <v>2187828.6323552667</v>
      </c>
      <c r="G153" s="192">
        <f>SUM(AY15:BJ15)</f>
        <v>2187828.6323552667</v>
      </c>
      <c r="H153" s="192">
        <f>SUM(BK15:BV15)</f>
        <v>2187828.6323552667</v>
      </c>
      <c r="I153" s="192">
        <f>SUM(BW15:CH15)</f>
        <v>2187828.6323552667</v>
      </c>
      <c r="J153" s="192">
        <f>SUM(CI15:CT15)</f>
        <v>2187828.6323552667</v>
      </c>
      <c r="K153" s="192">
        <f>SUM(CU15:DF15)</f>
        <v>2187828.6323552667</v>
      </c>
      <c r="L153" s="192">
        <f>SUM(DG15:DR15)</f>
        <v>2187828.6323552667</v>
      </c>
      <c r="M153" s="192">
        <f>SUM(DS15:ED15)</f>
        <v>0</v>
      </c>
      <c r="N153" s="192">
        <f>SUM(EE15:EP15)</f>
        <v>0</v>
      </c>
      <c r="O153" s="192">
        <f>SUM(EQ15:FB15)</f>
        <v>0</v>
      </c>
      <c r="P153" s="192">
        <f>SUM(FC15:FN15)</f>
        <v>0</v>
      </c>
      <c r="Q153" s="192">
        <f>SUM(FO15:FZ15)</f>
        <v>0</v>
      </c>
    </row>
    <row r="154" spans="1:182" outlineLevel="1" x14ac:dyDescent="0.2">
      <c r="A154" s="24" t="s">
        <v>0</v>
      </c>
      <c r="B154" s="192">
        <f>SUM(C154:Q154)</f>
        <v>321219.11251802521</v>
      </c>
      <c r="C154" s="192">
        <f>SUM(C28:N28)</f>
        <v>0</v>
      </c>
      <c r="D154" s="192">
        <f>SUM(O28:Z28)</f>
        <v>35691.012502002799</v>
      </c>
      <c r="E154" s="192">
        <f>SUM(AA28:AL28)</f>
        <v>35691.012502002799</v>
      </c>
      <c r="F154" s="192">
        <f>SUM(AM28:AX28)</f>
        <v>35691.012502002799</v>
      </c>
      <c r="G154" s="192">
        <f>SUM(AY28:BJ28)</f>
        <v>35691.012502002799</v>
      </c>
      <c r="H154" s="192">
        <f>SUM(BK28:BV28)</f>
        <v>35691.012502002799</v>
      </c>
      <c r="I154" s="192">
        <f>SUM(BW28:CH28)</f>
        <v>35691.012502002799</v>
      </c>
      <c r="J154" s="192">
        <f>SUM(CI28:CT28)</f>
        <v>35691.012502002799</v>
      </c>
      <c r="K154" s="192">
        <f>SUM(CU28:DF28)</f>
        <v>35691.012502002799</v>
      </c>
      <c r="L154" s="192">
        <f>SUM(DG28:DR28)</f>
        <v>35691.012502002799</v>
      </c>
      <c r="M154" s="192">
        <f>SUM(DS28:ED28)</f>
        <v>0</v>
      </c>
      <c r="N154" s="192">
        <f>SUM(EE28:EP28)</f>
        <v>0</v>
      </c>
      <c r="O154" s="192">
        <f>SUM(EQ28:FB28)</f>
        <v>0</v>
      </c>
      <c r="P154" s="192">
        <f>SUM(FC28:FN28)</f>
        <v>0</v>
      </c>
      <c r="Q154" s="192">
        <f>SUM(FO28:FZ28)</f>
        <v>0</v>
      </c>
    </row>
    <row r="155" spans="1:182" outlineLevel="1" x14ac:dyDescent="0.2">
      <c r="A155" s="24" t="s">
        <v>1</v>
      </c>
      <c r="B155" s="192">
        <f t="shared" ref="B155:B163" si="336">SUM(C155:Q155)</f>
        <v>364655.56966008968</v>
      </c>
      <c r="C155" s="192">
        <f>SUM(C41:N41)</f>
        <v>0</v>
      </c>
      <c r="D155" s="192">
        <f>SUM(O41:Z41)</f>
        <v>0</v>
      </c>
      <c r="E155" s="192">
        <f>SUM(AA41:AL41)</f>
        <v>45581.94620751121</v>
      </c>
      <c r="F155" s="192">
        <f>SUM(AM41:AX41)</f>
        <v>45581.94620751121</v>
      </c>
      <c r="G155" s="192">
        <f>SUM(AY41:BJ41)</f>
        <v>45581.94620751121</v>
      </c>
      <c r="H155" s="192">
        <f>SUM(BK41:BV41)</f>
        <v>45581.94620751121</v>
      </c>
      <c r="I155" s="192">
        <f>SUM(BW41:CH41)</f>
        <v>45581.94620751121</v>
      </c>
      <c r="J155" s="192">
        <f>SUM(CI41:CT41)</f>
        <v>45581.94620751121</v>
      </c>
      <c r="K155" s="192">
        <f>SUM(CU41:DF41)</f>
        <v>45581.94620751121</v>
      </c>
      <c r="L155" s="192">
        <f>SUM(DG41:DR41)</f>
        <v>45581.94620751121</v>
      </c>
      <c r="M155" s="192">
        <f>SUM(DS41:ED41)</f>
        <v>0</v>
      </c>
      <c r="N155" s="192">
        <f>SUM(EE41:EP41)</f>
        <v>0</v>
      </c>
      <c r="O155" s="192">
        <f>SUM(EQ41:FB41)</f>
        <v>0</v>
      </c>
      <c r="P155" s="192">
        <f>SUM(FC41:FN41)</f>
        <v>0</v>
      </c>
      <c r="Q155" s="192">
        <f>SUM(FO41:FZ41)</f>
        <v>0</v>
      </c>
    </row>
    <row r="156" spans="1:182" outlineLevel="1" x14ac:dyDescent="0.2">
      <c r="A156" s="24" t="s">
        <v>2</v>
      </c>
      <c r="B156" s="192">
        <f t="shared" si="336"/>
        <v>323051.04426899564</v>
      </c>
      <c r="C156" s="192">
        <f>SUM(C54:N54)</f>
        <v>0</v>
      </c>
      <c r="D156" s="192">
        <f>SUM(O54:Z54)</f>
        <v>0</v>
      </c>
      <c r="E156" s="192">
        <f>SUM(AA54:AL54)</f>
        <v>0</v>
      </c>
      <c r="F156" s="192">
        <f>SUM(AM54:AX54)</f>
        <v>46150.149181285087</v>
      </c>
      <c r="G156" s="192">
        <f>SUM(AY54:BJ54)</f>
        <v>46150.149181285087</v>
      </c>
      <c r="H156" s="192">
        <f>SUM(BK54:BV54)</f>
        <v>46150.149181285087</v>
      </c>
      <c r="I156" s="192">
        <f>SUM(BW54:CH54)</f>
        <v>46150.149181285087</v>
      </c>
      <c r="J156" s="192">
        <f>SUM(CI54:CT54)</f>
        <v>46150.149181285087</v>
      </c>
      <c r="K156" s="192">
        <f>SUM(CU54:DF54)</f>
        <v>46150.149181285087</v>
      </c>
      <c r="L156" s="192">
        <f>SUM(DG54:DR54)</f>
        <v>46150.149181285087</v>
      </c>
      <c r="M156" s="192">
        <f>SUM(DS54:ED54)</f>
        <v>0</v>
      </c>
      <c r="N156" s="192">
        <f>SUM(EE54:EP54)</f>
        <v>0</v>
      </c>
      <c r="O156" s="192">
        <f>SUM(EQ54:FB54)</f>
        <v>0</v>
      </c>
      <c r="P156" s="192">
        <f>SUM(FC54:FN54)</f>
        <v>0</v>
      </c>
      <c r="Q156" s="192">
        <f>SUM(FO54:FZ54)</f>
        <v>0</v>
      </c>
    </row>
    <row r="157" spans="1:182" outlineLevel="1" x14ac:dyDescent="0.2">
      <c r="A157" s="24" t="s">
        <v>3</v>
      </c>
      <c r="B157" s="192">
        <f t="shared" si="336"/>
        <v>318931.04030855995</v>
      </c>
      <c r="C157" s="192">
        <f>SUM(C67:N67)</f>
        <v>0</v>
      </c>
      <c r="D157" s="192">
        <f>SUM(O67:Z67)</f>
        <v>0</v>
      </c>
      <c r="E157" s="192">
        <f>SUM(AA67:AL67)</f>
        <v>0</v>
      </c>
      <c r="F157" s="192">
        <f>SUM(AM67:AX67)</f>
        <v>0</v>
      </c>
      <c r="G157" s="192">
        <f>SUM(AY67:BJ67)</f>
        <v>53155.17338475999</v>
      </c>
      <c r="H157" s="192">
        <f>SUM(BK67:BV67)</f>
        <v>53155.17338475999</v>
      </c>
      <c r="I157" s="192">
        <f>SUM(BW67:CH67)</f>
        <v>53155.17338475999</v>
      </c>
      <c r="J157" s="192">
        <f>SUM(CI67:CT67)</f>
        <v>53155.17338475999</v>
      </c>
      <c r="K157" s="192">
        <f>SUM(CU67:DF67)</f>
        <v>53155.17338475999</v>
      </c>
      <c r="L157" s="192">
        <f>SUM(DG67:DR67)</f>
        <v>53155.17338475999</v>
      </c>
      <c r="M157" s="192">
        <f>SUM(DS67:ED67)</f>
        <v>0</v>
      </c>
      <c r="N157" s="192">
        <f>SUM(EE67:EP67)</f>
        <v>0</v>
      </c>
      <c r="O157" s="192">
        <f>SUM(EQ67:FB67)</f>
        <v>0</v>
      </c>
      <c r="P157" s="192">
        <f>SUM(FC67:FN67)</f>
        <v>0</v>
      </c>
      <c r="Q157" s="192">
        <f>SUM(FO67:FZ67)</f>
        <v>0</v>
      </c>
    </row>
    <row r="158" spans="1:182" outlineLevel="1" x14ac:dyDescent="0.2">
      <c r="A158" s="24" t="s">
        <v>4</v>
      </c>
      <c r="B158" s="192">
        <f t="shared" si="336"/>
        <v>314499.14682706434</v>
      </c>
      <c r="C158" s="192">
        <f>SUM(C80:N80)</f>
        <v>0</v>
      </c>
      <c r="D158" s="192">
        <f>SUM(O80:Z80)</f>
        <v>0</v>
      </c>
      <c r="E158" s="192">
        <f>SUM(AA80:AL80)</f>
        <v>0</v>
      </c>
      <c r="F158" s="192">
        <f>SUM(AM80:AX80)</f>
        <v>0</v>
      </c>
      <c r="G158" s="192">
        <f>SUM(AY80:BJ80)</f>
        <v>0</v>
      </c>
      <c r="H158" s="192">
        <f>SUM(BK80:BV80)</f>
        <v>62899.829365412872</v>
      </c>
      <c r="I158" s="192">
        <f>SUM(BW80:CH80)</f>
        <v>62899.829365412872</v>
      </c>
      <c r="J158" s="192">
        <f>SUM(CI80:CT80)</f>
        <v>62899.829365412872</v>
      </c>
      <c r="K158" s="192">
        <f>SUM(CU80:DF80)</f>
        <v>62899.829365412872</v>
      </c>
      <c r="L158" s="192">
        <f>SUM(DG80:DR80)</f>
        <v>62899.829365412872</v>
      </c>
      <c r="M158" s="192">
        <f>SUM(DS80:ED80)</f>
        <v>0</v>
      </c>
      <c r="N158" s="192">
        <f>SUM(EE80:EP80)</f>
        <v>0</v>
      </c>
      <c r="O158" s="192">
        <f>SUM(EQ80:FB80)</f>
        <v>0</v>
      </c>
      <c r="P158" s="192">
        <f>SUM(FC80:FN80)</f>
        <v>0</v>
      </c>
      <c r="Q158" s="192">
        <f>SUM(FO80:FZ80)</f>
        <v>0</v>
      </c>
    </row>
    <row r="159" spans="1:182" outlineLevel="1" x14ac:dyDescent="0.2">
      <c r="A159" s="24" t="s">
        <v>5</v>
      </c>
      <c r="B159" s="192">
        <f t="shared" si="336"/>
        <v>309767.09870527522</v>
      </c>
      <c r="C159" s="192">
        <f>SUM(C93:N93)</f>
        <v>0</v>
      </c>
      <c r="D159" s="192">
        <f>SUM(O93:Z93)</f>
        <v>0</v>
      </c>
      <c r="E159" s="192">
        <f>SUM(AA93:AL93)</f>
        <v>0</v>
      </c>
      <c r="F159" s="192">
        <f>SUM(AM93:AX93)</f>
        <v>0</v>
      </c>
      <c r="G159" s="192">
        <f>SUM(AY93:BJ93)</f>
        <v>0</v>
      </c>
      <c r="H159" s="192">
        <f>SUM(BK93:BV93)</f>
        <v>0</v>
      </c>
      <c r="I159" s="192">
        <f>SUM(BW93:CH93)</f>
        <v>77441.774676318804</v>
      </c>
      <c r="J159" s="192">
        <f>SUM(CI93:CT93)</f>
        <v>77441.774676318804</v>
      </c>
      <c r="K159" s="192">
        <f>SUM(CU93:DF93)</f>
        <v>77441.774676318804</v>
      </c>
      <c r="L159" s="192">
        <f>SUM(DG93:DR93)</f>
        <v>77441.774676318804</v>
      </c>
      <c r="M159" s="192">
        <f>SUM(DS93:ED93)</f>
        <v>0</v>
      </c>
      <c r="N159" s="192">
        <f>SUM(EE93:EP93)</f>
        <v>0</v>
      </c>
      <c r="O159" s="192">
        <f>SUM(EQ93:FB93)</f>
        <v>0</v>
      </c>
      <c r="P159" s="192">
        <f>SUM(FC93:FN93)</f>
        <v>0</v>
      </c>
      <c r="Q159" s="192">
        <f>SUM(FO93:FZ93)</f>
        <v>0</v>
      </c>
    </row>
    <row r="160" spans="1:182" outlineLevel="1" x14ac:dyDescent="0.2">
      <c r="A160" s="24" t="s">
        <v>6</v>
      </c>
      <c r="B160" s="192">
        <f t="shared" si="336"/>
        <v>304748.09953151096</v>
      </c>
      <c r="C160" s="192">
        <f>SUM(C106:N106)</f>
        <v>0</v>
      </c>
      <c r="D160" s="192">
        <f>SUM(O106:Z106)</f>
        <v>0</v>
      </c>
      <c r="E160" s="192">
        <f>SUM(AA106:AL106)</f>
        <v>0</v>
      </c>
      <c r="F160" s="192">
        <f>SUM(AM106:AX106)</f>
        <v>0</v>
      </c>
      <c r="G160" s="192">
        <f>SUM(AY106:BJ106)</f>
        <v>0</v>
      </c>
      <c r="H160" s="192">
        <f>SUM(BK106:BV106)</f>
        <v>0</v>
      </c>
      <c r="I160" s="192">
        <f>SUM(BW106:CH106)</f>
        <v>0</v>
      </c>
      <c r="J160" s="192">
        <f>SUM(CI106:CT106)</f>
        <v>101582.69984383699</v>
      </c>
      <c r="K160" s="192">
        <f>SUM(CU106:DF106)</f>
        <v>101582.69984383699</v>
      </c>
      <c r="L160" s="192">
        <f>SUM(DG106:DR106)</f>
        <v>101582.69984383699</v>
      </c>
      <c r="M160" s="192">
        <f>SUM(DS106:ED106)</f>
        <v>0</v>
      </c>
      <c r="N160" s="192">
        <f>SUM(EE106:EP106)</f>
        <v>0</v>
      </c>
      <c r="O160" s="192">
        <f>SUM(EQ106:FB106)</f>
        <v>0</v>
      </c>
      <c r="P160" s="192">
        <f>SUM(FC106:FN106)</f>
        <v>0</v>
      </c>
      <c r="Q160" s="192">
        <f>SUM(FO106:FZ106)</f>
        <v>0</v>
      </c>
    </row>
    <row r="161" spans="1:17" outlineLevel="1" x14ac:dyDescent="0.2">
      <c r="A161" s="24" t="s">
        <v>7</v>
      </c>
      <c r="B161" s="192">
        <f t="shared" si="336"/>
        <v>299456.73677779874</v>
      </c>
      <c r="C161" s="192">
        <f>SUM(C119:N119)</f>
        <v>0</v>
      </c>
      <c r="D161" s="192">
        <f>SUM(O119:Z119)</f>
        <v>0</v>
      </c>
      <c r="E161" s="192">
        <f>SUM(AA119:AL119)</f>
        <v>0</v>
      </c>
      <c r="F161" s="192">
        <f>SUM(AM119:AX119)</f>
        <v>0</v>
      </c>
      <c r="G161" s="192">
        <f>SUM(AY119:BJ119)</f>
        <v>0</v>
      </c>
      <c r="H161" s="192">
        <f>SUM(BK119:BV119)</f>
        <v>0</v>
      </c>
      <c r="I161" s="192">
        <f>SUM(BW119:CH119)</f>
        <v>0</v>
      </c>
      <c r="J161" s="192">
        <f>SUM(CI119:CT119)</f>
        <v>0</v>
      </c>
      <c r="K161" s="192">
        <f>SUM(CU119:DF119)</f>
        <v>149728.36838889937</v>
      </c>
      <c r="L161" s="192">
        <f>SUM(DG119:DR119)</f>
        <v>149728.36838889937</v>
      </c>
      <c r="M161" s="192">
        <f>SUM(DS119:ED119)</f>
        <v>0</v>
      </c>
      <c r="N161" s="192">
        <f>SUM(EE119:EP119)</f>
        <v>0</v>
      </c>
      <c r="O161" s="192">
        <f>SUM(EQ119:FB119)</f>
        <v>0</v>
      </c>
      <c r="P161" s="192">
        <f>SUM(FC119:FN119)</f>
        <v>0</v>
      </c>
      <c r="Q161" s="192">
        <f>SUM(FO119:FZ119)</f>
        <v>0</v>
      </c>
    </row>
    <row r="162" spans="1:17" outlineLevel="1" x14ac:dyDescent="0.2">
      <c r="A162" s="24" t="s">
        <v>8</v>
      </c>
      <c r="B162" s="192">
        <f t="shared" si="336"/>
        <v>293908.88063247746</v>
      </c>
      <c r="C162" s="192">
        <f>SUM(C132:N132)</f>
        <v>0</v>
      </c>
      <c r="D162" s="192">
        <f>SUM(O132:Z132)</f>
        <v>0</v>
      </c>
      <c r="E162" s="192">
        <f>SUM(AA132:AL132)</f>
        <v>0</v>
      </c>
      <c r="F162" s="192">
        <f>SUM(AM132:AX132)</f>
        <v>0</v>
      </c>
      <c r="G162" s="192">
        <f>SUM(AY132:BJ132)</f>
        <v>0</v>
      </c>
      <c r="H162" s="192">
        <f>SUM(BK132:BV132)</f>
        <v>0</v>
      </c>
      <c r="I162" s="192">
        <f>SUM(BW132:CH132)</f>
        <v>0</v>
      </c>
      <c r="J162" s="192">
        <f>SUM(CI132:CT132)</f>
        <v>0</v>
      </c>
      <c r="K162" s="192">
        <f>SUM(CU132:DF132)</f>
        <v>0</v>
      </c>
      <c r="L162" s="192">
        <f>SUM(DG132:DR132)</f>
        <v>293908.88063247746</v>
      </c>
      <c r="M162" s="192">
        <f>SUM(DS132:ED132)</f>
        <v>0</v>
      </c>
      <c r="N162" s="192">
        <f>SUM(EE132:EP132)</f>
        <v>0</v>
      </c>
      <c r="O162" s="192">
        <f>SUM(EQ132:FB132)</f>
        <v>0</v>
      </c>
      <c r="P162" s="192">
        <f>SUM(FC132:FN132)</f>
        <v>0</v>
      </c>
      <c r="Q162" s="192">
        <f>SUM(FO132:FZ132)</f>
        <v>0</v>
      </c>
    </row>
    <row r="163" spans="1:17" outlineLevel="1" x14ac:dyDescent="0.2">
      <c r="A163" s="24" t="s">
        <v>9</v>
      </c>
      <c r="B163" s="192">
        <f t="shared" si="336"/>
        <v>296807.85744022421</v>
      </c>
      <c r="C163" s="192">
        <f>SUM(C145:N145)</f>
        <v>0</v>
      </c>
      <c r="D163" s="192">
        <f>SUM(O145:Z145)</f>
        <v>0</v>
      </c>
      <c r="E163" s="192">
        <f>SUM(AA145:AL145)</f>
        <v>0</v>
      </c>
      <c r="F163" s="192">
        <f>SUM(AM145:AX145)</f>
        <v>0</v>
      </c>
      <c r="G163" s="192">
        <f>SUM(AY145:BJ145)</f>
        <v>0</v>
      </c>
      <c r="H163" s="192">
        <f>SUM(BK145:BV145)</f>
        <v>0</v>
      </c>
      <c r="I163" s="192">
        <f>SUM(BW145:CH145)</f>
        <v>0</v>
      </c>
      <c r="J163" s="192">
        <f>SUM(CI145:CT145)</f>
        <v>0</v>
      </c>
      <c r="K163" s="192">
        <f>SUM(CU145:DF145)</f>
        <v>0</v>
      </c>
      <c r="L163" s="192">
        <f>SUM(DG145:DR145)</f>
        <v>296807.85744022421</v>
      </c>
      <c r="M163" s="192">
        <f>SUM(DS145:ED145)</f>
        <v>0</v>
      </c>
      <c r="N163" s="192">
        <f>SUM(EE145:EP145)</f>
        <v>0</v>
      </c>
      <c r="O163" s="192">
        <f>SUM(EQ145:FB145)</f>
        <v>0</v>
      </c>
      <c r="P163" s="192">
        <f>SUM(FC145:FN145)</f>
        <v>0</v>
      </c>
      <c r="Q163" s="192">
        <f>SUM(FO145:FZ145)</f>
        <v>0</v>
      </c>
    </row>
    <row r="164" spans="1:17" s="26" customFormat="1" x14ac:dyDescent="0.2">
      <c r="A164" s="26" t="s">
        <v>471</v>
      </c>
      <c r="B164" s="169">
        <f>SUM(B153:B163)</f>
        <v>25025330.910222691</v>
      </c>
      <c r="C164" s="193">
        <f>SUM(C153:C163)</f>
        <v>2187828.6323552667</v>
      </c>
      <c r="D164" s="193">
        <f t="shared" ref="D164:Q164" si="337">SUM(D153:D163)</f>
        <v>2223519.6448572697</v>
      </c>
      <c r="E164" s="193">
        <f t="shared" si="337"/>
        <v>2269101.591064781</v>
      </c>
      <c r="F164" s="193">
        <f t="shared" si="337"/>
        <v>2315251.7402460659</v>
      </c>
      <c r="G164" s="193">
        <f t="shared" si="337"/>
        <v>2368406.9136308259</v>
      </c>
      <c r="H164" s="193">
        <f t="shared" si="337"/>
        <v>2431306.7429962386</v>
      </c>
      <c r="I164" s="193">
        <f t="shared" si="337"/>
        <v>2508748.5176725574</v>
      </c>
      <c r="J164" s="193">
        <f t="shared" si="337"/>
        <v>2610331.2175163943</v>
      </c>
      <c r="K164" s="193">
        <f>SUM(K153:K163)</f>
        <v>2760059.5859052939</v>
      </c>
      <c r="L164" s="193">
        <f>SUM(L153:L163)</f>
        <v>3350776.3239779957</v>
      </c>
      <c r="M164" s="193">
        <f t="shared" si="337"/>
        <v>0</v>
      </c>
      <c r="N164" s="193">
        <f t="shared" si="337"/>
        <v>0</v>
      </c>
      <c r="O164" s="193">
        <f t="shared" si="337"/>
        <v>0</v>
      </c>
      <c r="P164" s="193">
        <f t="shared" si="337"/>
        <v>0</v>
      </c>
      <c r="Q164" s="193">
        <f t="shared" si="337"/>
        <v>0</v>
      </c>
    </row>
    <row r="165" spans="1:17" x14ac:dyDescent="0.2">
      <c r="A165" s="26" t="s">
        <v>472</v>
      </c>
      <c r="B165" s="26"/>
      <c r="C165" s="193">
        <f>SUM(C154:C163)</f>
        <v>0</v>
      </c>
      <c r="D165" s="193">
        <f t="shared" ref="D165:Q165" si="338">SUM(D154:D163)</f>
        <v>35691.012502002799</v>
      </c>
      <c r="E165" s="193">
        <f t="shared" si="338"/>
        <v>81272.958709514001</v>
      </c>
      <c r="F165" s="193">
        <f t="shared" si="338"/>
        <v>127423.10789079909</v>
      </c>
      <c r="G165" s="193">
        <f t="shared" si="338"/>
        <v>180578.28127555907</v>
      </c>
      <c r="H165" s="193">
        <f t="shared" si="338"/>
        <v>243478.11064097195</v>
      </c>
      <c r="I165" s="193">
        <f t="shared" si="338"/>
        <v>320919.88531729078</v>
      </c>
      <c r="J165" s="193">
        <f t="shared" si="338"/>
        <v>422502.58516112779</v>
      </c>
      <c r="K165" s="193">
        <f t="shared" si="338"/>
        <v>572230.95355002722</v>
      </c>
      <c r="L165" s="193">
        <f t="shared" si="338"/>
        <v>1162947.6916227289</v>
      </c>
      <c r="M165" s="193">
        <f t="shared" si="338"/>
        <v>0</v>
      </c>
      <c r="N165" s="193">
        <f t="shared" si="338"/>
        <v>0</v>
      </c>
      <c r="O165" s="193">
        <f t="shared" si="338"/>
        <v>0</v>
      </c>
      <c r="P165" s="193">
        <f t="shared" si="338"/>
        <v>0</v>
      </c>
      <c r="Q165" s="193">
        <f t="shared" si="338"/>
        <v>0</v>
      </c>
    </row>
    <row r="166" spans="1:17" x14ac:dyDescent="0.2">
      <c r="C166" s="24" t="s">
        <v>183</v>
      </c>
    </row>
    <row r="167" spans="1:17" x14ac:dyDescent="0.2">
      <c r="A167" s="26" t="s">
        <v>474</v>
      </c>
    </row>
    <row r="168" spans="1:17" outlineLevel="1" x14ac:dyDescent="0.2">
      <c r="A168" s="24" t="s">
        <v>419</v>
      </c>
      <c r="B168" s="192">
        <f>SUM(C168:Q168)</f>
        <v>9170553.174352672</v>
      </c>
      <c r="C168" s="192">
        <f>SUM(C16:N16)</f>
        <v>1487225.3367278972</v>
      </c>
      <c r="D168" s="192">
        <f>SUM(O16:Z16)</f>
        <v>1398371.302649399</v>
      </c>
      <c r="E168" s="192">
        <f>SUM(AA16:AL16)</f>
        <v>1298248.3530215477</v>
      </c>
      <c r="F168" s="192">
        <f>SUM(AM16:AX16)</f>
        <v>1185427.307290243</v>
      </c>
      <c r="G168" s="192">
        <f>SUM(AY16:BJ16)</f>
        <v>1058297.7290345451</v>
      </c>
      <c r="H168" s="192">
        <f>SUM(BK16:BV16)</f>
        <v>915044.93818590336</v>
      </c>
      <c r="I168" s="192">
        <f>SUM(BW16:CH16)</f>
        <v>753624.10782139411</v>
      </c>
      <c r="J168" s="192">
        <f>SUM(CI16:CT16)</f>
        <v>571731.07578197832</v>
      </c>
      <c r="K168" s="192">
        <f>SUM(CU16:DF16)</f>
        <v>366769.45447336818</v>
      </c>
      <c r="L168" s="192">
        <f>SUM(DG16:DR16)</f>
        <v>135813.5693663964</v>
      </c>
      <c r="M168" s="192">
        <f>SUM(DS16:ED16)</f>
        <v>4.8353333687665976E-10</v>
      </c>
      <c r="N168" s="192">
        <f>SUM(EE16:EP16)</f>
        <v>5.4485746689585402E-10</v>
      </c>
      <c r="O168" s="192">
        <f>SUM(EQ16:FB16)</f>
        <v>6.1395903155254939E-10</v>
      </c>
      <c r="P168" s="192">
        <f>SUM(FC16:FN16)</f>
        <v>6.918244042289965E-10</v>
      </c>
      <c r="Q168" s="192">
        <f>SUM(FO16:FZ16)</f>
        <v>7.7956505514137108E-10</v>
      </c>
    </row>
    <row r="169" spans="1:17" outlineLevel="1" x14ac:dyDescent="0.2">
      <c r="A169" s="24" t="s">
        <v>0</v>
      </c>
      <c r="B169" s="192">
        <f>SUM(C169:Q169)</f>
        <v>281790.83256026043</v>
      </c>
      <c r="C169" s="192">
        <f>SUM(C29:N29)</f>
        <v>0</v>
      </c>
      <c r="D169" s="192">
        <f>SUM(O29:Z29)</f>
        <v>22812.247224122268</v>
      </c>
      <c r="E169" s="192">
        <f>SUM(AA29:AL29)</f>
        <v>21178.897429692493</v>
      </c>
      <c r="F169" s="192">
        <f>SUM(AM29:AX29)</f>
        <v>19338.397998368131</v>
      </c>
      <c r="G169" s="192">
        <f>SUM(AY29:BJ29)</f>
        <v>17264.477171208178</v>
      </c>
      <c r="H169" s="192">
        <f>SUM(BK29:BV29)</f>
        <v>14927.531272652344</v>
      </c>
      <c r="I169" s="192">
        <f>SUM(BW29:CH29)</f>
        <v>12294.202140095382</v>
      </c>
      <c r="J169" s="192">
        <f>SUM(CI29:CT29)</f>
        <v>9326.9009609544919</v>
      </c>
      <c r="K169" s="192">
        <f>SUM(CU29:DF29)</f>
        <v>5983.271720358427</v>
      </c>
      <c r="L169" s="192">
        <f>SUM(DG29:DR29)</f>
        <v>2215.5866005736316</v>
      </c>
      <c r="M169" s="192">
        <f>SUM(DS29:ED29)</f>
        <v>22656.838140770211</v>
      </c>
      <c r="N169" s="192">
        <f>SUM(EE29:EP29)</f>
        <v>27715.636702076248</v>
      </c>
      <c r="O169" s="192">
        <f>SUM(EQ29:FB29)</f>
        <v>31230.6731619438</v>
      </c>
      <c r="P169" s="192">
        <f>SUM(FC29:FN29)</f>
        <v>35191.504226749028</v>
      </c>
      <c r="Q169" s="192">
        <f>SUM(FO29:FZ29)</f>
        <v>39654.667810695828</v>
      </c>
    </row>
    <row r="170" spans="1:17" outlineLevel="1" x14ac:dyDescent="0.2">
      <c r="A170" s="24" t="s">
        <v>1</v>
      </c>
      <c r="B170" s="192">
        <f t="shared" ref="B170:B178" si="339">SUM(C170:Q170)</f>
        <v>130942.86566008977</v>
      </c>
      <c r="C170" s="192">
        <f>SUM(C42:N42)</f>
        <v>0</v>
      </c>
      <c r="D170" s="192">
        <f>SUM(O42:Z42)</f>
        <v>0</v>
      </c>
      <c r="E170" s="192">
        <f>SUM(AA42:AL42)</f>
        <v>27048.136090856737</v>
      </c>
      <c r="F170" s="192">
        <f>SUM(AM42:AX42)</f>
        <v>24697.585064351828</v>
      </c>
      <c r="G170" s="192">
        <f>SUM(AY42:BJ42)</f>
        <v>22048.925333083698</v>
      </c>
      <c r="H170" s="192">
        <f>SUM(BK42:BV42)</f>
        <v>19064.349251588155</v>
      </c>
      <c r="I170" s="192">
        <f>SUM(BW42:CH42)</f>
        <v>15701.254218625782</v>
      </c>
      <c r="J170" s="192">
        <f>SUM(CI42:CT42)</f>
        <v>11911.63455677128</v>
      </c>
      <c r="K170" s="192">
        <f>SUM(CU42:DF42)</f>
        <v>7641.3962671133741</v>
      </c>
      <c r="L170" s="192">
        <f>SUM(DG42:DR42)</f>
        <v>2829.5848776989151</v>
      </c>
      <c r="M170" s="192">
        <f>SUM(DS42:ED42)</f>
        <v>4.2678276394170818E-12</v>
      </c>
      <c r="N170" s="192">
        <f>SUM(EE42:EP42)</f>
        <v>4.8090950083842059E-12</v>
      </c>
      <c r="O170" s="192">
        <f>SUM(EQ42:FB42)</f>
        <v>5.4190086277300381E-12</v>
      </c>
      <c r="P170" s="192">
        <f>SUM(FC42:FN42)</f>
        <v>6.1062745602273057E-12</v>
      </c>
      <c r="Q170" s="192">
        <f>SUM(FO42:FZ42)</f>
        <v>6.8807030153222123E-12</v>
      </c>
    </row>
    <row r="171" spans="1:17" outlineLevel="1" x14ac:dyDescent="0.2">
      <c r="A171" s="24" t="s">
        <v>2</v>
      </c>
      <c r="B171" s="192">
        <f t="shared" si="339"/>
        <v>105189.83210899591</v>
      </c>
      <c r="C171" s="192">
        <f>SUM(C55:N55)</f>
        <v>0</v>
      </c>
      <c r="D171" s="192">
        <f>SUM(O55:Z55)</f>
        <v>0</v>
      </c>
      <c r="E171" s="192">
        <f>SUM(AA55:AL55)</f>
        <v>0</v>
      </c>
      <c r="F171" s="192">
        <f>SUM(AM55:AX55)</f>
        <v>25005.453473803049</v>
      </c>
      <c r="G171" s="192">
        <f>SUM(AY55:BJ55)</f>
        <v>22323.776803570312</v>
      </c>
      <c r="H171" s="192">
        <f>SUM(BK55:BV55)</f>
        <v>19301.996408831106</v>
      </c>
      <c r="I171" s="192">
        <f>SUM(BW55:CH55)</f>
        <v>15896.978624476913</v>
      </c>
      <c r="J171" s="192">
        <f>SUM(CI55:CT55)</f>
        <v>12060.119357022098</v>
      </c>
      <c r="K171" s="192">
        <f>SUM(CU55:DF55)</f>
        <v>7736.6502973601964</v>
      </c>
      <c r="L171" s="192">
        <f>SUM(DG55:DR55)</f>
        <v>2864.8571439320381</v>
      </c>
      <c r="M171" s="192">
        <f>SUM(DS55:ED55)</f>
        <v>3.2700787453371428E-11</v>
      </c>
      <c r="N171" s="192">
        <f>SUM(EE55:EP55)</f>
        <v>3.684806580748439E-11</v>
      </c>
      <c r="O171" s="192">
        <f>SUM(EQ55:FB55)</f>
        <v>4.1521322863823398E-11</v>
      </c>
      <c r="P171" s="192">
        <f>SUM(FC55:FN55)</f>
        <v>4.6787265887147044E-11</v>
      </c>
      <c r="Q171" s="192">
        <f>SUM(FO55:FZ55)</f>
        <v>5.2721062293076947E-11</v>
      </c>
    </row>
    <row r="172" spans="1:17" outlineLevel="1" x14ac:dyDescent="0.2">
      <c r="A172" s="24" t="s">
        <v>3</v>
      </c>
      <c r="B172" s="192">
        <f t="shared" si="339"/>
        <v>273323.53552199015</v>
      </c>
      <c r="C172" s="192">
        <f>SUM(C68:N68)</f>
        <v>0</v>
      </c>
      <c r="D172" s="192">
        <f>SUM(O68:Z68)</f>
        <v>0</v>
      </c>
      <c r="E172" s="192">
        <f>SUM(AA68:AL68)</f>
        <v>0</v>
      </c>
      <c r="F172" s="192">
        <f>SUM(AM68:AX68)</f>
        <v>0</v>
      </c>
      <c r="G172" s="192">
        <f>SUM(AY68:BJ68)</f>
        <v>25712.251155141774</v>
      </c>
      <c r="H172" s="192">
        <f>SUM(BK68:BV68)</f>
        <v>22231.801716461145</v>
      </c>
      <c r="I172" s="192">
        <f>SUM(BW68:CH68)</f>
        <v>18309.944172847041</v>
      </c>
      <c r="J172" s="192">
        <f>SUM(CI68:CT68)</f>
        <v>13890.696928090787</v>
      </c>
      <c r="K172" s="192">
        <f>SUM(CU68:DF68)</f>
        <v>8910.9785183577042</v>
      </c>
      <c r="L172" s="192">
        <f>SUM(DG68:DR68)</f>
        <v>3299.7071712614952</v>
      </c>
      <c r="M172" s="192">
        <f>SUM(DS68:ED68)</f>
        <v>26207.632061570916</v>
      </c>
      <c r="N172" s="192">
        <f>SUM(EE68:EP68)</f>
        <v>32059.248714546924</v>
      </c>
      <c r="O172" s="192">
        <f>SUM(EQ68:FB68)</f>
        <v>36125.163898777646</v>
      </c>
      <c r="P172" s="192">
        <f>SUM(FC68:FN68)</f>
        <v>40706.73889876248</v>
      </c>
      <c r="Q172" s="192">
        <f>SUM(FO68:FZ68)</f>
        <v>45869.372286172256</v>
      </c>
    </row>
    <row r="173" spans="1:17" outlineLevel="1" x14ac:dyDescent="0.2">
      <c r="A173" s="24" t="s">
        <v>4</v>
      </c>
      <c r="B173" s="192">
        <f t="shared" si="339"/>
        <v>78860.459754808631</v>
      </c>
      <c r="C173" s="192">
        <f>SUM(C81:N81)</f>
        <v>0</v>
      </c>
      <c r="D173" s="192">
        <f>SUM(O81:Z81)</f>
        <v>0</v>
      </c>
      <c r="E173" s="192">
        <f>SUM(AA81:AL81)</f>
        <v>0</v>
      </c>
      <c r="F173" s="192">
        <f>SUM(AM81:AX81)</f>
        <v>0</v>
      </c>
      <c r="G173" s="192">
        <f>SUM(AY81:BJ81)</f>
        <v>0</v>
      </c>
      <c r="H173" s="192">
        <f>SUM(BK81:BV81)</f>
        <v>26307.43999890751</v>
      </c>
      <c r="I173" s="192">
        <f>SUM(BW81:CH81)</f>
        <v>21666.609114899711</v>
      </c>
      <c r="J173" s="192">
        <f>SUM(CI81:CT81)</f>
        <v>16437.20471419024</v>
      </c>
      <c r="K173" s="192">
        <f>SUM(CU81:DF81)</f>
        <v>10544.580942788534</v>
      </c>
      <c r="L173" s="192">
        <f>SUM(DG81:DR81)</f>
        <v>3904.6249840224414</v>
      </c>
      <c r="M173" s="192">
        <f>SUM(DS81:ED81)</f>
        <v>2.8490633160432956E-11</v>
      </c>
      <c r="N173" s="192">
        <f>SUM(EE81:EP81)</f>
        <v>3.2103958569483764E-11</v>
      </c>
      <c r="O173" s="192">
        <f>SUM(EQ81:FB81)</f>
        <v>3.6175544082414044E-11</v>
      </c>
      <c r="P173" s="192">
        <f>SUM(FC81:FN81)</f>
        <v>4.0763508550706607E-11</v>
      </c>
      <c r="Q173" s="192">
        <f>SUM(FO81:FZ81)</f>
        <v>4.5933341750934761E-11</v>
      </c>
    </row>
    <row r="174" spans="1:17" outlineLevel="1" x14ac:dyDescent="0.2">
      <c r="A174" s="24" t="s">
        <v>5</v>
      </c>
      <c r="B174" s="192">
        <f t="shared" si="339"/>
        <v>64702.86415012923</v>
      </c>
      <c r="C174" s="192">
        <f>SUM(C94:N94)</f>
        <v>0</v>
      </c>
      <c r="D174" s="192">
        <f>SUM(O94:Z94)</f>
        <v>0</v>
      </c>
      <c r="E174" s="192">
        <f>SUM(AA94:AL94)</f>
        <v>0</v>
      </c>
      <c r="F174" s="192">
        <f>SUM(AM94:AX94)</f>
        <v>0</v>
      </c>
      <c r="G174" s="192">
        <f>SUM(AY94:BJ94)</f>
        <v>0</v>
      </c>
      <c r="H174" s="192">
        <f>SUM(BK94:BV94)</f>
        <v>0</v>
      </c>
      <c r="I174" s="192">
        <f>SUM(BW94:CH94)</f>
        <v>26675.758551398812</v>
      </c>
      <c r="J174" s="192">
        <f>SUM(CI94:CT94)</f>
        <v>20237.357026675782</v>
      </c>
      <c r="K174" s="192">
        <f>SUM(CU94:DF94)</f>
        <v>12982.40503457802</v>
      </c>
      <c r="L174" s="192">
        <f>SUM(DG94:DR94)</f>
        <v>4807.3435374764695</v>
      </c>
      <c r="M174" s="192">
        <f>SUM(DS94:ED94)</f>
        <v>2.3184685284400903E-11</v>
      </c>
      <c r="N174" s="192">
        <f>SUM(EE94:EP94)</f>
        <v>2.6125083694195283E-11</v>
      </c>
      <c r="O174" s="192">
        <f>SUM(EQ94:FB94)</f>
        <v>2.9438398220911834E-11</v>
      </c>
      <c r="P174" s="192">
        <f>SUM(FC94:FN94)</f>
        <v>3.31719239623159E-11</v>
      </c>
      <c r="Q174" s="192">
        <f>SUM(FO94:FZ94)</f>
        <v>3.7378954218372019E-11</v>
      </c>
    </row>
    <row r="175" spans="1:17" outlineLevel="1" x14ac:dyDescent="0.2">
      <c r="A175" s="24" t="s">
        <v>6</v>
      </c>
      <c r="B175" s="192">
        <f t="shared" si="339"/>
        <v>253445.85926727092</v>
      </c>
      <c r="C175" s="192">
        <f>SUM(C107:N107)</f>
        <v>0</v>
      </c>
      <c r="D175" s="192">
        <f>SUM(O107:Z107)</f>
        <v>0</v>
      </c>
      <c r="E175" s="192">
        <f>SUM(AA107:AL107)</f>
        <v>0</v>
      </c>
      <c r="F175" s="192">
        <f>SUM(AM107:AX107)</f>
        <v>0</v>
      </c>
      <c r="G175" s="192">
        <f>SUM(AY107:BJ107)</f>
        <v>0</v>
      </c>
      <c r="H175" s="192">
        <f>SUM(BK107:BV107)</f>
        <v>0</v>
      </c>
      <c r="I175" s="192">
        <f>SUM(BW107:CH107)</f>
        <v>0</v>
      </c>
      <c r="J175" s="192">
        <f>SUM(CI107:CT107)</f>
        <v>26545.948527984972</v>
      </c>
      <c r="K175" s="192">
        <f>SUM(CU107:DF107)</f>
        <v>17029.410281346914</v>
      </c>
      <c r="L175" s="192">
        <f>SUM(DG107:DR107)</f>
        <v>6305.9367848269494</v>
      </c>
      <c r="M175" s="192">
        <f>SUM(DS107:ED107)</f>
        <v>29480.021831306905</v>
      </c>
      <c r="N175" s="192">
        <f>SUM(EE107:EP107)</f>
        <v>36062.294746040119</v>
      </c>
      <c r="O175" s="192">
        <f>SUM(EQ107:FB107)</f>
        <v>40635.896363834632</v>
      </c>
      <c r="P175" s="192">
        <f>SUM(FC107:FN107)</f>
        <v>45789.545144617558</v>
      </c>
      <c r="Q175" s="192">
        <f>SUM(FO107:FZ107)</f>
        <v>51596.805587312883</v>
      </c>
    </row>
    <row r="176" spans="1:17" outlineLevel="1" x14ac:dyDescent="0.2">
      <c r="A176" s="24" t="s">
        <v>7</v>
      </c>
      <c r="B176" s="192">
        <f t="shared" si="339"/>
        <v>34395.260682952714</v>
      </c>
      <c r="C176" s="192">
        <f>SUM(C120:N120)</f>
        <v>0</v>
      </c>
      <c r="D176" s="192">
        <f>SUM(O120:Z120)</f>
        <v>0</v>
      </c>
      <c r="E176" s="192">
        <f>SUM(AA120:AL120)</f>
        <v>0</v>
      </c>
      <c r="F176" s="192">
        <f>SUM(AM120:AX120)</f>
        <v>0</v>
      </c>
      <c r="G176" s="192">
        <f>SUM(AY120:BJ120)</f>
        <v>0</v>
      </c>
      <c r="H176" s="192">
        <f>SUM(BK120:BV120)</f>
        <v>0</v>
      </c>
      <c r="I176" s="192">
        <f>SUM(BW120:CH120)</f>
        <v>0</v>
      </c>
      <c r="J176" s="192">
        <f>SUM(CI120:CT120)</f>
        <v>0</v>
      </c>
      <c r="K176" s="192">
        <f>SUM(CU120:DF120)</f>
        <v>25100.591143679063</v>
      </c>
      <c r="L176" s="192">
        <f>SUM(DG120:DR120)</f>
        <v>9294.6695392735874</v>
      </c>
      <c r="M176" s="192">
        <f>SUM(DS120:ED120)</f>
        <v>1.0381202366149661E-11</v>
      </c>
      <c r="N176" s="192">
        <f>SUM(EE120:EP120)</f>
        <v>1.1697798669042667E-11</v>
      </c>
      <c r="O176" s="192">
        <f>SUM(EQ120:FB120)</f>
        <v>1.3181372337721721E-11</v>
      </c>
      <c r="P176" s="192">
        <f>SUM(FC120:FN120)</f>
        <v>1.4853100281633991E-11</v>
      </c>
      <c r="Q176" s="192">
        <f>SUM(FO120:FZ120)</f>
        <v>1.673684517240539E-11</v>
      </c>
    </row>
    <row r="177" spans="1:17" outlineLevel="1" x14ac:dyDescent="0.2">
      <c r="A177" s="24" t="s">
        <v>8</v>
      </c>
      <c r="B177" s="192">
        <f t="shared" si="339"/>
        <v>18244.945493837466</v>
      </c>
      <c r="C177" s="192">
        <f>SUM(C133:N133)</f>
        <v>0</v>
      </c>
      <c r="D177" s="192">
        <f>SUM(O133:Z133)</f>
        <v>0</v>
      </c>
      <c r="E177" s="192">
        <f>SUM(AA133:AL133)</f>
        <v>0</v>
      </c>
      <c r="F177" s="192">
        <f>SUM(AM133:AX133)</f>
        <v>0</v>
      </c>
      <c r="G177" s="192">
        <f>SUM(AY133:BJ133)</f>
        <v>0</v>
      </c>
      <c r="H177" s="192">
        <f>SUM(BK133:BV133)</f>
        <v>0</v>
      </c>
      <c r="I177" s="192">
        <f>SUM(BW133:CH133)</f>
        <v>0</v>
      </c>
      <c r="J177" s="192">
        <f>SUM(CI133:CT133)</f>
        <v>0</v>
      </c>
      <c r="K177" s="192">
        <f>SUM(CU133:DF133)</f>
        <v>0</v>
      </c>
      <c r="L177" s="192">
        <f>SUM(DG133:DR133)</f>
        <v>18244.945493837447</v>
      </c>
      <c r="M177" s="192">
        <f>SUM(DS133:ED133)</f>
        <v>2.3069338591443689E-12</v>
      </c>
      <c r="N177" s="192">
        <f>SUM(EE133:EP133)</f>
        <v>2.5995108153428152E-12</v>
      </c>
      <c r="O177" s="192">
        <f>SUM(EQ133:FB133)</f>
        <v>2.929193852827049E-12</v>
      </c>
      <c r="P177" s="192">
        <f>SUM(FC133:FN133)</f>
        <v>3.3006889514742196E-12</v>
      </c>
      <c r="Q177" s="192">
        <f>SUM(FO133:FZ133)</f>
        <v>3.7192989272011974E-12</v>
      </c>
    </row>
    <row r="178" spans="1:17" outlineLevel="1" x14ac:dyDescent="0.2">
      <c r="A178" s="24" t="s">
        <v>9</v>
      </c>
      <c r="B178" s="192">
        <f t="shared" si="339"/>
        <v>10117.364896038558</v>
      </c>
      <c r="C178" s="192">
        <f>SUM(C146:N146)</f>
        <v>0</v>
      </c>
      <c r="D178" s="192">
        <f>SUM(O146:Z146)</f>
        <v>0</v>
      </c>
      <c r="E178" s="192">
        <f>SUM(AA146:AL146)</f>
        <v>0</v>
      </c>
      <c r="F178" s="192">
        <f>SUM(AM146:AX146)</f>
        <v>0</v>
      </c>
      <c r="G178" s="192">
        <f>SUM(AY146:BJ146)</f>
        <v>0</v>
      </c>
      <c r="H178" s="192">
        <f>SUM(BK146:BV146)</f>
        <v>0</v>
      </c>
      <c r="I178" s="192">
        <f>SUM(BW146:CH146)</f>
        <v>0</v>
      </c>
      <c r="J178" s="192">
        <f>SUM(CI146:CT146)</f>
        <v>0</v>
      </c>
      <c r="K178" s="192">
        <f>SUM(CU146:DF146)</f>
        <v>0</v>
      </c>
      <c r="L178" s="192">
        <f>SUM(DG146:DR146)</f>
        <v>10117.364896038524</v>
      </c>
      <c r="M178" s="192">
        <f>SUM(DS146:ED146)</f>
        <v>5.5366412619464858E-12</v>
      </c>
      <c r="N178" s="192">
        <f>SUM(EE146:EP146)</f>
        <v>6.2388259568227562E-12</v>
      </c>
      <c r="O178" s="192">
        <f>SUM(EQ146:FB146)</f>
        <v>7.0300652467849148E-12</v>
      </c>
      <c r="P178" s="192">
        <f>SUM(FC146:FN146)</f>
        <v>7.9216534835381283E-12</v>
      </c>
      <c r="Q178" s="192">
        <f>SUM(FO146:FZ146)</f>
        <v>8.9263174252828744E-12</v>
      </c>
    </row>
    <row r="179" spans="1:17" x14ac:dyDescent="0.2">
      <c r="A179" s="26" t="s">
        <v>471</v>
      </c>
      <c r="B179" s="169">
        <f>SUM(B168:B178)</f>
        <v>10421566.994449046</v>
      </c>
      <c r="C179" s="193">
        <f>SUM(C168:C178)</f>
        <v>1487225.3367278972</v>
      </c>
      <c r="D179" s="193">
        <f>SUM(D168:D178)</f>
        <v>1421183.5498735213</v>
      </c>
      <c r="E179" s="193">
        <f>SUM(E168:E178)</f>
        <v>1346475.386542097</v>
      </c>
      <c r="F179" s="193">
        <f>SUM(F168:F178)</f>
        <v>1254468.743826766</v>
      </c>
      <c r="G179" s="193">
        <f t="shared" ref="G179:Q179" si="340">SUM(G168:G178)</f>
        <v>1145647.1594975491</v>
      </c>
      <c r="H179" s="193">
        <f t="shared" si="340"/>
        <v>1016878.0568343436</v>
      </c>
      <c r="I179" s="193">
        <f>SUM(I168:I178)</f>
        <v>864168.8546437379</v>
      </c>
      <c r="J179" s="193">
        <f t="shared" si="340"/>
        <v>682140.937853668</v>
      </c>
      <c r="K179" s="193">
        <f t="shared" si="340"/>
        <v>462698.73867895041</v>
      </c>
      <c r="L179" s="193">
        <f t="shared" si="340"/>
        <v>199698.19039533788</v>
      </c>
      <c r="M179" s="193">
        <f t="shared" si="340"/>
        <v>78344.49203364861</v>
      </c>
      <c r="N179" s="193">
        <f t="shared" si="340"/>
        <v>95837.18016266395</v>
      </c>
      <c r="O179" s="193">
        <f t="shared" si="340"/>
        <v>107991.73342455681</v>
      </c>
      <c r="P179" s="193">
        <f t="shared" si="340"/>
        <v>121687.78827012991</v>
      </c>
      <c r="Q179" s="193">
        <f t="shared" si="340"/>
        <v>137120.84568418193</v>
      </c>
    </row>
    <row r="180" spans="1:17" x14ac:dyDescent="0.2">
      <c r="A180" s="26" t="s">
        <v>472</v>
      </c>
      <c r="B180" s="169"/>
      <c r="C180" s="193">
        <f>SUM(C169:C178)</f>
        <v>0</v>
      </c>
      <c r="D180" s="193">
        <f>SUM(D169:D178)</f>
        <v>22812.247224122268</v>
      </c>
      <c r="E180" s="193">
        <f>SUM(E169:E178)</f>
        <v>48227.03352054923</v>
      </c>
      <c r="F180" s="193">
        <f>SUM(F169:F178)</f>
        <v>69041.436536523004</v>
      </c>
      <c r="G180" s="193">
        <f t="shared" ref="G180:Q180" si="341">SUM(G169:G178)</f>
        <v>87349.43046300397</v>
      </c>
      <c r="H180" s="193">
        <f t="shared" si="341"/>
        <v>101833.11864844026</v>
      </c>
      <c r="I180" s="193">
        <f t="shared" si="341"/>
        <v>110544.74682234364</v>
      </c>
      <c r="J180" s="193">
        <f t="shared" si="341"/>
        <v>110409.86207168967</v>
      </c>
      <c r="K180" s="193">
        <f t="shared" si="341"/>
        <v>95929.28420558224</v>
      </c>
      <c r="L180" s="193">
        <f t="shared" si="341"/>
        <v>63884.621028941503</v>
      </c>
      <c r="M180" s="193">
        <f t="shared" si="341"/>
        <v>78344.492033648145</v>
      </c>
      <c r="N180" s="193">
        <f t="shared" si="341"/>
        <v>95837.180162663411</v>
      </c>
      <c r="O180" s="193">
        <f t="shared" si="341"/>
        <v>107991.73342455619</v>
      </c>
      <c r="P180" s="193">
        <f t="shared" si="341"/>
        <v>121687.78827012923</v>
      </c>
      <c r="Q180" s="193">
        <f t="shared" si="341"/>
        <v>137120.84568418114</v>
      </c>
    </row>
    <row r="181" spans="1:17" x14ac:dyDescent="0.2">
      <c r="B181" s="24" t="s">
        <v>183</v>
      </c>
    </row>
    <row r="182" spans="1:17" x14ac:dyDescent="0.2">
      <c r="B182" s="166" t="s">
        <v>183</v>
      </c>
      <c r="C182" s="166" t="s">
        <v>183</v>
      </c>
    </row>
    <row r="183" spans="1:17" x14ac:dyDescent="0.2">
      <c r="B183" s="166" t="s">
        <v>183</v>
      </c>
    </row>
    <row r="184" spans="1:17" x14ac:dyDescent="0.2">
      <c r="C184" s="192" t="s">
        <v>183</v>
      </c>
    </row>
    <row r="185" spans="1:17" x14ac:dyDescent="0.2">
      <c r="C185" s="192" t="s">
        <v>189</v>
      </c>
    </row>
    <row r="186" spans="1:17" x14ac:dyDescent="0.2">
      <c r="B186" s="192" t="s">
        <v>183</v>
      </c>
      <c r="C186" s="192" t="s">
        <v>189</v>
      </c>
    </row>
    <row r="187" spans="1:17" x14ac:dyDescent="0.2">
      <c r="B187" s="192" t="s">
        <v>183</v>
      </c>
      <c r="C187" s="192" t="s">
        <v>189</v>
      </c>
    </row>
    <row r="188" spans="1:17" x14ac:dyDescent="0.2">
      <c r="C188" s="192" t="s">
        <v>183</v>
      </c>
    </row>
    <row r="189" spans="1:17" x14ac:dyDescent="0.2">
      <c r="C189" s="192" t="s">
        <v>189</v>
      </c>
    </row>
    <row r="190" spans="1:17" x14ac:dyDescent="0.2">
      <c r="C190" s="192" t="s">
        <v>183</v>
      </c>
    </row>
    <row r="191" spans="1:17" x14ac:dyDescent="0.2">
      <c r="C191" s="192" t="s">
        <v>183</v>
      </c>
    </row>
    <row r="192" spans="1:17" x14ac:dyDescent="0.2">
      <c r="C192" s="192" t="s">
        <v>183</v>
      </c>
    </row>
  </sheetData>
  <printOptions horizontalCentered="1" verticalCentered="1"/>
  <pageMargins left="0.54" right="0" top="0" bottom="0" header="0" footer="0"/>
  <pageSetup paperSize="9" scale="50" orientation="landscape" horizontalDpi="355" verticalDpi="464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68"/>
  <sheetViews>
    <sheetView zoomScale="80" zoomScaleNormal="80" workbookViewId="0">
      <pane ySplit="5" topLeftCell="A42" activePane="bottomLeft" state="frozen"/>
      <selection pane="bottomLeft" activeCell="H11" sqref="H11"/>
    </sheetView>
  </sheetViews>
  <sheetFormatPr baseColWidth="10" defaultColWidth="11.42578125" defaultRowHeight="12.75" x14ac:dyDescent="0.2"/>
  <cols>
    <col min="1" max="1" width="30.85546875" style="24" customWidth="1"/>
    <col min="2" max="2" width="5.140625" style="24" customWidth="1"/>
    <col min="3" max="13" width="10.85546875" style="195" customWidth="1"/>
    <col min="14" max="16384" width="11.42578125" style="24"/>
  </cols>
  <sheetData>
    <row r="2" spans="1:13" ht="15.75" x14ac:dyDescent="0.25">
      <c r="A2" s="147" t="s">
        <v>140</v>
      </c>
    </row>
    <row r="3" spans="1:13" ht="16.5" x14ac:dyDescent="0.3">
      <c r="A3" s="148" t="s">
        <v>150</v>
      </c>
    </row>
    <row r="4" spans="1:13" x14ac:dyDescent="0.2">
      <c r="D4" s="161">
        <v>2017</v>
      </c>
      <c r="E4" s="161">
        <v>2018</v>
      </c>
      <c r="F4" s="161">
        <v>2019</v>
      </c>
      <c r="G4" s="161">
        <v>2020</v>
      </c>
      <c r="H4" s="161">
        <v>2021</v>
      </c>
      <c r="I4" s="161">
        <v>2022</v>
      </c>
      <c r="J4" s="161">
        <v>2023</v>
      </c>
      <c r="K4" s="161">
        <v>2024</v>
      </c>
      <c r="L4" s="161">
        <v>2025</v>
      </c>
      <c r="M4" s="161">
        <v>2026</v>
      </c>
    </row>
    <row r="5" spans="1:13" x14ac:dyDescent="0.2">
      <c r="C5" s="240" t="s">
        <v>122</v>
      </c>
      <c r="D5" s="240" t="s">
        <v>0</v>
      </c>
      <c r="E5" s="240" t="s">
        <v>1</v>
      </c>
      <c r="F5" s="240" t="s">
        <v>2</v>
      </c>
      <c r="G5" s="240" t="s">
        <v>3</v>
      </c>
      <c r="H5" s="240" t="s">
        <v>4</v>
      </c>
      <c r="I5" s="240" t="s">
        <v>5</v>
      </c>
      <c r="J5" s="240" t="s">
        <v>6</v>
      </c>
      <c r="K5" s="240" t="s">
        <v>7</v>
      </c>
      <c r="L5" s="240" t="s">
        <v>8</v>
      </c>
      <c r="M5" s="240" t="s">
        <v>9</v>
      </c>
    </row>
    <row r="7" spans="1:13" x14ac:dyDescent="0.2">
      <c r="A7" s="145" t="str">
        <f>+'Plan Inversiones'!A11</f>
        <v>Estaciones MDMQ</v>
      </c>
    </row>
    <row r="9" spans="1:13" x14ac:dyDescent="0.2">
      <c r="A9" s="154" t="s">
        <v>123</v>
      </c>
      <c r="C9" s="184">
        <v>0</v>
      </c>
      <c r="D9" s="184">
        <v>0</v>
      </c>
      <c r="E9" s="184">
        <v>0</v>
      </c>
      <c r="F9" s="184">
        <v>0</v>
      </c>
      <c r="G9" s="184">
        <v>0</v>
      </c>
      <c r="H9" s="184">
        <v>0</v>
      </c>
      <c r="I9" s="184">
        <v>0</v>
      </c>
      <c r="J9" s="184">
        <v>0</v>
      </c>
      <c r="K9" s="184">
        <v>0</v>
      </c>
      <c r="L9" s="184">
        <v>0</v>
      </c>
      <c r="M9" s="184">
        <v>0</v>
      </c>
    </row>
    <row r="10" spans="1:13" x14ac:dyDescent="0.2">
      <c r="A10" s="211" t="str">
        <f>+'Plan Inversiones'!A12</f>
        <v>Maquinaria liviana 4X4</v>
      </c>
      <c r="B10" s="211"/>
      <c r="C10" s="247">
        <f>+'Plan Inversiones'!F12</f>
        <v>2620800</v>
      </c>
      <c r="D10" s="243">
        <f>+IF($D$9=1,C10,0)</f>
        <v>0</v>
      </c>
      <c r="E10" s="243">
        <f>+IF($E$9=1,C10/5,0)</f>
        <v>0</v>
      </c>
      <c r="F10" s="243">
        <f>+IF($F$9=1,C10/5,0)</f>
        <v>0</v>
      </c>
      <c r="G10" s="243">
        <f>+IF($G$9=1,C10/5,0)</f>
        <v>0</v>
      </c>
      <c r="H10" s="243">
        <v>0</v>
      </c>
      <c r="I10" s="243">
        <f>+IF($I$9=1,C10/2,0)</f>
        <v>0</v>
      </c>
      <c r="J10" s="243">
        <f>+IF($J$9=1,C10/5,0)</f>
        <v>0</v>
      </c>
      <c r="K10" s="243">
        <f>+IF($K$9=1,C10/5,0)</f>
        <v>0</v>
      </c>
      <c r="L10" s="243">
        <f>+IF($L$9=1,C10/5,0)</f>
        <v>0</v>
      </c>
      <c r="M10" s="243">
        <f>+IF($M$9=1,C10/5,0)</f>
        <v>0</v>
      </c>
    </row>
    <row r="11" spans="1:13" x14ac:dyDescent="0.2">
      <c r="A11" s="211" t="str">
        <f>+'Plan Inversiones'!A13</f>
        <v>Maquinaria pesados</v>
      </c>
      <c r="B11" s="211"/>
      <c r="C11" s="247">
        <f>+'Plan Inversiones'!F13</f>
        <v>957600</v>
      </c>
      <c r="D11" s="243">
        <f t="shared" ref="D11:D26" si="0">+IF($D$9=1,C11,0)</f>
        <v>0</v>
      </c>
      <c r="E11" s="243">
        <v>0</v>
      </c>
      <c r="F11" s="243">
        <v>0</v>
      </c>
      <c r="G11" s="243">
        <v>0</v>
      </c>
      <c r="H11" s="243">
        <v>0</v>
      </c>
      <c r="I11" s="243">
        <v>0</v>
      </c>
      <c r="J11" s="243">
        <v>0</v>
      </c>
      <c r="K11" s="243">
        <v>0</v>
      </c>
      <c r="L11" s="243">
        <f t="shared" ref="L11:L19" si="1">+IF($L$9=1,C11/5,0)</f>
        <v>0</v>
      </c>
      <c r="M11" s="243">
        <v>0</v>
      </c>
    </row>
    <row r="12" spans="1:13" x14ac:dyDescent="0.2">
      <c r="A12" s="213" t="str">
        <f>+'Plan Inversiones'!A14</f>
        <v>Maquinaria motos</v>
      </c>
      <c r="B12" s="213"/>
      <c r="C12" s="245">
        <f>+'Plan Inversiones'!F14</f>
        <v>0</v>
      </c>
      <c r="D12" s="243">
        <f t="shared" si="0"/>
        <v>0</v>
      </c>
      <c r="E12" s="243">
        <v>0</v>
      </c>
      <c r="F12" s="243">
        <v>0</v>
      </c>
      <c r="G12" s="243">
        <v>0</v>
      </c>
      <c r="H12" s="243">
        <f>+IF($H$9=1,C12,0)</f>
        <v>0</v>
      </c>
      <c r="I12" s="243">
        <f>+IF($I$9=1,C12/5,0)</f>
        <v>0</v>
      </c>
      <c r="J12" s="243">
        <f t="shared" ref="J12:J19" si="2">+IF($J$9=1,C12/5,0)</f>
        <v>0</v>
      </c>
      <c r="K12" s="243">
        <f t="shared" ref="K12:K19" si="3">+IF($K$9=1,C12/5,0)</f>
        <v>0</v>
      </c>
      <c r="L12" s="243">
        <f t="shared" si="1"/>
        <v>0</v>
      </c>
      <c r="M12" s="243">
        <f>+IF($M$9=1,C12/5,0)</f>
        <v>0</v>
      </c>
    </row>
    <row r="13" spans="1:13" x14ac:dyDescent="0.2">
      <c r="A13" s="213" t="str">
        <f>+'Plan Inversiones'!A15</f>
        <v>Maquinaria común + instalaciones</v>
      </c>
      <c r="B13" s="213"/>
      <c r="C13" s="245">
        <f>+'Plan Inversiones'!F15</f>
        <v>50400</v>
      </c>
      <c r="D13" s="243">
        <f t="shared" si="0"/>
        <v>0</v>
      </c>
      <c r="E13" s="243">
        <v>0</v>
      </c>
      <c r="F13" s="243">
        <v>0</v>
      </c>
      <c r="G13" s="243">
        <v>0</v>
      </c>
      <c r="H13" s="243">
        <v>0</v>
      </c>
      <c r="I13" s="243">
        <v>0</v>
      </c>
      <c r="J13" s="243">
        <f t="shared" si="2"/>
        <v>0</v>
      </c>
      <c r="K13" s="243">
        <f t="shared" si="3"/>
        <v>0</v>
      </c>
      <c r="L13" s="243">
        <f t="shared" si="1"/>
        <v>0</v>
      </c>
      <c r="M13" s="243">
        <v>0</v>
      </c>
    </row>
    <row r="14" spans="1:13" x14ac:dyDescent="0.2">
      <c r="A14" s="213" t="str">
        <f>+'Plan Inversiones'!A16</f>
        <v>UPS + Generador</v>
      </c>
      <c r="B14" s="213"/>
      <c r="C14" s="245">
        <f>+'Plan Inversiones'!F16</f>
        <v>15000</v>
      </c>
      <c r="D14" s="243">
        <f t="shared" si="0"/>
        <v>0</v>
      </c>
      <c r="E14" s="243">
        <v>0</v>
      </c>
      <c r="F14" s="243">
        <v>0</v>
      </c>
      <c r="G14" s="243">
        <v>0</v>
      </c>
      <c r="H14" s="243">
        <v>0</v>
      </c>
      <c r="I14" s="243">
        <v>0</v>
      </c>
      <c r="J14" s="243">
        <f t="shared" si="2"/>
        <v>0</v>
      </c>
      <c r="K14" s="243">
        <f t="shared" si="3"/>
        <v>0</v>
      </c>
      <c r="L14" s="243">
        <f t="shared" si="1"/>
        <v>0</v>
      </c>
      <c r="M14" s="243">
        <v>0</v>
      </c>
    </row>
    <row r="15" spans="1:13" x14ac:dyDescent="0.2">
      <c r="A15" s="213" t="str">
        <f>+'Plan Inversiones'!A17</f>
        <v>Computadoras de máquinas</v>
      </c>
      <c r="B15" s="213"/>
      <c r="C15" s="245">
        <f>+'Plan Inversiones'!F17</f>
        <v>56700</v>
      </c>
      <c r="D15" s="243">
        <f t="shared" si="0"/>
        <v>0</v>
      </c>
      <c r="E15" s="243">
        <f>+IF($E$9=1,C15/5,0)</f>
        <v>0</v>
      </c>
      <c r="F15" s="243">
        <f>+IF($F$9=1,C15/5,0)</f>
        <v>0</v>
      </c>
      <c r="G15" s="243">
        <f>+IF($G$9=1,C15/5,0)</f>
        <v>0</v>
      </c>
      <c r="H15" s="243">
        <f>+IF($H$9=1,C15,0)</f>
        <v>0</v>
      </c>
      <c r="I15" s="243">
        <f>+IF($I$9=1,C15/5,0)</f>
        <v>0</v>
      </c>
      <c r="J15" s="243">
        <f t="shared" si="2"/>
        <v>0</v>
      </c>
      <c r="K15" s="243">
        <f t="shared" si="3"/>
        <v>0</v>
      </c>
      <c r="L15" s="243">
        <f t="shared" si="1"/>
        <v>0</v>
      </c>
      <c r="M15" s="243">
        <f>+IF($M$9=1,C15/5,0)</f>
        <v>0</v>
      </c>
    </row>
    <row r="16" spans="1:13" x14ac:dyDescent="0.2">
      <c r="A16" s="213" t="str">
        <f>+'Plan Inversiones'!A18</f>
        <v>Computadoras de administración</v>
      </c>
      <c r="B16" s="213"/>
      <c r="C16" s="245">
        <f>+'Plan Inversiones'!F18</f>
        <v>3300</v>
      </c>
      <c r="D16" s="243">
        <f t="shared" si="0"/>
        <v>0</v>
      </c>
      <c r="E16" s="243">
        <v>0</v>
      </c>
      <c r="F16" s="243">
        <v>0</v>
      </c>
      <c r="G16" s="243">
        <v>0</v>
      </c>
      <c r="H16" s="243">
        <v>0</v>
      </c>
      <c r="I16" s="243">
        <v>0</v>
      </c>
      <c r="J16" s="243">
        <v>0</v>
      </c>
      <c r="K16" s="243">
        <v>0</v>
      </c>
      <c r="L16" s="243">
        <v>0</v>
      </c>
      <c r="M16" s="243">
        <v>0</v>
      </c>
    </row>
    <row r="17" spans="1:13" x14ac:dyDescent="0.2">
      <c r="A17" s="213" t="str">
        <f>+'Plan Inversiones'!A19</f>
        <v>Servidor central</v>
      </c>
      <c r="B17" s="213"/>
      <c r="C17" s="245">
        <f>+'Plan Inversiones'!F19</f>
        <v>2500</v>
      </c>
      <c r="D17" s="243">
        <f t="shared" si="0"/>
        <v>0</v>
      </c>
      <c r="E17" s="243">
        <v>0</v>
      </c>
      <c r="F17" s="243">
        <v>0</v>
      </c>
      <c r="G17" s="243">
        <v>0</v>
      </c>
      <c r="H17" s="243">
        <v>0</v>
      </c>
      <c r="I17" s="243">
        <v>0</v>
      </c>
      <c r="J17" s="243">
        <v>0</v>
      </c>
      <c r="K17" s="243">
        <v>0</v>
      </c>
      <c r="L17" s="243">
        <v>0</v>
      </c>
      <c r="M17" s="243">
        <v>0</v>
      </c>
    </row>
    <row r="18" spans="1:13" x14ac:dyDescent="0.2">
      <c r="A18" s="211" t="str">
        <f>+'Plan Inversiones'!A20</f>
        <v>Software</v>
      </c>
      <c r="B18" s="211"/>
      <c r="C18" s="247">
        <f>+'Plan Inversiones'!F20</f>
        <v>15000</v>
      </c>
      <c r="D18" s="243">
        <f t="shared" si="0"/>
        <v>0</v>
      </c>
      <c r="E18" s="243">
        <v>0</v>
      </c>
      <c r="F18" s="243">
        <v>0</v>
      </c>
      <c r="G18" s="243">
        <v>0</v>
      </c>
      <c r="H18" s="243">
        <v>0</v>
      </c>
      <c r="I18" s="243">
        <v>0</v>
      </c>
      <c r="J18" s="243">
        <v>0</v>
      </c>
      <c r="K18" s="243">
        <v>0</v>
      </c>
      <c r="L18" s="243">
        <v>0</v>
      </c>
      <c r="M18" s="243">
        <v>0</v>
      </c>
    </row>
    <row r="19" spans="1:13" x14ac:dyDescent="0.2">
      <c r="A19" s="211" t="str">
        <f>+'Plan Inversiones'!A21</f>
        <v>Nave</v>
      </c>
      <c r="B19" s="211"/>
      <c r="C19" s="247">
        <f>+'Plan Inversiones'!F21</f>
        <v>1881600</v>
      </c>
      <c r="D19" s="243">
        <f t="shared" si="0"/>
        <v>0</v>
      </c>
      <c r="E19" s="243">
        <f>+IF($E$9=1,C19/5,0)</f>
        <v>0</v>
      </c>
      <c r="F19" s="243">
        <f>+IF($F$9=1,C19/5,0)</f>
        <v>0</v>
      </c>
      <c r="G19" s="243">
        <f>+IF($G$9=1,C19/5,0)</f>
        <v>0</v>
      </c>
      <c r="H19" s="243">
        <f>+IF($H$9=1,C19/5,0)</f>
        <v>0</v>
      </c>
      <c r="I19" s="243">
        <f>+IF($I$9=1,C19/5,0)</f>
        <v>0</v>
      </c>
      <c r="J19" s="243">
        <f t="shared" si="2"/>
        <v>0</v>
      </c>
      <c r="K19" s="243">
        <f t="shared" si="3"/>
        <v>0</v>
      </c>
      <c r="L19" s="243">
        <f t="shared" si="1"/>
        <v>0</v>
      </c>
      <c r="M19" s="243">
        <f>+IF($M$9=1,C19/5,0)</f>
        <v>0</v>
      </c>
    </row>
    <row r="20" spans="1:13" x14ac:dyDescent="0.2">
      <c r="A20" s="211" t="str">
        <f>+'Plan Inversiones'!A22</f>
        <v>Instalaciones administrativas</v>
      </c>
      <c r="B20" s="211"/>
      <c r="C20" s="247">
        <f>+'Plan Inversiones'!F22</f>
        <v>1456000</v>
      </c>
      <c r="D20" s="243">
        <f t="shared" si="0"/>
        <v>0</v>
      </c>
      <c r="E20" s="243">
        <v>0</v>
      </c>
      <c r="F20" s="243">
        <v>0</v>
      </c>
      <c r="G20" s="243">
        <v>0</v>
      </c>
      <c r="H20" s="243">
        <v>0</v>
      </c>
      <c r="I20" s="243">
        <v>0</v>
      </c>
      <c r="J20" s="243">
        <v>0</v>
      </c>
      <c r="K20" s="243">
        <v>0</v>
      </c>
      <c r="L20" s="243">
        <v>0</v>
      </c>
      <c r="M20" s="243">
        <v>0</v>
      </c>
    </row>
    <row r="21" spans="1:13" x14ac:dyDescent="0.2">
      <c r="A21" s="211" t="str">
        <f>+'Plan Inversiones'!A23</f>
        <v>Señalización</v>
      </c>
      <c r="B21" s="211"/>
      <c r="C21" s="247">
        <f>+'Plan Inversiones'!F23</f>
        <v>4000</v>
      </c>
      <c r="D21" s="243">
        <f t="shared" si="0"/>
        <v>0</v>
      </c>
      <c r="E21" s="243">
        <v>0</v>
      </c>
      <c r="F21" s="243">
        <v>0</v>
      </c>
      <c r="G21" s="243">
        <v>0</v>
      </c>
      <c r="H21" s="243">
        <v>0</v>
      </c>
      <c r="I21" s="243">
        <v>0</v>
      </c>
      <c r="J21" s="243">
        <v>0</v>
      </c>
      <c r="K21" s="243">
        <v>0</v>
      </c>
      <c r="L21" s="243">
        <v>0</v>
      </c>
      <c r="M21" s="243">
        <v>0</v>
      </c>
    </row>
    <row r="22" spans="1:13" x14ac:dyDescent="0.2">
      <c r="A22" s="211" t="str">
        <f>+'Plan Inversiones'!A24</f>
        <v>Cerramiento</v>
      </c>
      <c r="B22" s="211"/>
      <c r="C22" s="247">
        <f>+'Plan Inversiones'!F24</f>
        <v>70000</v>
      </c>
      <c r="D22" s="243">
        <f t="shared" si="0"/>
        <v>0</v>
      </c>
      <c r="E22" s="243">
        <v>0</v>
      </c>
      <c r="F22" s="243">
        <v>0</v>
      </c>
      <c r="G22" s="243">
        <v>0</v>
      </c>
      <c r="H22" s="243">
        <v>0</v>
      </c>
      <c r="I22" s="243">
        <v>0</v>
      </c>
      <c r="J22" s="243">
        <v>0</v>
      </c>
      <c r="K22" s="243">
        <v>0</v>
      </c>
      <c r="L22" s="243">
        <v>0</v>
      </c>
      <c r="M22" s="243">
        <v>0</v>
      </c>
    </row>
    <row r="23" spans="1:13" x14ac:dyDescent="0.2">
      <c r="A23" s="211" t="str">
        <f>+'Plan Inversiones'!A25</f>
        <v>Jardines</v>
      </c>
      <c r="B23" s="211"/>
      <c r="C23" s="247">
        <f>+'Plan Inversiones'!F25</f>
        <v>5400</v>
      </c>
      <c r="D23" s="243">
        <f t="shared" si="0"/>
        <v>0</v>
      </c>
      <c r="E23" s="243">
        <v>0</v>
      </c>
      <c r="F23" s="243">
        <v>0</v>
      </c>
      <c r="G23" s="243">
        <v>0</v>
      </c>
      <c r="H23" s="243">
        <v>0</v>
      </c>
      <c r="I23" s="243">
        <v>0</v>
      </c>
      <c r="J23" s="243">
        <v>0</v>
      </c>
      <c r="K23" s="243">
        <v>0</v>
      </c>
      <c r="L23" s="243">
        <v>0</v>
      </c>
      <c r="M23" s="243">
        <v>0</v>
      </c>
    </row>
    <row r="24" spans="1:13" x14ac:dyDescent="0.2">
      <c r="A24" s="213" t="str">
        <f>+'Plan Inversiones'!A26</f>
        <v>Pavimento</v>
      </c>
      <c r="B24" s="213"/>
      <c r="C24" s="245">
        <f>+'Plan Inversiones'!F26</f>
        <v>40000</v>
      </c>
      <c r="D24" s="243">
        <f t="shared" si="0"/>
        <v>0</v>
      </c>
      <c r="E24" s="243">
        <v>0</v>
      </c>
      <c r="F24" s="243">
        <v>0</v>
      </c>
      <c r="G24" s="243">
        <v>0</v>
      </c>
      <c r="H24" s="243">
        <v>0</v>
      </c>
      <c r="I24" s="243">
        <v>0</v>
      </c>
      <c r="J24" s="243">
        <v>0</v>
      </c>
      <c r="K24" s="243">
        <v>0</v>
      </c>
      <c r="L24" s="243">
        <v>0</v>
      </c>
      <c r="M24" s="243">
        <v>0</v>
      </c>
    </row>
    <row r="25" spans="1:13" x14ac:dyDescent="0.2">
      <c r="A25" s="213" t="str">
        <f>+'Plan Inversiones'!A27</f>
        <v>Mobiliario</v>
      </c>
      <c r="B25" s="213"/>
      <c r="C25" s="245">
        <f>+'Plan Inversiones'!F27</f>
        <v>6000</v>
      </c>
      <c r="D25" s="243">
        <f t="shared" si="0"/>
        <v>0</v>
      </c>
      <c r="E25" s="243">
        <v>0</v>
      </c>
      <c r="F25" s="243">
        <v>0</v>
      </c>
      <c r="G25" s="243">
        <v>0</v>
      </c>
      <c r="H25" s="243">
        <v>0</v>
      </c>
      <c r="I25" s="243">
        <v>0</v>
      </c>
      <c r="J25" s="243">
        <v>0</v>
      </c>
      <c r="K25" s="243">
        <v>0</v>
      </c>
      <c r="L25" s="243">
        <v>0</v>
      </c>
      <c r="M25" s="243">
        <v>0</v>
      </c>
    </row>
    <row r="26" spans="1:13" x14ac:dyDescent="0.2">
      <c r="A26" s="24" t="str">
        <f>+'Plan Inversiones'!A28</f>
        <v>Terrenos</v>
      </c>
      <c r="C26" s="243">
        <f>+'Plan Inversiones'!F28</f>
        <v>0</v>
      </c>
      <c r="D26" s="243">
        <f t="shared" si="0"/>
        <v>0</v>
      </c>
      <c r="E26" s="243">
        <v>0</v>
      </c>
      <c r="F26" s="243">
        <v>0</v>
      </c>
      <c r="G26" s="243">
        <v>0</v>
      </c>
      <c r="H26" s="243">
        <v>0</v>
      </c>
      <c r="I26" s="243">
        <v>0</v>
      </c>
      <c r="J26" s="243">
        <v>0</v>
      </c>
      <c r="K26" s="243">
        <v>0</v>
      </c>
      <c r="L26" s="243">
        <v>0</v>
      </c>
      <c r="M26" s="243">
        <v>0</v>
      </c>
    </row>
    <row r="27" spans="1:13" x14ac:dyDescent="0.2">
      <c r="A27" s="26" t="s">
        <v>31</v>
      </c>
      <c r="B27" s="156" t="s">
        <v>183</v>
      </c>
      <c r="C27" s="244">
        <f>SUM(C10:C26)</f>
        <v>7184300</v>
      </c>
      <c r="D27" s="244">
        <f t="shared" ref="D27:M27" si="4">SUM(D10:D26)</f>
        <v>0</v>
      </c>
      <c r="E27" s="244">
        <f t="shared" si="4"/>
        <v>0</v>
      </c>
      <c r="F27" s="244">
        <f t="shared" si="4"/>
        <v>0</v>
      </c>
      <c r="G27" s="244">
        <f t="shared" si="4"/>
        <v>0</v>
      </c>
      <c r="H27" s="244">
        <f t="shared" si="4"/>
        <v>0</v>
      </c>
      <c r="I27" s="244">
        <f>SUM(I10:I26)</f>
        <v>0</v>
      </c>
      <c r="J27" s="244">
        <f t="shared" si="4"/>
        <v>0</v>
      </c>
      <c r="K27" s="244">
        <f t="shared" si="4"/>
        <v>0</v>
      </c>
      <c r="L27" s="244">
        <f t="shared" si="4"/>
        <v>0</v>
      </c>
      <c r="M27" s="244">
        <f t="shared" si="4"/>
        <v>0</v>
      </c>
    </row>
    <row r="29" spans="1:13" x14ac:dyDescent="0.2">
      <c r="A29" s="154" t="s">
        <v>124</v>
      </c>
    </row>
    <row r="30" spans="1:13" x14ac:dyDescent="0.2">
      <c r="A30" s="212" t="str">
        <f>+A10</f>
        <v>Maquinaria liviana 4X4</v>
      </c>
      <c r="B30" s="212"/>
      <c r="C30" s="246">
        <v>0</v>
      </c>
      <c r="D30" s="243">
        <f>+SUM(C10:D10)*0.05+SUM(C10:D10)*0.05*Inflación!$D$8</f>
        <v>136281.60000000001</v>
      </c>
      <c r="E30" s="243">
        <f>+IF(E10=0,D30+D30*Inflación!E$8,SUM($C10:E10)*0.05+SUM($C10:E10)*0.05*Inflación!E8)</f>
        <v>141732.864</v>
      </c>
      <c r="F30" s="243">
        <f>+IF(F10=0,E30+E30*Inflación!F$8,SUM($C10:F10)*0.05+SUM($C10:F10)*0.05*Inflación!F8)</f>
        <v>147402.17856</v>
      </c>
      <c r="G30" s="243">
        <f>+IF(G10=0,F30+F30*Inflación!G$8,SUM($C10:G10)*0.05+SUM($C10:G10)*0.05*Inflación!G8)</f>
        <v>153298.26570240001</v>
      </c>
      <c r="H30" s="243">
        <f>+IF(H10=0,G30+G30*Inflación!H$8,SUM($C10:H10)*0.05+SUM($C10:H10)*0.05*Inflación!H8)</f>
        <v>159430.19633049599</v>
      </c>
      <c r="I30" s="243">
        <f>+IF(I10=0,H30+H30*Inflación!I$8,SUM($C10:I10)*0.05+SUM($C10:I10)*0.05*Inflación!I8)</f>
        <v>165807.40418371584</v>
      </c>
      <c r="J30" s="243">
        <f>+IF(J10=0,I30+I30*Inflación!J$8,SUM($C10:J10)*0.05+SUM($C10:J10)*0.05*Inflación!J8)</f>
        <v>172439.70035106447</v>
      </c>
      <c r="K30" s="243">
        <f>+IF(K10=0,J30+J30*Inflación!K$8,SUM($C10:K10)*0.05+SUM($C10:K10)*0.05*Inflación!K8)</f>
        <v>179337.28836510706</v>
      </c>
      <c r="L30" s="243">
        <f>+IF(L10=0,K30+K30*Inflación!L$8,SUM($C10:L10)*0.05+SUM($C10:L10)*0.05*Inflación!L8)</f>
        <v>186510.77989971134</v>
      </c>
      <c r="M30" s="243">
        <f>+IF(M10=0,L30+L30*Inflación!M$8,SUM($C10:M10)*0.05+SUM($C10:M10)*0.05*Inflación!M8)</f>
        <v>193971.21109569981</v>
      </c>
    </row>
    <row r="31" spans="1:13" x14ac:dyDescent="0.2">
      <c r="A31" s="212" t="str">
        <f>+A11</f>
        <v>Maquinaria pesados</v>
      </c>
      <c r="B31" s="212"/>
      <c r="C31" s="246">
        <v>0</v>
      </c>
      <c r="D31" s="243">
        <f>+SUM(C11:D11)*0.05+SUM(C11:D11)*0.05*Inflación!$D$8</f>
        <v>49795.199999999997</v>
      </c>
      <c r="E31" s="243">
        <f>+IF(E11=0,D31+D31*Inflación!E$8,SUM($C11:E11)*0.05+SUM($C11:E11)*0.05*Inflación!E9)</f>
        <v>51787.007999999994</v>
      </c>
      <c r="F31" s="243">
        <f>+IF(F11=0,E31+E31*Inflación!F$8,SUM($C11:F11)*0.05+SUM($C11:F11)*0.05*Inflación!F9)</f>
        <v>53858.488319999997</v>
      </c>
      <c r="G31" s="243">
        <f>+IF(G11=0,F31+F31*Inflación!G$8,SUM($C11:G11)*0.05+SUM($C11:G11)*0.05*Inflación!G9)</f>
        <v>56012.827852799994</v>
      </c>
      <c r="H31" s="243">
        <f>+IF(H11=0,G31+G31*Inflación!H$8,SUM($C11:H11)*0.05+SUM($C11:H11)*0.05*Inflación!H9)</f>
        <v>58253.340966911994</v>
      </c>
      <c r="I31" s="243">
        <f>+IF(I11=0,H31+H31*Inflación!I$8,SUM($C11:I11)*0.05+SUM($C11:I11)*0.05*Inflación!I9)</f>
        <v>60583.474605588475</v>
      </c>
      <c r="J31" s="243">
        <f>+IF(J11=0,I31+I31*Inflación!J$8,SUM($C11:J11)*0.05+SUM($C11:J11)*0.05*Inflación!J9)</f>
        <v>63006.813589812016</v>
      </c>
      <c r="K31" s="243">
        <f>+IF(K11=0,J31+J31*Inflación!K$8,SUM($C11:K11)*0.05+SUM($C11:K11)*0.05*Inflación!K9)</f>
        <v>65527.086133404497</v>
      </c>
      <c r="L31" s="243">
        <f>+IF(L11=0,K31+K31*Inflación!L$8,SUM($C11:L11)*0.05+SUM($C11:L11)*0.05*Inflación!L9)</f>
        <v>68148.169578740679</v>
      </c>
      <c r="M31" s="243">
        <f>+IF(M11=0,L31+L31*Inflación!M$8,SUM($C11:M11)*0.05+SUM($C11:M11)*0.05*Inflación!M9)</f>
        <v>70874.096361890304</v>
      </c>
    </row>
    <row r="32" spans="1:13" x14ac:dyDescent="0.2">
      <c r="A32" s="213" t="str">
        <f>+A12</f>
        <v>Maquinaria motos</v>
      </c>
      <c r="B32" s="213"/>
      <c r="C32" s="245">
        <v>0</v>
      </c>
      <c r="D32" s="243">
        <f>+SUM(C12:D12)*0.05+SUM(C12:D12)*0.05*Inflación!$D$8</f>
        <v>0</v>
      </c>
      <c r="E32" s="243">
        <f>+IF(E12=0,D32+D32*Inflación!E$8,SUM($C12:E12)*0.05+SUM($C12:E12)*0.05*Inflación!E10)</f>
        <v>0</v>
      </c>
      <c r="F32" s="243">
        <f>+IF(F12=0,E32+E32*Inflación!F$8,SUM($C12:F12)*0.05+SUM($C12:F12)*0.05*Inflación!F10)</f>
        <v>0</v>
      </c>
      <c r="G32" s="243">
        <f>+IF(G12=0,F32+F32*Inflación!G$8,SUM($C12:G12)*0.05+SUM($C12:G12)*0.05*Inflación!G10)</f>
        <v>0</v>
      </c>
      <c r="H32" s="243">
        <f>+IF(H12=0,G32+G32*Inflación!H$8,SUM($C12:H12)*0.05+SUM($C12:H12)*0.05*Inflación!H10)</f>
        <v>0</v>
      </c>
      <c r="I32" s="243">
        <f>+IF(I12=0,H32+H32*Inflación!I$8,SUM($C12:I12)*0.05+SUM($C12:I12)*0.05*Inflación!I10)</f>
        <v>0</v>
      </c>
      <c r="J32" s="243">
        <f>+IF(J12=0,I32+I32*Inflación!J$8,SUM($C12:J12)*0.05+SUM($C12:J12)*0.05*Inflación!J10)</f>
        <v>0</v>
      </c>
      <c r="K32" s="243">
        <f>+IF(K12=0,J32+J32*Inflación!K$8,SUM($C12:K12)*0.05+SUM($C12:K12)*0.05*Inflación!K10)</f>
        <v>0</v>
      </c>
      <c r="L32" s="243">
        <f>+IF(L12=0,K32+K32*Inflación!L$8,SUM($C12:L12)*0.05+SUM($C12:L12)*0.05*Inflación!L10)</f>
        <v>0</v>
      </c>
      <c r="M32" s="243">
        <f>+IF(M12=0,L32+L32*Inflación!M$8,SUM($C12:M12)*0.05+SUM($C12:M12)*0.05*Inflación!M10)</f>
        <v>0</v>
      </c>
    </row>
    <row r="33" spans="1:15" x14ac:dyDescent="0.2">
      <c r="A33" s="213" t="str">
        <f t="shared" ref="A33:A46" si="5">+A13</f>
        <v>Maquinaria común + instalaciones</v>
      </c>
      <c r="B33" s="213"/>
      <c r="C33" s="245">
        <v>0</v>
      </c>
      <c r="D33" s="243">
        <f>+SUM(C13:D13)*0.05+SUM(C13:D13)*0.05*Inflación!$D$8</f>
        <v>2620.8000000000002</v>
      </c>
      <c r="E33" s="243">
        <f>+IF(E13=0,D33+D33*Inflación!E$8,SUM($C13:E13)*0.05+SUM($C13:E13)*0.05*Inflación!E11)</f>
        <v>2725.6320000000001</v>
      </c>
      <c r="F33" s="243">
        <f>+IF(F13=0,E33+E33*Inflación!F$8,SUM($C13:F13)*0.05+SUM($C13:F13)*0.05*Inflación!F11)</f>
        <v>2834.6572799999999</v>
      </c>
      <c r="G33" s="243">
        <f>+IF(G13=0,F33+F33*Inflación!G$8,SUM($C13:G13)*0.05+SUM($C13:G13)*0.05*Inflación!G11)</f>
        <v>2948.0435711999999</v>
      </c>
      <c r="H33" s="243">
        <f>+IF(H13=0,G33+G33*Inflación!H$8,SUM($C13:H13)*0.05+SUM($C13:H13)*0.05*Inflación!H11)</f>
        <v>3065.965314048</v>
      </c>
      <c r="I33" s="243">
        <f>+IF(I13=0,H33+H33*Inflación!I$8,SUM($C13:I13)*0.05+SUM($C13:I13)*0.05*Inflación!I11)</f>
        <v>3188.6039266099201</v>
      </c>
      <c r="J33" s="243">
        <f>+IF(J13=0,I33+I33*Inflación!J$8,SUM($C13:J13)*0.05+SUM($C13:J13)*0.05*Inflación!J11)</f>
        <v>3316.1480836743167</v>
      </c>
      <c r="K33" s="243">
        <f>+IF(K13=0,J33+J33*Inflación!K$8,SUM($C13:K13)*0.05+SUM($C13:K13)*0.05*Inflación!K11)</f>
        <v>3448.7940070212894</v>
      </c>
      <c r="L33" s="243">
        <f>+IF(L13=0,K33+K33*Inflación!L$8,SUM($C13:L13)*0.05+SUM($C13:L13)*0.05*Inflación!L11)</f>
        <v>3586.7457673021408</v>
      </c>
      <c r="M33" s="243">
        <f>+IF(M13=0,L33+L33*Inflación!M$8,SUM($C13:M13)*0.05+SUM($C13:M13)*0.05*Inflación!M11)</f>
        <v>3730.2155979942263</v>
      </c>
    </row>
    <row r="34" spans="1:15" x14ac:dyDescent="0.2">
      <c r="A34" s="213" t="str">
        <f t="shared" si="5"/>
        <v>UPS + Generador</v>
      </c>
      <c r="B34" s="213"/>
      <c r="C34" s="245">
        <v>0</v>
      </c>
      <c r="D34" s="243">
        <f>+SUM(C14:D14)*0.05+SUM(C14:D14)*0.05*Inflación!$D$8</f>
        <v>780</v>
      </c>
      <c r="E34" s="243">
        <f>+IF(E14=0,D34+D34*Inflación!E$8,SUM($C14:E14)*0.05+SUM($C14:E14)*0.05*Inflación!E12)</f>
        <v>811.2</v>
      </c>
      <c r="F34" s="243">
        <f>+IF(F14=0,E34+E34*Inflación!F$8,SUM($C14:F14)*0.05+SUM($C14:F14)*0.05*Inflación!F12)</f>
        <v>843.64800000000002</v>
      </c>
      <c r="G34" s="243">
        <f>+IF(G14=0,F34+F34*Inflación!G$8,SUM($C14:G14)*0.05+SUM($C14:G14)*0.05*Inflación!G12)</f>
        <v>877.39391999999998</v>
      </c>
      <c r="H34" s="243">
        <f>+IF(H14=0,G34+G34*Inflación!H$8,SUM($C14:H14)*0.05+SUM($C14:H14)*0.05*Inflación!H12)</f>
        <v>912.48967679999998</v>
      </c>
      <c r="I34" s="243">
        <f>+IF(I14=0,H34+H34*Inflación!I$8,SUM($C14:I14)*0.05+SUM($C14:I14)*0.05*Inflación!I12)</f>
        <v>948.98926387200004</v>
      </c>
      <c r="J34" s="243">
        <f>+IF(J14=0,I34+I34*Inflación!J$8,SUM($C14:J14)*0.05+SUM($C14:J14)*0.05*Inflación!J12)</f>
        <v>986.94883442688001</v>
      </c>
      <c r="K34" s="243">
        <f>+IF(K14=0,J34+J34*Inflación!K$8,SUM($C14:K14)*0.05+SUM($C14:K14)*0.05*Inflación!K12)</f>
        <v>1026.4267878039552</v>
      </c>
      <c r="L34" s="243">
        <f>+IF(L14=0,K34+K34*Inflación!L$8,SUM($C14:L14)*0.05+SUM($C14:L14)*0.05*Inflación!L12)</f>
        <v>1067.4838593161135</v>
      </c>
      <c r="M34" s="243">
        <f>+IF(M14=0,L34+L34*Inflación!M$8,SUM($C14:M14)*0.05+SUM($C14:M14)*0.05*Inflación!M12)</f>
        <v>1110.1832136887581</v>
      </c>
    </row>
    <row r="35" spans="1:15" x14ac:dyDescent="0.2">
      <c r="A35" s="213" t="str">
        <f t="shared" si="5"/>
        <v>Computadoras de máquinas</v>
      </c>
      <c r="B35" s="213"/>
      <c r="C35" s="245">
        <v>0</v>
      </c>
      <c r="D35" s="243">
        <f>+SUM(C15:D15)*0.05+SUM(C15:D15)*0.05*Inflación!$D$8</f>
        <v>2948.4</v>
      </c>
      <c r="E35" s="243">
        <f>+IF(E15=0,D35+D35*Inflación!E$8,SUM($C15:E15)*0.05+SUM($C15:E15)*0.05*Inflación!E13)</f>
        <v>3066.3360000000002</v>
      </c>
      <c r="F35" s="243">
        <f>+IF(F15=0,E35+E35*Inflación!F$8,SUM($C15:F15)*0.05+SUM($C15:F15)*0.05*Inflación!F13)</f>
        <v>3188.9894400000003</v>
      </c>
      <c r="G35" s="243">
        <f>+IF(G15=0,F35+F35*Inflación!G$8,SUM($C15:G15)*0.05+SUM($C15:G15)*0.05*Inflación!G13)</f>
        <v>3316.5490176000003</v>
      </c>
      <c r="H35" s="243">
        <f>+IF(H15=0,G35+G35*Inflación!H$8,SUM($C15:H15)*0.05+SUM($C15:H15)*0.05*Inflación!H13)</f>
        <v>3449.2109783040005</v>
      </c>
      <c r="I35" s="243">
        <f>+IF(I15=0,H35+H35*Inflación!I$8,SUM($C15:I15)*0.05+SUM($C15:I15)*0.05*Inflación!I13)</f>
        <v>3587.1794174361603</v>
      </c>
      <c r="J35" s="243">
        <f>+IF(J15=0,I35+I35*Inflación!J$8,SUM($C15:J15)*0.05+SUM($C15:J15)*0.05*Inflación!J13)</f>
        <v>3730.6665941336068</v>
      </c>
      <c r="K35" s="243">
        <f>+IF(K15=0,J35+J35*Inflación!K$8,SUM($C15:K15)*0.05+SUM($C15:K15)*0.05*Inflación!K13)</f>
        <v>3879.8932578989511</v>
      </c>
      <c r="L35" s="243">
        <f>+IF(L15=0,K35+K35*Inflación!L$8,SUM($C15:L15)*0.05+SUM($C15:L15)*0.05*Inflación!L13)</f>
        <v>4035.088988214909</v>
      </c>
      <c r="M35" s="243">
        <f>+IF(M15=0,L35+L35*Inflación!M$8,SUM($C15:M15)*0.05+SUM($C15:M15)*0.05*Inflación!M13)</f>
        <v>4196.4925477435054</v>
      </c>
    </row>
    <row r="36" spans="1:15" x14ac:dyDescent="0.2">
      <c r="A36" s="213" t="str">
        <f t="shared" si="5"/>
        <v>Computadoras de administración</v>
      </c>
      <c r="B36" s="213"/>
      <c r="C36" s="245">
        <v>0</v>
      </c>
      <c r="D36" s="243">
        <f>+SUM(C16:D16)*0.05+SUM(C16:D16)*0.05*Inflación!$D$8</f>
        <v>171.6</v>
      </c>
      <c r="E36" s="243">
        <f>+IF(E16=0,D36+D36*Inflación!E$8,SUM($C16:E16)*0.05+SUM($C16:E16)*0.05*Inflación!E14)</f>
        <v>178.464</v>
      </c>
      <c r="F36" s="243">
        <f>+IF(F16=0,E36+E36*Inflación!F$8,SUM($C16:F16)*0.05+SUM($C16:F16)*0.05*Inflación!F14)</f>
        <v>185.60256000000001</v>
      </c>
      <c r="G36" s="243">
        <f>+IF(G16=0,F36+F36*Inflación!G$8,SUM($C16:G16)*0.05+SUM($C16:G16)*0.05*Inflación!G14)</f>
        <v>193.02666240000002</v>
      </c>
      <c r="H36" s="243">
        <f>+IF(H16=0,G36+G36*Inflación!H$8,SUM($C16:H16)*0.05+SUM($C16:H16)*0.05*Inflación!H14)</f>
        <v>200.74772889600001</v>
      </c>
      <c r="I36" s="243">
        <f>+IF(I16=0,H36+H36*Inflación!I$8,SUM($C16:I16)*0.05+SUM($C16:I16)*0.05*Inflación!I14)</f>
        <v>208.77763805184</v>
      </c>
      <c r="J36" s="243">
        <f>+IF(J16=0,I36+I36*Inflación!J$8,SUM($C16:J16)*0.05+SUM($C16:J16)*0.05*Inflación!J14)</f>
        <v>217.1287435739136</v>
      </c>
      <c r="K36" s="243">
        <f>+IF(K16=0,J36+J36*Inflación!K$8,SUM($C16:K16)*0.05+SUM($C16:K16)*0.05*Inflación!K14)</f>
        <v>225.81389331687015</v>
      </c>
      <c r="L36" s="243">
        <f>+IF(L16=0,K36+K36*Inflación!L$8,SUM($C16:L16)*0.05+SUM($C16:L16)*0.05*Inflación!L14)</f>
        <v>234.84644904954496</v>
      </c>
      <c r="M36" s="243">
        <f>+IF(M16=0,L36+L36*Inflación!M$8,SUM($C16:M16)*0.05+SUM($C16:M16)*0.05*Inflación!M14)</f>
        <v>244.24030701152677</v>
      </c>
    </row>
    <row r="37" spans="1:15" x14ac:dyDescent="0.2">
      <c r="A37" s="213" t="str">
        <f t="shared" si="5"/>
        <v>Servidor central</v>
      </c>
      <c r="B37" s="213"/>
      <c r="C37" s="245">
        <v>0</v>
      </c>
      <c r="D37" s="243">
        <f>+SUM(C17:D17)*0.05+SUM(C17:D17)*0.05*Inflación!$D$8</f>
        <v>130</v>
      </c>
      <c r="E37" s="243">
        <f>+IF(E17=0,D37+D37*Inflación!E$8,SUM($C17:E17)*0.05+SUM($C17:E17)*0.05*Inflación!E15)</f>
        <v>135.19999999999999</v>
      </c>
      <c r="F37" s="243">
        <f>+IF(F17=0,E37+E37*Inflación!F$8,SUM($C17:F17)*0.05+SUM($C17:F17)*0.05*Inflación!F15)</f>
        <v>140.60799999999998</v>
      </c>
      <c r="G37" s="243">
        <f>+IF(G17=0,F37+F37*Inflación!G$8,SUM($C17:G17)*0.05+SUM($C17:G17)*0.05*Inflación!G15)</f>
        <v>146.23231999999999</v>
      </c>
      <c r="H37" s="243">
        <f>+IF(H17=0,G37+G37*Inflación!H$8,SUM($C17:H17)*0.05+SUM($C17:H17)*0.05*Inflación!H15)</f>
        <v>152.08161279999999</v>
      </c>
      <c r="I37" s="243">
        <f>+IF(I17=0,H37+H37*Inflación!I$8,SUM($C17:I17)*0.05+SUM($C17:I17)*0.05*Inflación!I15)</f>
        <v>158.16487731199999</v>
      </c>
      <c r="J37" s="243">
        <f>+IF(J17=0,I37+I37*Inflación!J$8,SUM($C17:J17)*0.05+SUM($C17:J17)*0.05*Inflación!J15)</f>
        <v>164.49147240447999</v>
      </c>
      <c r="K37" s="243">
        <f>+IF(K17=0,J37+J37*Inflación!K$8,SUM($C17:K17)*0.05+SUM($C17:K17)*0.05*Inflación!K15)</f>
        <v>171.0711313006592</v>
      </c>
      <c r="L37" s="243">
        <f>+IF(L17=0,K37+K37*Inflación!L$8,SUM($C17:L17)*0.05+SUM($C17:L17)*0.05*Inflación!L15)</f>
        <v>177.91397655268557</v>
      </c>
      <c r="M37" s="243">
        <f>+IF(M17=0,L37+L37*Inflación!M$8,SUM($C17:M17)*0.05+SUM($C17:M17)*0.05*Inflación!M15)</f>
        <v>185.030535614793</v>
      </c>
    </row>
    <row r="38" spans="1:15" x14ac:dyDescent="0.2">
      <c r="A38" s="212" t="str">
        <f t="shared" si="5"/>
        <v>Software</v>
      </c>
      <c r="B38" s="212"/>
      <c r="C38" s="246">
        <v>0</v>
      </c>
      <c r="D38" s="243">
        <v>0</v>
      </c>
      <c r="E38" s="243">
        <f>+IF(E18=0,D38+D38*Inflación!E$8,SUM($C18:E18)*0.05+SUM($C18:E18)*0.05*Inflación!E16)</f>
        <v>0</v>
      </c>
      <c r="F38" s="243">
        <f>+IF(F18=0,E38+E38*Inflación!F$8,SUM($C18:F18)*0.05+SUM($C18:F18)*0.05*Inflación!F16)</f>
        <v>0</v>
      </c>
      <c r="G38" s="243">
        <f>+IF(G18=0,F38+F38*Inflación!G$8,SUM($C18:G18)*0.05+SUM($C18:G18)*0.05*Inflación!G16)</f>
        <v>0</v>
      </c>
      <c r="H38" s="243">
        <f>+IF(H18=0,G38+G38*Inflación!H$8,SUM($C18:H18)*0.05+SUM($C18:H18)*0.05*Inflación!H16)</f>
        <v>0</v>
      </c>
      <c r="I38" s="243">
        <f>+IF(I18=0,H38+H38*Inflación!I$8,SUM($C18:I18)*0.05+SUM($C18:I18)*0.05*Inflación!I16)</f>
        <v>0</v>
      </c>
      <c r="J38" s="243">
        <f>+IF(J18=0,I38+I38*Inflación!J$8,SUM($C18:J18)*0.05+SUM($C18:J18)*0.05*Inflación!J16)</f>
        <v>0</v>
      </c>
      <c r="K38" s="243">
        <f>+IF(K18=0,J38+J38*Inflación!K$8,SUM($C18:K18)*0.05+SUM($C18:K18)*0.05*Inflación!K16)</f>
        <v>0</v>
      </c>
      <c r="L38" s="243">
        <f>+IF(L18=0,K38+K38*Inflación!L$8,SUM($C18:L18)*0.05+SUM($C18:L18)*0.05*Inflación!L16)</f>
        <v>0</v>
      </c>
      <c r="M38" s="243">
        <f>+IF(M18=0,L38+L38*Inflación!M$8,SUM($C18:M18)*0.05+SUM($C18:M18)*0.05*Inflación!M16)</f>
        <v>0</v>
      </c>
    </row>
    <row r="39" spans="1:15" x14ac:dyDescent="0.2">
      <c r="A39" s="212" t="str">
        <f t="shared" si="5"/>
        <v>Nave</v>
      </c>
      <c r="B39" s="212"/>
      <c r="C39" s="246">
        <v>0</v>
      </c>
      <c r="D39" s="243">
        <v>1000</v>
      </c>
      <c r="E39" s="243">
        <f>+IF(E19=0,D39+D39*Inflación!E$8,SUM($C19:E19)*0.05+SUM($C19:E19)*0.05*Inflación!E17)</f>
        <v>1040</v>
      </c>
      <c r="F39" s="243">
        <f>+IF(F19=0,E39+E39*Inflación!F$8,SUM($C19:F19)*0.05+SUM($C19:F19)*0.05*Inflación!F17)</f>
        <v>1081.5999999999999</v>
      </c>
      <c r="G39" s="243">
        <f>+IF(G19=0,F39+F39*Inflación!G$8,SUM($C19:G19)*0.05+SUM($C19:G19)*0.05*Inflación!G17)</f>
        <v>1124.8639999999998</v>
      </c>
      <c r="H39" s="243">
        <f>+IF(H19=0,G39+G39*Inflación!H$8,SUM($C19:H19)*0.05+SUM($C19:H19)*0.05*Inflación!H17)</f>
        <v>1169.8585599999999</v>
      </c>
      <c r="I39" s="243">
        <f>+IF(I19=0,H39+H39*Inflación!I$8,SUM($C19:I19)*0.05+SUM($C19:I19)*0.05*Inflación!I17)</f>
        <v>1216.6529023999999</v>
      </c>
      <c r="J39" s="243">
        <f>+IF(J19=0,I39+I39*Inflación!J$8,SUM($C19:J19)*0.05+SUM($C19:J19)*0.05*Inflación!J17)</f>
        <v>1265.3190184959999</v>
      </c>
      <c r="K39" s="243">
        <f>+IF(K19=0,J39+J39*Inflación!K$8,SUM($C19:K19)*0.05+SUM($C19:K19)*0.05*Inflación!K17)</f>
        <v>1315.9317792358399</v>
      </c>
      <c r="L39" s="243">
        <f>+IF(L19=0,K39+K39*Inflación!L$8,SUM($C19:L19)*0.05+SUM($C19:L19)*0.05*Inflación!L17)</f>
        <v>1368.5690504052736</v>
      </c>
      <c r="M39" s="243">
        <f>+IF(M19=0,L39+L39*Inflación!M$8,SUM($C19:M19)*0.05+SUM($C19:M19)*0.05*Inflación!M17)</f>
        <v>1423.3118124214845</v>
      </c>
    </row>
    <row r="40" spans="1:15" x14ac:dyDescent="0.2">
      <c r="A40" s="212" t="str">
        <f t="shared" si="5"/>
        <v>Instalaciones administrativas</v>
      </c>
      <c r="B40" s="212"/>
      <c r="C40" s="246">
        <v>0</v>
      </c>
      <c r="D40" s="243">
        <v>500</v>
      </c>
      <c r="E40" s="243">
        <f>+IF(E20=0,D40+D40*Inflación!E$8,SUM($C20:E20)*0.05+SUM($C20:E20)*0.05*Inflación!E18)</f>
        <v>520</v>
      </c>
      <c r="F40" s="243">
        <f>+IF(F20=0,E40+E40*Inflación!F$8,SUM($C20:F20)*0.05+SUM($C20:F20)*0.05*Inflación!F18)</f>
        <v>540.79999999999995</v>
      </c>
      <c r="G40" s="243">
        <f>+IF(G20=0,F40+F40*Inflación!G$8,SUM($C20:G20)*0.05+SUM($C20:G20)*0.05*Inflación!G18)</f>
        <v>562.4319999999999</v>
      </c>
      <c r="H40" s="243">
        <f>+IF(H20=0,G40+G40*Inflación!H$8,SUM($C20:H20)*0.05+SUM($C20:H20)*0.05*Inflación!H18)</f>
        <v>584.92927999999995</v>
      </c>
      <c r="I40" s="243">
        <f>+IF(I20=0,H40+H40*Inflación!I$8,SUM($C20:I20)*0.05+SUM($C20:I20)*0.05*Inflación!I18)</f>
        <v>608.32645119999995</v>
      </c>
      <c r="J40" s="243">
        <f>+IF(J20=0,I40+I40*Inflación!J$8,SUM($C20:J20)*0.05+SUM($C20:J20)*0.05*Inflación!J18)</f>
        <v>632.65950924799995</v>
      </c>
      <c r="K40" s="243">
        <f>+IF(K20=0,J40+J40*Inflación!K$8,SUM($C20:K20)*0.05+SUM($C20:K20)*0.05*Inflación!K18)</f>
        <v>657.96588961791997</v>
      </c>
      <c r="L40" s="243">
        <f>+IF(L20=0,K40+K40*Inflación!L$8,SUM($C20:L20)*0.05+SUM($C20:L20)*0.05*Inflación!L18)</f>
        <v>684.28452520263681</v>
      </c>
      <c r="M40" s="243">
        <f>+IF(M20=0,L40+L40*Inflación!M$8,SUM($C20:M20)*0.05+SUM($C20:M20)*0.05*Inflación!M18)</f>
        <v>711.65590621074227</v>
      </c>
    </row>
    <row r="41" spans="1:15" x14ac:dyDescent="0.2">
      <c r="A41" s="212" t="str">
        <f t="shared" si="5"/>
        <v>Señalización</v>
      </c>
      <c r="B41" s="212"/>
      <c r="C41" s="246">
        <v>0</v>
      </c>
      <c r="D41" s="243">
        <v>300</v>
      </c>
      <c r="E41" s="243">
        <f>+IF(E21=0,D41+D41*Inflación!E$8,SUM($C21:E21)*0.05+SUM($C21:E21)*0.05*Inflación!E19)</f>
        <v>312</v>
      </c>
      <c r="F41" s="243">
        <f>+IF(F21=0,E41+E41*Inflación!F$8,SUM($C21:F21)*0.05+SUM($C21:F21)*0.05*Inflación!F19)</f>
        <v>324.48</v>
      </c>
      <c r="G41" s="243">
        <f>+IF(G21=0,F41+F41*Inflación!G$8,SUM($C21:G21)*0.05+SUM($C21:G21)*0.05*Inflación!G19)</f>
        <v>337.45920000000001</v>
      </c>
      <c r="H41" s="243">
        <f>+IF(H21=0,G41+G41*Inflación!H$8,SUM($C21:H21)*0.05+SUM($C21:H21)*0.05*Inflación!H19)</f>
        <v>350.95756800000004</v>
      </c>
      <c r="I41" s="243">
        <f>+IF(I21=0,H41+H41*Inflación!I$8,SUM($C21:I21)*0.05+SUM($C21:I21)*0.05*Inflación!I19)</f>
        <v>364.99587072000003</v>
      </c>
      <c r="J41" s="243">
        <f>+IF(J21=0,I41+I41*Inflación!J$8,SUM($C21:J21)*0.05+SUM($C21:J21)*0.05*Inflación!J19)</f>
        <v>379.59570554880003</v>
      </c>
      <c r="K41" s="243">
        <f>+IF(K21=0,J41+J41*Inflación!K$8,SUM($C21:K21)*0.05+SUM($C21:K21)*0.05*Inflación!K19)</f>
        <v>394.77953377075204</v>
      </c>
      <c r="L41" s="243">
        <f>+IF(L21=0,K41+K41*Inflación!L$8,SUM($C21:L21)*0.05+SUM($C21:L21)*0.05*Inflación!L19)</f>
        <v>410.57071512158211</v>
      </c>
      <c r="M41" s="243">
        <f>+IF(M21=0,L41+L41*Inflación!M$8,SUM($C21:M21)*0.05+SUM($C21:M21)*0.05*Inflación!M19)</f>
        <v>426.99354372644541</v>
      </c>
    </row>
    <row r="42" spans="1:15" x14ac:dyDescent="0.2">
      <c r="A42" s="212" t="str">
        <f t="shared" si="5"/>
        <v>Cerramiento</v>
      </c>
      <c r="B42" s="212"/>
      <c r="C42" s="246">
        <v>0</v>
      </c>
      <c r="D42" s="243">
        <v>400</v>
      </c>
      <c r="E42" s="243">
        <f>+IF(E22=0,D42+D42*Inflación!E$8,SUM($C22:E22)*0.05+SUM($C22:E22)*0.05*Inflación!E20)</f>
        <v>416</v>
      </c>
      <c r="F42" s="243">
        <f>+IF(F22=0,E42+E42*Inflación!F$8,SUM($C22:F22)*0.05+SUM($C22:F22)*0.05*Inflación!F20)</f>
        <v>432.64</v>
      </c>
      <c r="G42" s="243">
        <f>+IF(G22=0,F42+F42*Inflación!G$8,SUM($C22:G22)*0.05+SUM($C22:G22)*0.05*Inflación!G20)</f>
        <v>449.94560000000001</v>
      </c>
      <c r="H42" s="243">
        <f>+IF(H22=0,G42+G42*Inflación!H$8,SUM($C22:H22)*0.05+SUM($C22:H22)*0.05*Inflación!H20)</f>
        <v>467.94342399999999</v>
      </c>
      <c r="I42" s="243">
        <f>+IF(I22=0,H42+H42*Inflación!I$8,SUM($C22:I22)*0.05+SUM($C22:I22)*0.05*Inflación!I20)</f>
        <v>486.66116096000002</v>
      </c>
      <c r="J42" s="243">
        <f>+IF(J22=0,I42+I42*Inflación!J$8,SUM($C22:J22)*0.05+SUM($C22:J22)*0.05*Inflación!J20)</f>
        <v>506.12760739840002</v>
      </c>
      <c r="K42" s="243">
        <f>+IF(K22=0,J42+J42*Inflación!K$8,SUM($C22:K22)*0.05+SUM($C22:K22)*0.05*Inflación!K20)</f>
        <v>526.37271169433598</v>
      </c>
      <c r="L42" s="243">
        <f>+IF(L22=0,K42+K42*Inflación!L$8,SUM($C22:L22)*0.05+SUM($C22:L22)*0.05*Inflación!L20)</f>
        <v>547.42762016210941</v>
      </c>
      <c r="M42" s="243">
        <f>+IF(M22=0,L42+L42*Inflación!M$8,SUM($C22:M22)*0.05+SUM($C22:M22)*0.05*Inflación!M20)</f>
        <v>569.32472496859373</v>
      </c>
    </row>
    <row r="43" spans="1:15" x14ac:dyDescent="0.2">
      <c r="A43" s="212" t="str">
        <f t="shared" si="5"/>
        <v>Jardines</v>
      </c>
      <c r="B43" s="212"/>
      <c r="C43" s="246">
        <v>0</v>
      </c>
      <c r="D43" s="243">
        <v>250</v>
      </c>
      <c r="E43" s="243">
        <f>+IF(E23=0,D43+D43*Inflación!E$8,SUM($C23:E23)*0.05+SUM($C23:E23)*0.05*Inflación!E21)</f>
        <v>260</v>
      </c>
      <c r="F43" s="243">
        <f>+IF(F23=0,E43+E43*Inflación!F$8,SUM($C23:F23)*0.05+SUM($C23:F23)*0.05*Inflación!F21)</f>
        <v>270.39999999999998</v>
      </c>
      <c r="G43" s="243">
        <f>+IF(G23=0,F43+F43*Inflación!G$8,SUM($C23:G23)*0.05+SUM($C23:G23)*0.05*Inflación!G21)</f>
        <v>281.21599999999995</v>
      </c>
      <c r="H43" s="243">
        <f>+IF(H23=0,G43+G43*Inflación!H$8,SUM($C23:H23)*0.05+SUM($C23:H23)*0.05*Inflación!H21)</f>
        <v>292.46463999999997</v>
      </c>
      <c r="I43" s="243">
        <f>+IF(I23=0,H43+H43*Inflación!I$8,SUM($C23:I23)*0.05+SUM($C23:I23)*0.05*Inflación!I21)</f>
        <v>304.16322559999998</v>
      </c>
      <c r="J43" s="243">
        <f>+IF(J23=0,I43+I43*Inflación!J$8,SUM($C23:J23)*0.05+SUM($C23:J23)*0.05*Inflación!J21)</f>
        <v>316.32975462399997</v>
      </c>
      <c r="K43" s="243">
        <f>+IF(K23=0,J43+J43*Inflación!K$8,SUM($C23:K23)*0.05+SUM($C23:K23)*0.05*Inflación!K21)</f>
        <v>328.98294480895999</v>
      </c>
      <c r="L43" s="243">
        <f>+IF(L23=0,K43+K43*Inflación!L$8,SUM($C23:L23)*0.05+SUM($C23:L23)*0.05*Inflación!L21)</f>
        <v>342.14226260131841</v>
      </c>
      <c r="M43" s="243">
        <f>+IF(M23=0,L43+L43*Inflación!M$8,SUM($C23:M23)*0.05+SUM($C23:M23)*0.05*Inflación!M21)</f>
        <v>355.82795310537114</v>
      </c>
    </row>
    <row r="44" spans="1:15" x14ac:dyDescent="0.2">
      <c r="A44" s="213" t="str">
        <f t="shared" si="5"/>
        <v>Pavimento</v>
      </c>
      <c r="B44" s="213"/>
      <c r="C44" s="245">
        <v>0</v>
      </c>
      <c r="D44" s="243">
        <v>500</v>
      </c>
      <c r="E44" s="243">
        <f>+IF(E24=0,D44+D44*Inflación!E$8,SUM($C24:E24)*0.05+SUM($C24:E24)*0.05*Inflación!E22)</f>
        <v>520</v>
      </c>
      <c r="F44" s="243">
        <f>+IF(F24=0,E44+E44*Inflación!F$8,SUM($C24:F24)*0.05+SUM($C24:F24)*0.05*Inflación!F22)</f>
        <v>540.79999999999995</v>
      </c>
      <c r="G44" s="243">
        <f>+IF(G24=0,F44+F44*Inflación!G$8,SUM($C24:G24)*0.05+SUM($C24:G24)*0.05*Inflación!G22)</f>
        <v>562.4319999999999</v>
      </c>
      <c r="H44" s="243">
        <f>+IF(H24=0,G44+G44*Inflación!H$8,SUM($C24:H24)*0.05+SUM($C24:H24)*0.05*Inflación!H22)</f>
        <v>584.92927999999995</v>
      </c>
      <c r="I44" s="243">
        <f>+IF(I24=0,H44+H44*Inflación!I$8,SUM($C24:I24)*0.05+SUM($C24:I24)*0.05*Inflación!I22)</f>
        <v>608.32645119999995</v>
      </c>
      <c r="J44" s="243">
        <f>+IF(J24=0,I44+I44*Inflación!J$8,SUM($C24:J24)*0.05+SUM($C24:J24)*0.05*Inflación!J22)</f>
        <v>632.65950924799995</v>
      </c>
      <c r="K44" s="243">
        <f>+IF(K24=0,J44+J44*Inflación!K$8,SUM($C24:K24)*0.05+SUM($C24:K24)*0.05*Inflación!K22)</f>
        <v>657.96588961791997</v>
      </c>
      <c r="L44" s="243">
        <f>+IF(L24=0,K44+K44*Inflación!L$8,SUM($C24:L24)*0.05+SUM($C24:L24)*0.05*Inflación!L22)</f>
        <v>684.28452520263681</v>
      </c>
      <c r="M44" s="243">
        <f>+IF(M24=0,L44+L44*Inflación!M$8,SUM($C24:M24)*0.05+SUM($C24:M24)*0.05*Inflación!M22)</f>
        <v>711.65590621074227</v>
      </c>
    </row>
    <row r="45" spans="1:15" x14ac:dyDescent="0.2">
      <c r="A45" s="213" t="str">
        <f t="shared" si="5"/>
        <v>Mobiliario</v>
      </c>
      <c r="B45" s="213"/>
      <c r="C45" s="245">
        <v>0</v>
      </c>
      <c r="D45" s="243">
        <v>200</v>
      </c>
      <c r="E45" s="243">
        <f>+IF(E25=0,D45+D45*Inflación!E$8,SUM($C25:E25)*0.05+SUM($C25:E25)*0.05*Inflación!E23)</f>
        <v>208</v>
      </c>
      <c r="F45" s="243">
        <f>+IF(F25=0,E45+E45*Inflación!F$8,SUM($C25:F25)*0.05+SUM($C25:F25)*0.05*Inflación!F23)</f>
        <v>216.32</v>
      </c>
      <c r="G45" s="243">
        <f>+IF(G25=0,F45+F45*Inflación!G$8,SUM($C25:G25)*0.05+SUM($C25:G25)*0.05*Inflación!G23)</f>
        <v>224.97280000000001</v>
      </c>
      <c r="H45" s="243">
        <f>+IF(H25=0,G45+G45*Inflación!H$8,SUM($C25:H25)*0.05+SUM($C25:H25)*0.05*Inflación!H23)</f>
        <v>233.971712</v>
      </c>
      <c r="I45" s="243">
        <f>+IF(I25=0,H45+H45*Inflación!I$8,SUM($C25:I25)*0.05+SUM($C25:I25)*0.05*Inflación!I23)</f>
        <v>243.33058048000001</v>
      </c>
      <c r="J45" s="243">
        <f>+IF(J25=0,I45+I45*Inflación!J$8,SUM($C25:J25)*0.05+SUM($C25:J25)*0.05*Inflación!J23)</f>
        <v>253.06380369920001</v>
      </c>
      <c r="K45" s="243">
        <f>+IF(K25=0,J45+J45*Inflación!K$8,SUM($C25:K25)*0.05+SUM($C25:K25)*0.05*Inflación!K23)</f>
        <v>263.18635584716799</v>
      </c>
      <c r="L45" s="243">
        <f>+IF(L25=0,K45+K45*Inflación!L$8,SUM($C25:L25)*0.05+SUM($C25:L25)*0.05*Inflación!L23)</f>
        <v>273.7138100810547</v>
      </c>
      <c r="M45" s="243">
        <f>+IF(M25=0,L45+L45*Inflación!M$8,SUM($C25:M25)*0.05+SUM($C25:M25)*0.05*Inflación!M23)</f>
        <v>284.66236248429686</v>
      </c>
    </row>
    <row r="46" spans="1:15" x14ac:dyDescent="0.2">
      <c r="A46" s="213" t="str">
        <f t="shared" si="5"/>
        <v>Terrenos</v>
      </c>
      <c r="B46" s="213"/>
      <c r="C46" s="245">
        <v>0</v>
      </c>
      <c r="D46" s="243">
        <v>0</v>
      </c>
      <c r="E46" s="243">
        <f>+IF(E26=0,D46+D46*Inflación!E$8,SUM($C26:E26)*0.05+SUM($C26:E26)*0.05*Inflación!E24)</f>
        <v>0</v>
      </c>
      <c r="F46" s="243">
        <f>+IF(F26=0,E46+E46*Inflación!F$8,SUM($C26:F26)*0.05+SUM($C26:F26)*0.05*Inflación!F24)</f>
        <v>0</v>
      </c>
      <c r="G46" s="243">
        <f>+IF(G26=0,F46+F46*Inflación!G$8,SUM($C26:G26)*0.05+SUM($C26:G26)*0.05*Inflación!G24)</f>
        <v>0</v>
      </c>
      <c r="H46" s="243">
        <f>+IF(H26=0,G46+G46*Inflación!H$8,SUM($C26:H26)*0.05+SUM($C26:H26)*0.05*Inflación!H24)</f>
        <v>0</v>
      </c>
      <c r="I46" s="243">
        <f>+IF(I26=0,H46+H46*Inflación!I$8,SUM($C26:I26)*0.05+SUM($C26:I26)*0.05*Inflación!I24)</f>
        <v>0</v>
      </c>
      <c r="J46" s="243">
        <f>+IF(J26=0,I46+I46*Inflación!J$8,SUM($C26:J26)*0.05+SUM($C26:J26)*0.05*Inflación!J24)</f>
        <v>0</v>
      </c>
      <c r="K46" s="243">
        <f>+IF(K26=0,J46+J46*Inflación!K$8,SUM($C26:K26)*0.05+SUM($C26:K26)*0.05*Inflación!K24)</f>
        <v>0</v>
      </c>
      <c r="L46" s="243">
        <f>+IF(L26=0,K46+K46*Inflación!L$8,SUM($C26:L26)*0.05+SUM($C26:L26)*0.05*Inflación!L24)</f>
        <v>0</v>
      </c>
      <c r="M46" s="243">
        <f>+IF(M26=0,L46+L46*Inflación!M$8,SUM($C26:M26)*0.05+SUM($C26:M26)*0.05*Inflación!M24)</f>
        <v>0</v>
      </c>
    </row>
    <row r="47" spans="1:15" x14ac:dyDescent="0.2">
      <c r="A47" s="26" t="s">
        <v>31</v>
      </c>
      <c r="B47" s="156"/>
      <c r="C47" s="244">
        <f t="shared" ref="C47:M47" si="6">SUM(C30:C46)</f>
        <v>0</v>
      </c>
      <c r="D47" s="244">
        <f t="shared" si="6"/>
        <v>195877.59999999998</v>
      </c>
      <c r="E47" s="244">
        <f t="shared" si="6"/>
        <v>203712.70400000006</v>
      </c>
      <c r="F47" s="244">
        <f t="shared" si="6"/>
        <v>211861.21216000002</v>
      </c>
      <c r="G47" s="244">
        <f t="shared" si="6"/>
        <v>220335.66064639998</v>
      </c>
      <c r="H47" s="244">
        <f t="shared" si="6"/>
        <v>229149.08707225599</v>
      </c>
      <c r="I47" s="244">
        <f t="shared" si="6"/>
        <v>238315.05055514624</v>
      </c>
      <c r="J47" s="244">
        <f t="shared" si="6"/>
        <v>247847.65257735207</v>
      </c>
      <c r="K47" s="244">
        <f t="shared" si="6"/>
        <v>257761.55868044615</v>
      </c>
      <c r="L47" s="244">
        <f t="shared" si="6"/>
        <v>268072.02102766401</v>
      </c>
      <c r="M47" s="244">
        <f t="shared" si="6"/>
        <v>278794.90186877071</v>
      </c>
      <c r="N47" s="24" t="s">
        <v>183</v>
      </c>
      <c r="O47" s="24" t="s">
        <v>183</v>
      </c>
    </row>
    <row r="49" spans="1:13" x14ac:dyDescent="0.2">
      <c r="A49" s="26"/>
      <c r="B49" s="156"/>
      <c r="C49" s="244"/>
      <c r="D49" s="244"/>
      <c r="E49" s="244"/>
      <c r="F49" s="244"/>
      <c r="G49" s="244"/>
      <c r="H49" s="244"/>
      <c r="I49" s="244"/>
      <c r="J49" s="244"/>
      <c r="K49" s="244"/>
      <c r="L49" s="244"/>
      <c r="M49" s="244"/>
    </row>
    <row r="50" spans="1:13" ht="13.5" customHeight="1" x14ac:dyDescent="0.2">
      <c r="A50" s="26" t="s">
        <v>544</v>
      </c>
      <c r="C50" s="243">
        <f>C26+C46</f>
        <v>0</v>
      </c>
    </row>
    <row r="52" spans="1:13" x14ac:dyDescent="0.2">
      <c r="A52" s="24" t="s">
        <v>646</v>
      </c>
      <c r="C52" s="243"/>
      <c r="D52" s="243"/>
      <c r="E52" s="243">
        <v>30000</v>
      </c>
    </row>
    <row r="53" spans="1:13" x14ac:dyDescent="0.2">
      <c r="A53" s="24" t="s">
        <v>647</v>
      </c>
      <c r="F53" s="243">
        <v>6000</v>
      </c>
      <c r="G53" s="243">
        <f>+F53+F53*Inflación!F8</f>
        <v>6240</v>
      </c>
      <c r="H53" s="243">
        <f>+G53+G53*Inflación!G8</f>
        <v>6489.6</v>
      </c>
      <c r="I53" s="243">
        <f>+H53+H53*Inflación!H8</f>
        <v>6749.1840000000002</v>
      </c>
      <c r="J53" s="243">
        <f>+I53+I53*Inflación!I8</f>
        <v>7019.1513599999998</v>
      </c>
      <c r="K53" s="243">
        <f>+J53+J53*Inflación!J8</f>
        <v>7299.9174143999999</v>
      </c>
      <c r="L53" s="243">
        <f>+K53+K53*Inflación!K8</f>
        <v>7591.9141109760003</v>
      </c>
      <c r="M53" s="243">
        <f>+L53+L53*Inflación!L8</f>
        <v>7895.5906754150401</v>
      </c>
    </row>
    <row r="54" spans="1:13" x14ac:dyDescent="0.2">
      <c r="A54" s="26" t="s">
        <v>31</v>
      </c>
      <c r="C54" s="244">
        <f>SUM(C52:C53)</f>
        <v>0</v>
      </c>
      <c r="D54" s="244">
        <f>SUM(D52:D53)</f>
        <v>0</v>
      </c>
      <c r="E54" s="244">
        <f>SUM(E52:E53)</f>
        <v>30000</v>
      </c>
      <c r="F54" s="244">
        <f t="shared" ref="F54:M54" si="7">SUM(F52:F53)</f>
        <v>6000</v>
      </c>
      <c r="G54" s="244">
        <f t="shared" si="7"/>
        <v>6240</v>
      </c>
      <c r="H54" s="244">
        <f t="shared" si="7"/>
        <v>6489.6</v>
      </c>
      <c r="I54" s="244">
        <f t="shared" si="7"/>
        <v>6749.1840000000002</v>
      </c>
      <c r="J54" s="244">
        <f t="shared" si="7"/>
        <v>7019.1513599999998</v>
      </c>
      <c r="K54" s="244">
        <f t="shared" si="7"/>
        <v>7299.9174143999999</v>
      </c>
      <c r="L54" s="244">
        <f t="shared" si="7"/>
        <v>7591.9141109760003</v>
      </c>
      <c r="M54" s="244">
        <f t="shared" si="7"/>
        <v>7895.5906754150401</v>
      </c>
    </row>
    <row r="56" spans="1:13" ht="14.25" customHeight="1" x14ac:dyDescent="0.2">
      <c r="A56" s="26" t="s">
        <v>469</v>
      </c>
      <c r="B56" s="26"/>
      <c r="C56" s="248">
        <f>+'Plan Inversiones'!F63</f>
        <v>257500</v>
      </c>
    </row>
    <row r="57" spans="1:13" ht="14.25" customHeight="1" x14ac:dyDescent="0.2"/>
    <row r="58" spans="1:13" s="26" customFormat="1" x14ac:dyDescent="0.2">
      <c r="A58" s="26" t="s">
        <v>354</v>
      </c>
      <c r="C58" s="244">
        <f t="shared" ref="C58:E58" si="8">C27+C47+C54+C56</f>
        <v>7441800</v>
      </c>
      <c r="D58" s="244">
        <f t="shared" si="8"/>
        <v>195877.59999999998</v>
      </c>
      <c r="E58" s="244">
        <f t="shared" si="8"/>
        <v>233712.70400000006</v>
      </c>
      <c r="F58" s="244">
        <f>F27+F47+F54+F56</f>
        <v>217861.21216000002</v>
      </c>
      <c r="G58" s="244">
        <f t="shared" ref="G58:M58" si="9">G27+G47+G54+G56</f>
        <v>226575.66064639998</v>
      </c>
      <c r="H58" s="244">
        <f t="shared" si="9"/>
        <v>235638.687072256</v>
      </c>
      <c r="I58" s="244">
        <f t="shared" si="9"/>
        <v>245064.23455514625</v>
      </c>
      <c r="J58" s="244">
        <f t="shared" si="9"/>
        <v>254866.80393735206</v>
      </c>
      <c r="K58" s="244">
        <f t="shared" si="9"/>
        <v>265061.47609484615</v>
      </c>
      <c r="L58" s="244">
        <f t="shared" si="9"/>
        <v>275663.93513863999</v>
      </c>
      <c r="M58" s="244">
        <f t="shared" si="9"/>
        <v>286690.49254418578</v>
      </c>
    </row>
    <row r="59" spans="1:13" x14ac:dyDescent="0.2">
      <c r="A59" s="156" t="s">
        <v>183</v>
      </c>
      <c r="B59" s="156"/>
      <c r="C59" s="288">
        <f>+C58-C56-C54</f>
        <v>7184300</v>
      </c>
      <c r="D59" s="288">
        <f t="shared" ref="D59:M59" si="10">+D58-D56-D54</f>
        <v>195877.59999999998</v>
      </c>
      <c r="E59" s="288">
        <f t="shared" si="10"/>
        <v>203712.70400000006</v>
      </c>
      <c r="F59" s="288">
        <f t="shared" si="10"/>
        <v>211861.21216000002</v>
      </c>
      <c r="G59" s="288">
        <f t="shared" si="10"/>
        <v>220335.66064639998</v>
      </c>
      <c r="H59" s="288">
        <f t="shared" si="10"/>
        <v>229149.08707225599</v>
      </c>
      <c r="I59" s="288">
        <f t="shared" si="10"/>
        <v>238315.05055514624</v>
      </c>
      <c r="J59" s="288">
        <f t="shared" si="10"/>
        <v>247847.65257735207</v>
      </c>
      <c r="K59" s="288">
        <f t="shared" si="10"/>
        <v>257761.55868044615</v>
      </c>
      <c r="L59" s="288">
        <f t="shared" si="10"/>
        <v>268072.02102766401</v>
      </c>
      <c r="M59" s="288">
        <f t="shared" si="10"/>
        <v>278794.90186877071</v>
      </c>
    </row>
    <row r="60" spans="1:13" x14ac:dyDescent="0.2">
      <c r="A60" s="166" t="s">
        <v>183</v>
      </c>
      <c r="B60" s="156" t="s">
        <v>183</v>
      </c>
      <c r="C60" s="243"/>
      <c r="D60" s="243" t="s">
        <v>183</v>
      </c>
    </row>
    <row r="61" spans="1:13" x14ac:dyDescent="0.2">
      <c r="B61" s="156"/>
      <c r="C61" s="244" t="s">
        <v>183</v>
      </c>
      <c r="D61" s="243" t="s">
        <v>183</v>
      </c>
    </row>
    <row r="62" spans="1:13" x14ac:dyDescent="0.2">
      <c r="B62" s="156"/>
      <c r="C62" s="243" t="s">
        <v>183</v>
      </c>
      <c r="D62" s="243" t="s">
        <v>183</v>
      </c>
    </row>
    <row r="63" spans="1:13" x14ac:dyDescent="0.2">
      <c r="B63" s="156"/>
      <c r="C63" s="243" t="s">
        <v>183</v>
      </c>
      <c r="D63" s="243" t="s">
        <v>183</v>
      </c>
    </row>
    <row r="64" spans="1:13" x14ac:dyDescent="0.2">
      <c r="B64" s="156"/>
      <c r="C64" s="243" t="s">
        <v>183</v>
      </c>
      <c r="D64" s="243" t="s">
        <v>183</v>
      </c>
    </row>
    <row r="65" spans="2:5" x14ac:dyDescent="0.2">
      <c r="B65" s="156"/>
      <c r="C65" s="243"/>
      <c r="D65" s="243"/>
    </row>
    <row r="66" spans="2:5" x14ac:dyDescent="0.2">
      <c r="B66" s="156"/>
      <c r="C66" s="243"/>
      <c r="D66" s="243"/>
      <c r="E66" s="195" t="s">
        <v>183</v>
      </c>
    </row>
    <row r="67" spans="2:5" x14ac:dyDescent="0.2">
      <c r="B67" s="156"/>
      <c r="C67" s="243"/>
      <c r="D67" s="243"/>
    </row>
    <row r="68" spans="2:5" x14ac:dyDescent="0.2">
      <c r="B68" s="156"/>
      <c r="C68" s="243"/>
      <c r="D68" s="243"/>
    </row>
  </sheetData>
  <phoneticPr fontId="3" type="noConversion"/>
  <printOptions horizontalCentered="1" verticalCentered="1"/>
  <pageMargins left="0.54" right="0" top="0" bottom="0" header="0" footer="0"/>
  <pageSetup paperSize="9" scale="52" orientation="landscape" horizontalDpi="355" verticalDpi="464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M72"/>
  <sheetViews>
    <sheetView zoomScaleNormal="100" workbookViewId="0">
      <pane xSplit="2" ySplit="5" topLeftCell="C57" activePane="bottomRight" state="frozen"/>
      <selection pane="topRight" activeCell="C1" sqref="C1"/>
      <selection pane="bottomLeft" activeCell="A5" sqref="A5"/>
      <selection pane="bottomRight" activeCell="B65" sqref="B65"/>
    </sheetView>
  </sheetViews>
  <sheetFormatPr baseColWidth="10" defaultColWidth="11.42578125" defaultRowHeight="12.75" x14ac:dyDescent="0.2"/>
  <cols>
    <col min="1" max="1" width="21.140625" style="32" customWidth="1"/>
    <col min="2" max="2" width="23.28515625" style="32" customWidth="1"/>
    <col min="3" max="3" width="10.85546875" style="32" bestFit="1" customWidth="1"/>
    <col min="4" max="12" width="10" style="32" bestFit="1" customWidth="1"/>
    <col min="13" max="13" width="11.42578125" style="32" customWidth="1"/>
    <col min="14" max="16384" width="11.42578125" style="32"/>
  </cols>
  <sheetData>
    <row r="2" spans="1:13" ht="15.75" x14ac:dyDescent="0.25">
      <c r="A2" s="31" t="s">
        <v>140</v>
      </c>
      <c r="C2" s="47"/>
      <c r="D2" s="47"/>
      <c r="E2" s="47"/>
      <c r="F2" s="47"/>
      <c r="G2" s="47"/>
      <c r="H2" s="47"/>
      <c r="I2" s="47"/>
      <c r="J2" s="47"/>
      <c r="K2" s="47"/>
      <c r="L2" s="47"/>
    </row>
    <row r="3" spans="1:13" ht="16.5" x14ac:dyDescent="0.3">
      <c r="A3" s="33" t="s">
        <v>125</v>
      </c>
      <c r="C3" s="47"/>
      <c r="D3" s="47"/>
      <c r="E3" s="47"/>
      <c r="F3" s="47"/>
      <c r="G3" s="47"/>
      <c r="H3" s="47"/>
      <c r="I3" s="47"/>
      <c r="J3" s="47"/>
      <c r="K3" s="47"/>
      <c r="L3" s="47"/>
    </row>
    <row r="4" spans="1:13" x14ac:dyDescent="0.2">
      <c r="C4" s="47"/>
      <c r="D4" s="47"/>
      <c r="E4" s="47"/>
      <c r="F4" s="47"/>
      <c r="G4" s="47"/>
      <c r="H4" s="47"/>
      <c r="I4" s="47"/>
      <c r="J4" s="47"/>
      <c r="K4" s="47"/>
      <c r="L4" s="47"/>
    </row>
    <row r="5" spans="1:13" x14ac:dyDescent="0.2">
      <c r="C5" s="45" t="s">
        <v>0</v>
      </c>
      <c r="D5" s="45" t="s">
        <v>1</v>
      </c>
      <c r="E5" s="45" t="s">
        <v>2</v>
      </c>
      <c r="F5" s="45" t="s">
        <v>3</v>
      </c>
      <c r="G5" s="45" t="s">
        <v>4</v>
      </c>
      <c r="H5" s="45" t="s">
        <v>5</v>
      </c>
      <c r="I5" s="45" t="s">
        <v>6</v>
      </c>
      <c r="J5" s="45" t="s">
        <v>7</v>
      </c>
      <c r="K5" s="45" t="s">
        <v>8</v>
      </c>
      <c r="L5" s="45" t="s">
        <v>9</v>
      </c>
    </row>
    <row r="6" spans="1:13" x14ac:dyDescent="0.2">
      <c r="C6" s="32" t="s">
        <v>183</v>
      </c>
      <c r="D6" s="32" t="s">
        <v>183</v>
      </c>
      <c r="E6" s="32" t="s">
        <v>183</v>
      </c>
      <c r="F6" s="32" t="s">
        <v>189</v>
      </c>
      <c r="G6" s="32" t="s">
        <v>183</v>
      </c>
      <c r="H6" s="32" t="s">
        <v>183</v>
      </c>
      <c r="I6" s="32" t="s">
        <v>183</v>
      </c>
      <c r="J6" s="32" t="s">
        <v>183</v>
      </c>
      <c r="K6" s="32" t="s">
        <v>183</v>
      </c>
      <c r="L6" s="32" t="s">
        <v>183</v>
      </c>
    </row>
    <row r="7" spans="1:13" s="47" customFormat="1" x14ac:dyDescent="0.2">
      <c r="C7" s="47">
        <v>10</v>
      </c>
      <c r="D7" s="47">
        <v>10</v>
      </c>
      <c r="E7" s="47">
        <v>10</v>
      </c>
      <c r="F7" s="47">
        <v>10</v>
      </c>
      <c r="G7" s="47">
        <v>10</v>
      </c>
      <c r="H7" s="47">
        <v>10</v>
      </c>
      <c r="I7" s="47">
        <v>10</v>
      </c>
      <c r="J7" s="47">
        <v>10</v>
      </c>
      <c r="K7" s="47">
        <v>10</v>
      </c>
      <c r="L7" s="47">
        <v>10</v>
      </c>
    </row>
    <row r="8" spans="1:13" x14ac:dyDescent="0.2">
      <c r="A8" s="36" t="str">
        <f>+Egr.!A7</f>
        <v>Estaciones MDMQ</v>
      </c>
      <c r="C8" s="47">
        <v>5</v>
      </c>
      <c r="D8" s="47">
        <v>5</v>
      </c>
      <c r="E8" s="47">
        <v>5</v>
      </c>
      <c r="F8" s="47">
        <v>5</v>
      </c>
      <c r="G8" s="47">
        <v>5</v>
      </c>
      <c r="H8" s="47">
        <v>5</v>
      </c>
      <c r="I8" s="47">
        <v>5</v>
      </c>
      <c r="J8" s="47">
        <v>5</v>
      </c>
      <c r="K8" s="47">
        <v>5</v>
      </c>
      <c r="L8" s="47">
        <v>5</v>
      </c>
    </row>
    <row r="9" spans="1:13" s="47" customFormat="1" x14ac:dyDescent="0.2">
      <c r="A9" s="118" t="s">
        <v>100</v>
      </c>
      <c r="C9" s="47">
        <v>10</v>
      </c>
      <c r="D9" s="47">
        <v>9</v>
      </c>
      <c r="E9" s="47">
        <v>8</v>
      </c>
      <c r="F9" s="47">
        <v>7</v>
      </c>
      <c r="G9" s="47">
        <v>6</v>
      </c>
      <c r="H9" s="47">
        <v>5</v>
      </c>
      <c r="I9" s="47">
        <v>4</v>
      </c>
      <c r="J9" s="47">
        <v>3</v>
      </c>
      <c r="K9" s="47">
        <v>2</v>
      </c>
      <c r="L9" s="47">
        <v>1</v>
      </c>
    </row>
    <row r="10" spans="1:13" x14ac:dyDescent="0.2">
      <c r="A10" s="32" t="s">
        <v>126</v>
      </c>
      <c r="B10" s="48" t="s">
        <v>189</v>
      </c>
      <c r="C10" s="66">
        <f>IF(Condiciones!$B$8="SI",(Inv.Rep.!C10+Inv.Rep.!C11+Inv.Rep.!C18+Inv.Rep.!C19+Inv.Rep.!C20+Inv.Rep.!C21+Inv.Rep.!C22+Inv.Rep.!C23)/C7,(Inv.Rep.!C10+Inv.Rep.!C11+Inv.Rep.!C18+Inv.Rep.!C19+Inv.Rep.!C20+Inv.Rep.!C21+Inv.Rep.!C22+Inv.Rep.!C23)/C9)</f>
        <v>701040</v>
      </c>
      <c r="D10" s="66">
        <f>IF(Condiciones!$B$8="SI",(Inv.Rep.!D10+Inv.Rep.!D11+Inv.Rep.!D18+Inv.Rep.!D19+Inv.Rep.!D20+Inv.Rep.!D21+Inv.Rep.!D22+Inv.Rep.!D23)/D7,(Inv.Rep.!D10+Inv.Rep.!D11+Inv.Rep.!D18+Inv.Rep.!D19+Inv.Rep.!D20+Inv.Rep.!D21+Inv.Rep.!D22+Inv.Rep.!D23)/D9)</f>
        <v>0</v>
      </c>
      <c r="E10" s="66">
        <f>IF(Condiciones!$B$8="SI",(Inv.Rep.!E10+Inv.Rep.!E11+Inv.Rep.!E18+Inv.Rep.!E19+Inv.Rep.!E20+Inv.Rep.!E21+Inv.Rep.!E22+Inv.Rep.!E23)/E7,(Inv.Rep.!E10+Inv.Rep.!E11+Inv.Rep.!E18+Inv.Rep.!E19+Inv.Rep.!E20+Inv.Rep.!E21+Inv.Rep.!E22+Inv.Rep.!E23)/E9)</f>
        <v>0</v>
      </c>
      <c r="F10" s="66">
        <f>IF(Condiciones!$B$8="SI",(Inv.Rep.!F10+Inv.Rep.!F11+Inv.Rep.!F18+Inv.Rep.!F19+Inv.Rep.!F20+Inv.Rep.!F21+Inv.Rep.!F22+Inv.Rep.!F23)/F7,(Inv.Rep.!F10+Inv.Rep.!F11+Inv.Rep.!F18+Inv.Rep.!F19+Inv.Rep.!F20+Inv.Rep.!F21+Inv.Rep.!F22+Inv.Rep.!F23)/F9)</f>
        <v>0</v>
      </c>
      <c r="G10" s="66">
        <f>IF(Condiciones!$B$8="SI",(Inv.Rep.!G10+Inv.Rep.!G11+Inv.Rep.!G18+Inv.Rep.!G19+Inv.Rep.!G20+Inv.Rep.!G21+Inv.Rep.!G22+Inv.Rep.!G23)/G7,(Inv.Rep.!G10+Inv.Rep.!G11+Inv.Rep.!G18+Inv.Rep.!G19+Inv.Rep.!G20+Inv.Rep.!G21+Inv.Rep.!G22+Inv.Rep.!G23)/G9)</f>
        <v>0</v>
      </c>
      <c r="H10" s="66">
        <f>IF(Condiciones!$B$8="SI",(Inv.Rep.!H10+Inv.Rep.!H11+Inv.Rep.!H18+Inv.Rep.!H19+Inv.Rep.!H20+Inv.Rep.!H21+Inv.Rep.!H22+Inv.Rep.!H23)/H7,(Inv.Rep.!H10+Inv.Rep.!H11+Inv.Rep.!H18+Inv.Rep.!H19+Inv.Rep.!H20+Inv.Rep.!H21+Inv.Rep.!H22+Inv.Rep.!H23)/H9)</f>
        <v>0</v>
      </c>
      <c r="I10" s="66">
        <f>IF(Condiciones!$B$8="SI",(Inv.Rep.!I10+Inv.Rep.!I11+Inv.Rep.!I18+Inv.Rep.!I19+Inv.Rep.!I20+Inv.Rep.!I21+Inv.Rep.!I22+Inv.Rep.!I23)/I7,(Inv.Rep.!I10+Inv.Rep.!I11+Inv.Rep.!I18+Inv.Rep.!I19+Inv.Rep.!I20+Inv.Rep.!I21+Inv.Rep.!I22+Inv.Rep.!I23)/I9)</f>
        <v>0</v>
      </c>
      <c r="J10" s="66">
        <f>IF(Condiciones!$B$8="SI",(Inv.Rep.!J10+Inv.Rep.!J11+Inv.Rep.!J18+Inv.Rep.!J19+Inv.Rep.!J20+Inv.Rep.!J21+Inv.Rep.!J22+Inv.Rep.!J23)/J7,(Inv.Rep.!J10+Inv.Rep.!J11+Inv.Rep.!J18+Inv.Rep.!J19+Inv.Rep.!J20+Inv.Rep.!J21+Inv.Rep.!J22+Inv.Rep.!J23)/J9)</f>
        <v>0</v>
      </c>
      <c r="K10" s="66">
        <f>IF(Condiciones!$B$8="SI",(Inv.Rep.!K10+Inv.Rep.!K11+Inv.Rep.!K18+Inv.Rep.!K19+Inv.Rep.!K20+Inv.Rep.!K21+Inv.Rep.!K22+Inv.Rep.!K23)/K7,(Inv.Rep.!K10+Inv.Rep.!K11+Inv.Rep.!K18+Inv.Rep.!K19+Inv.Rep.!K20+Inv.Rep.!K21+Inv.Rep.!K22+Inv.Rep.!K23)/K9)</f>
        <v>0</v>
      </c>
      <c r="L10" s="66">
        <f>IF(Condiciones!$B$8="SI",(Inv.Rep.!L10+Inv.Rep.!L11+Inv.Rep.!L18+Inv.Rep.!L19+Inv.Rep.!L20+Inv.Rep.!L21+Inv.Rep.!L22+Inv.Rep.!L23)/L7,(Inv.Rep.!L10+Inv.Rep.!L11+Inv.Rep.!L18+Inv.Rep.!L19+Inv.Rep.!L20+Inv.Rep.!L21+Inv.Rep.!L22+Inv.Rep.!L23)/L9)</f>
        <v>0</v>
      </c>
      <c r="M10" s="48" t="s">
        <v>183</v>
      </c>
    </row>
    <row r="11" spans="1:13" x14ac:dyDescent="0.2">
      <c r="A11" s="32" t="s">
        <v>127</v>
      </c>
      <c r="B11" s="48" t="s">
        <v>183</v>
      </c>
      <c r="C11" s="66">
        <f>IF(Condiciones!$B$8="SI",(Inv.Rep.!C12+Inv.Rep.!C13+Inv.Rep.!C14+Inv.Rep.!C15+Inv.Rep.!C16+Inv.Rep.!C17+Inv.Rep.!C24+Inv.Rep.!C25)/Deprec.!C8,(Inv.Rep.!C12+Inv.Rep.!C13+Inv.Rep.!C14+Inv.Rep.!C15+Inv.Rep.!C16+Inv.Rep.!C17+Inv.Rep.!C24+Inv.Rep.!C25)/5)</f>
        <v>34780</v>
      </c>
      <c r="D11" s="66">
        <f>IF(Condiciones!$B$8="SI",(Inv.Rep.!D12+Inv.Rep.!D13+Inv.Rep.!D14+Inv.Rep.!D15+Inv.Rep.!D16+Inv.Rep.!D17+Inv.Rep.!D24+Inv.Rep.!D25)/Deprec.!D8,(Inv.Rep.!D12+Inv.Rep.!D13+Inv.Rep.!D14+Inv.Rep.!D15+Inv.Rep.!D16+Inv.Rep.!D17+Inv.Rep.!D24+Inv.Rep.!D25)/5)</f>
        <v>0</v>
      </c>
      <c r="E11" s="66">
        <f>IF(Condiciones!$B$8="SI",(Inv.Rep.!E12+Inv.Rep.!E13+Inv.Rep.!E14+Inv.Rep.!E15+Inv.Rep.!E16+Inv.Rep.!E17+Inv.Rep.!E24+Inv.Rep.!E25)/Deprec.!E8,(Inv.Rep.!E12+Inv.Rep.!E13+Inv.Rep.!E14+Inv.Rep.!E15+Inv.Rep.!E16+Inv.Rep.!E17+Inv.Rep.!E24+Inv.Rep.!E25)/5)</f>
        <v>0</v>
      </c>
      <c r="F11" s="66">
        <f>IF(Condiciones!$B$8="SI",(Inv.Rep.!F12+Inv.Rep.!F13+Inv.Rep.!F14+Inv.Rep.!F15+Inv.Rep.!F16+Inv.Rep.!F17+Inv.Rep.!F24+Inv.Rep.!F25)/Deprec.!F8,(Inv.Rep.!F12+Inv.Rep.!F13+Inv.Rep.!F14+Inv.Rep.!F15+Inv.Rep.!F16+Inv.Rep.!F17+Inv.Rep.!F24+Inv.Rep.!F25)/5)</f>
        <v>0</v>
      </c>
      <c r="G11" s="66">
        <f>IF(Condiciones!$B$8="SI",(Inv.Rep.!G12+Inv.Rep.!G13+Inv.Rep.!G14+Inv.Rep.!G15+Inv.Rep.!G16+Inv.Rep.!G17+Inv.Rep.!G24+Inv.Rep.!G25)/Deprec.!G8,(Inv.Rep.!G12+Inv.Rep.!G13+Inv.Rep.!G14+Inv.Rep.!G15+Inv.Rep.!G16+Inv.Rep.!G17+Inv.Rep.!G24+Inv.Rep.!G25)/5)</f>
        <v>0</v>
      </c>
      <c r="H11" s="66">
        <f>IF(Condiciones!$B$8="SI",(Inv.Rep.!H12+Inv.Rep.!H13+Inv.Rep.!H14+Inv.Rep.!H15+Inv.Rep.!H16+Inv.Rep.!H17+Inv.Rep.!H24+Inv.Rep.!H25)/Deprec.!H8,(Inv.Rep.!H12+Inv.Rep.!H13+Inv.Rep.!H14+Inv.Rep.!H15+Inv.Rep.!H16+Inv.Rep.!H17+Inv.Rep.!H24+Inv.Rep.!H25)/5)</f>
        <v>0</v>
      </c>
      <c r="I11" s="66">
        <f>IF(Condiciones!$B$8="SI",(Inv.Rep.!I12+Inv.Rep.!I13+Inv.Rep.!I14+Inv.Rep.!I15+Inv.Rep.!I16+Inv.Rep.!I17+Inv.Rep.!I24+Inv.Rep.!I25)/Deprec.!I8,(Inv.Rep.!I12+Inv.Rep.!I13+Inv.Rep.!I14+Inv.Rep.!I15+Inv.Rep.!I16+Inv.Rep.!I17+Inv.Rep.!I24+Inv.Rep.!I25)/I9)</f>
        <v>0</v>
      </c>
      <c r="J11" s="66">
        <f>IF(Condiciones!$B$8="SI",(Inv.Rep.!J12+Inv.Rep.!J13+Inv.Rep.!J14+Inv.Rep.!J15+Inv.Rep.!J16+Inv.Rep.!J17+Inv.Rep.!J24+Inv.Rep.!J25)/Deprec.!J8,(Inv.Rep.!J12+Inv.Rep.!J13+Inv.Rep.!J14+Inv.Rep.!J15+Inv.Rep.!J16+Inv.Rep.!J17+Inv.Rep.!J24+Inv.Rep.!J25)/J9)</f>
        <v>0</v>
      </c>
      <c r="K11" s="66">
        <f>IF(Condiciones!$B$8="SI",(Inv.Rep.!K12+Inv.Rep.!K13+Inv.Rep.!K14+Inv.Rep.!K15+Inv.Rep.!K16+Inv.Rep.!K17+Inv.Rep.!K24+Inv.Rep.!K25)/Deprec.!K8,(Inv.Rep.!K12+Inv.Rep.!K13+Inv.Rep.!K14+Inv.Rep.!K15+Inv.Rep.!K16+Inv.Rep.!K17+Inv.Rep.!K24+Inv.Rep.!K25)/K9)</f>
        <v>0</v>
      </c>
      <c r="L11" s="66">
        <f>IF(Condiciones!$B$8="SI",(Inv.Rep.!L12+Inv.Rep.!L13+Inv.Rep.!L14+Inv.Rep.!L15+Inv.Rep.!L16+Inv.Rep.!L17+Inv.Rep.!L24+Inv.Rep.!L25)/Deprec.!L8,(Inv.Rep.!L12+Inv.Rep.!L13+Inv.Rep.!L14+Inv.Rep.!L15+Inv.Rep.!L16+Inv.Rep.!L17+Inv.Rep.!L24+Inv.Rep.!L25)/L9)</f>
        <v>0</v>
      </c>
      <c r="M11" s="48" t="s">
        <v>183</v>
      </c>
    </row>
    <row r="12" spans="1:13" x14ac:dyDescent="0.2">
      <c r="A12" s="214" t="s">
        <v>126</v>
      </c>
      <c r="C12" s="48">
        <f>+C10</f>
        <v>701040</v>
      </c>
      <c r="D12" s="48">
        <f t="shared" ref="D12:L12" si="0">+C12</f>
        <v>701040</v>
      </c>
      <c r="E12" s="48">
        <f t="shared" si="0"/>
        <v>701040</v>
      </c>
      <c r="F12" s="48">
        <f t="shared" si="0"/>
        <v>701040</v>
      </c>
      <c r="G12" s="48">
        <f t="shared" si="0"/>
        <v>701040</v>
      </c>
      <c r="H12" s="48">
        <f t="shared" si="0"/>
        <v>701040</v>
      </c>
      <c r="I12" s="48">
        <f t="shared" si="0"/>
        <v>701040</v>
      </c>
      <c r="J12" s="48">
        <f t="shared" si="0"/>
        <v>701040</v>
      </c>
      <c r="K12" s="48">
        <f t="shared" si="0"/>
        <v>701040</v>
      </c>
      <c r="L12" s="48">
        <f t="shared" si="0"/>
        <v>701040</v>
      </c>
    </row>
    <row r="13" spans="1:13" x14ac:dyDescent="0.2">
      <c r="A13" s="214" t="s">
        <v>127</v>
      </c>
      <c r="C13" s="48">
        <f>+C11</f>
        <v>34780</v>
      </c>
      <c r="D13" s="48">
        <f>+C13</f>
        <v>34780</v>
      </c>
      <c r="E13" s="48">
        <f>+D13</f>
        <v>34780</v>
      </c>
      <c r="F13" s="48">
        <f>+E13</f>
        <v>34780</v>
      </c>
      <c r="G13" s="48">
        <f>+F13</f>
        <v>34780</v>
      </c>
      <c r="H13" s="48"/>
      <c r="I13" s="48"/>
      <c r="J13" s="48"/>
      <c r="K13" s="48"/>
      <c r="L13" s="48"/>
    </row>
    <row r="14" spans="1:13" x14ac:dyDescent="0.2">
      <c r="A14" s="214" t="s">
        <v>126</v>
      </c>
      <c r="C14" s="67"/>
      <c r="D14" s="48">
        <f>+D10</f>
        <v>0</v>
      </c>
      <c r="E14" s="48">
        <f>+D14</f>
        <v>0</v>
      </c>
      <c r="F14" s="48">
        <f t="shared" ref="F14:L14" si="1">+E14</f>
        <v>0</v>
      </c>
      <c r="G14" s="48">
        <f t="shared" si="1"/>
        <v>0</v>
      </c>
      <c r="H14" s="48">
        <f t="shared" si="1"/>
        <v>0</v>
      </c>
      <c r="I14" s="48">
        <f t="shared" si="1"/>
        <v>0</v>
      </c>
      <c r="J14" s="48">
        <f t="shared" si="1"/>
        <v>0</v>
      </c>
      <c r="K14" s="48">
        <f t="shared" si="1"/>
        <v>0</v>
      </c>
      <c r="L14" s="48">
        <f t="shared" si="1"/>
        <v>0</v>
      </c>
    </row>
    <row r="15" spans="1:13" x14ac:dyDescent="0.2">
      <c r="A15" s="214" t="s">
        <v>127</v>
      </c>
      <c r="C15" s="67"/>
      <c r="D15" s="48">
        <f>+D11</f>
        <v>0</v>
      </c>
      <c r="E15" s="48">
        <f>+D15</f>
        <v>0</v>
      </c>
      <c r="F15" s="48">
        <f>+E15</f>
        <v>0</v>
      </c>
      <c r="G15" s="48">
        <f>+F15</f>
        <v>0</v>
      </c>
      <c r="H15" s="48">
        <f>+G15</f>
        <v>0</v>
      </c>
      <c r="I15" s="48" t="s">
        <v>189</v>
      </c>
      <c r="J15" s="48" t="s">
        <v>183</v>
      </c>
      <c r="K15" s="48" t="s">
        <v>183</v>
      </c>
      <c r="L15" s="48" t="s">
        <v>183</v>
      </c>
    </row>
    <row r="16" spans="1:13" x14ac:dyDescent="0.2">
      <c r="A16" s="214" t="s">
        <v>126</v>
      </c>
      <c r="C16" s="48"/>
      <c r="D16" s="67"/>
      <c r="E16" s="48">
        <f>+E10</f>
        <v>0</v>
      </c>
      <c r="F16" s="48">
        <f>+E16</f>
        <v>0</v>
      </c>
      <c r="G16" s="48">
        <f t="shared" ref="G16:L16" si="2">+F16</f>
        <v>0</v>
      </c>
      <c r="H16" s="48">
        <f t="shared" si="2"/>
        <v>0</v>
      </c>
      <c r="I16" s="48">
        <f t="shared" si="2"/>
        <v>0</v>
      </c>
      <c r="J16" s="48">
        <f t="shared" si="2"/>
        <v>0</v>
      </c>
      <c r="K16" s="48">
        <f t="shared" si="2"/>
        <v>0</v>
      </c>
      <c r="L16" s="48">
        <f t="shared" si="2"/>
        <v>0</v>
      </c>
    </row>
    <row r="17" spans="1:12" x14ac:dyDescent="0.2">
      <c r="A17" s="214" t="s">
        <v>127</v>
      </c>
      <c r="C17" s="48"/>
      <c r="D17" s="67"/>
      <c r="E17" s="48">
        <f>+E11</f>
        <v>0</v>
      </c>
      <c r="F17" s="48">
        <f>+E17</f>
        <v>0</v>
      </c>
      <c r="G17" s="48">
        <f t="shared" ref="G17:I19" si="3">+F17</f>
        <v>0</v>
      </c>
      <c r="H17" s="48">
        <f t="shared" si="3"/>
        <v>0</v>
      </c>
      <c r="I17" s="48">
        <f t="shared" si="3"/>
        <v>0</v>
      </c>
      <c r="J17" s="48"/>
      <c r="K17" s="48"/>
      <c r="L17" s="48"/>
    </row>
    <row r="18" spans="1:12" x14ac:dyDescent="0.2">
      <c r="A18" s="214" t="s">
        <v>126</v>
      </c>
      <c r="C18" s="48"/>
      <c r="D18" s="48"/>
      <c r="E18" s="67"/>
      <c r="F18" s="48">
        <f>+F10</f>
        <v>0</v>
      </c>
      <c r="G18" s="48">
        <f t="shared" si="3"/>
        <v>0</v>
      </c>
      <c r="H18" s="48">
        <f t="shared" si="3"/>
        <v>0</v>
      </c>
      <c r="I18" s="48">
        <f t="shared" si="3"/>
        <v>0</v>
      </c>
      <c r="J18" s="48">
        <f>+I18</f>
        <v>0</v>
      </c>
      <c r="K18" s="48">
        <f>+J18</f>
        <v>0</v>
      </c>
      <c r="L18" s="48">
        <f>+K18</f>
        <v>0</v>
      </c>
    </row>
    <row r="19" spans="1:12" x14ac:dyDescent="0.2">
      <c r="A19" s="214" t="s">
        <v>127</v>
      </c>
      <c r="C19" s="48"/>
      <c r="D19" s="48"/>
      <c r="E19" s="67"/>
      <c r="F19" s="48">
        <f>+F11</f>
        <v>0</v>
      </c>
      <c r="G19" s="48">
        <f t="shared" si="3"/>
        <v>0</v>
      </c>
      <c r="H19" s="48">
        <f t="shared" si="3"/>
        <v>0</v>
      </c>
      <c r="I19" s="48">
        <f t="shared" si="3"/>
        <v>0</v>
      </c>
      <c r="J19" s="48">
        <f t="shared" ref="J19:J25" si="4">+I19</f>
        <v>0</v>
      </c>
      <c r="K19" s="48"/>
      <c r="L19" s="48"/>
    </row>
    <row r="20" spans="1:12" x14ac:dyDescent="0.2">
      <c r="A20" s="214" t="s">
        <v>126</v>
      </c>
      <c r="C20" s="48"/>
      <c r="D20" s="48"/>
      <c r="E20" s="48"/>
      <c r="F20" s="67"/>
      <c r="G20" s="48">
        <f>+G10</f>
        <v>0</v>
      </c>
      <c r="H20" s="48">
        <f>+G20</f>
        <v>0</v>
      </c>
      <c r="I20" s="48">
        <f>+H20</f>
        <v>0</v>
      </c>
      <c r="J20" s="48">
        <f t="shared" si="4"/>
        <v>0</v>
      </c>
      <c r="K20" s="48">
        <f>+J20</f>
        <v>0</v>
      </c>
      <c r="L20" s="48">
        <f>+K20</f>
        <v>0</v>
      </c>
    </row>
    <row r="21" spans="1:12" x14ac:dyDescent="0.2">
      <c r="A21" s="214" t="s">
        <v>127</v>
      </c>
      <c r="C21" s="48"/>
      <c r="D21" s="48"/>
      <c r="E21" s="48"/>
      <c r="F21" s="67"/>
      <c r="G21" s="48">
        <f>+G11</f>
        <v>0</v>
      </c>
      <c r="H21" s="48">
        <f>+G21</f>
        <v>0</v>
      </c>
      <c r="I21" s="48">
        <f>+H21</f>
        <v>0</v>
      </c>
      <c r="J21" s="48">
        <f t="shared" si="4"/>
        <v>0</v>
      </c>
      <c r="K21" s="48">
        <f t="shared" ref="K21:K27" si="5">+J21</f>
        <v>0</v>
      </c>
      <c r="L21" s="48"/>
    </row>
    <row r="22" spans="1:12" x14ac:dyDescent="0.2">
      <c r="A22" s="214" t="s">
        <v>126</v>
      </c>
      <c r="C22" s="48"/>
      <c r="D22" s="48"/>
      <c r="E22" s="48"/>
      <c r="F22" s="48"/>
      <c r="G22" s="67"/>
      <c r="H22" s="48">
        <f>+H10</f>
        <v>0</v>
      </c>
      <c r="I22" s="48">
        <f>+H22</f>
        <v>0</v>
      </c>
      <c r="J22" s="48">
        <f t="shared" si="4"/>
        <v>0</v>
      </c>
      <c r="K22" s="48">
        <f t="shared" si="5"/>
        <v>0</v>
      </c>
      <c r="L22" s="48">
        <f t="shared" ref="L22:L29" si="6">+K22</f>
        <v>0</v>
      </c>
    </row>
    <row r="23" spans="1:12" x14ac:dyDescent="0.2">
      <c r="A23" s="214" t="s">
        <v>127</v>
      </c>
      <c r="C23" s="48"/>
      <c r="D23" s="48"/>
      <c r="E23" s="48"/>
      <c r="F23" s="48"/>
      <c r="G23" s="67"/>
      <c r="H23" s="48">
        <f>+H11</f>
        <v>0</v>
      </c>
      <c r="I23" s="48">
        <f>+H23</f>
        <v>0</v>
      </c>
      <c r="J23" s="48">
        <f t="shared" si="4"/>
        <v>0</v>
      </c>
      <c r="K23" s="48">
        <f t="shared" si="5"/>
        <v>0</v>
      </c>
      <c r="L23" s="48">
        <f t="shared" si="6"/>
        <v>0</v>
      </c>
    </row>
    <row r="24" spans="1:12" x14ac:dyDescent="0.2">
      <c r="A24" s="214" t="s">
        <v>126</v>
      </c>
      <c r="H24" s="50"/>
      <c r="I24" s="51">
        <f>+I10</f>
        <v>0</v>
      </c>
      <c r="J24" s="48">
        <f t="shared" si="4"/>
        <v>0</v>
      </c>
      <c r="K24" s="48">
        <f>+J24</f>
        <v>0</v>
      </c>
      <c r="L24" s="48">
        <f>+K24</f>
        <v>0</v>
      </c>
    </row>
    <row r="25" spans="1:12" x14ac:dyDescent="0.2">
      <c r="A25" s="214" t="s">
        <v>127</v>
      </c>
      <c r="H25" s="50"/>
      <c r="I25" s="51">
        <f>+I11</f>
        <v>0</v>
      </c>
      <c r="J25" s="48">
        <f t="shared" si="4"/>
        <v>0</v>
      </c>
      <c r="K25" s="48">
        <f t="shared" si="5"/>
        <v>0</v>
      </c>
      <c r="L25" s="48">
        <f t="shared" si="6"/>
        <v>0</v>
      </c>
    </row>
    <row r="26" spans="1:12" x14ac:dyDescent="0.2">
      <c r="A26" s="214" t="s">
        <v>126</v>
      </c>
      <c r="I26" s="50"/>
      <c r="J26" s="51">
        <f>+J10</f>
        <v>0</v>
      </c>
      <c r="K26" s="48">
        <f t="shared" si="5"/>
        <v>0</v>
      </c>
      <c r="L26" s="48">
        <f t="shared" si="6"/>
        <v>0</v>
      </c>
    </row>
    <row r="27" spans="1:12" x14ac:dyDescent="0.2">
      <c r="A27" s="214" t="s">
        <v>127</v>
      </c>
      <c r="I27" s="50"/>
      <c r="J27" s="51">
        <f>+J11</f>
        <v>0</v>
      </c>
      <c r="K27" s="48">
        <f t="shared" si="5"/>
        <v>0</v>
      </c>
      <c r="L27" s="48">
        <f t="shared" si="6"/>
        <v>0</v>
      </c>
    </row>
    <row r="28" spans="1:12" x14ac:dyDescent="0.2">
      <c r="A28" s="214" t="s">
        <v>126</v>
      </c>
      <c r="J28" s="50"/>
      <c r="K28" s="51">
        <f>+K10</f>
        <v>0</v>
      </c>
      <c r="L28" s="48">
        <f t="shared" si="6"/>
        <v>0</v>
      </c>
    </row>
    <row r="29" spans="1:12" x14ac:dyDescent="0.2">
      <c r="A29" s="214" t="s">
        <v>127</v>
      </c>
      <c r="J29" s="50"/>
      <c r="K29" s="51">
        <f>+K11</f>
        <v>0</v>
      </c>
      <c r="L29" s="51">
        <f t="shared" si="6"/>
        <v>0</v>
      </c>
    </row>
    <row r="30" spans="1:12" x14ac:dyDescent="0.2">
      <c r="A30" s="214" t="s">
        <v>126</v>
      </c>
      <c r="K30" s="50"/>
      <c r="L30" s="51">
        <f>L10</f>
        <v>0</v>
      </c>
    </row>
    <row r="31" spans="1:12" x14ac:dyDescent="0.2">
      <c r="A31" s="214" t="s">
        <v>127</v>
      </c>
      <c r="K31" s="50"/>
      <c r="L31" s="51">
        <f>L11</f>
        <v>0</v>
      </c>
    </row>
    <row r="32" spans="1:12" x14ac:dyDescent="0.2">
      <c r="A32" s="214" t="s">
        <v>126</v>
      </c>
      <c r="L32" s="50"/>
    </row>
    <row r="33" spans="1:13" x14ac:dyDescent="0.2">
      <c r="A33" s="214" t="s">
        <v>127</v>
      </c>
      <c r="L33" s="50"/>
    </row>
    <row r="34" spans="1:13" x14ac:dyDescent="0.2">
      <c r="B34" s="38" t="s">
        <v>73</v>
      </c>
      <c r="C34" s="62">
        <f>SUM(C12:C33)</f>
        <v>735820</v>
      </c>
      <c r="D34" s="62">
        <f>SUM(D12:D33)</f>
        <v>735820</v>
      </c>
      <c r="E34" s="62">
        <f t="shared" ref="E34:J34" si="7">SUM(E12:E33)</f>
        <v>735820</v>
      </c>
      <c r="F34" s="62">
        <f t="shared" si="7"/>
        <v>735820</v>
      </c>
      <c r="G34" s="62">
        <f t="shared" si="7"/>
        <v>735820</v>
      </c>
      <c r="H34" s="62">
        <f t="shared" si="7"/>
        <v>701040</v>
      </c>
      <c r="I34" s="62">
        <f t="shared" si="7"/>
        <v>701040</v>
      </c>
      <c r="J34" s="62">
        <f t="shared" si="7"/>
        <v>701040</v>
      </c>
      <c r="K34" s="62">
        <f>SUM(K12:K33)</f>
        <v>701040</v>
      </c>
      <c r="L34" s="62">
        <f>SUM(L12:L33)</f>
        <v>701040</v>
      </c>
      <c r="M34" s="51">
        <f>SUM(C34:L34)</f>
        <v>7184300</v>
      </c>
    </row>
    <row r="36" spans="1:13" x14ac:dyDescent="0.2">
      <c r="A36" s="46" t="s">
        <v>622</v>
      </c>
      <c r="C36" s="48" t="s">
        <v>183</v>
      </c>
      <c r="D36" s="48" t="s">
        <v>189</v>
      </c>
      <c r="E36" s="48" t="s">
        <v>189</v>
      </c>
      <c r="F36" s="48" t="s">
        <v>183</v>
      </c>
      <c r="G36" s="48" t="s">
        <v>183</v>
      </c>
      <c r="H36" s="48" t="s">
        <v>183</v>
      </c>
      <c r="I36" s="48" t="s">
        <v>183</v>
      </c>
      <c r="J36" s="48" t="s">
        <v>183</v>
      </c>
      <c r="K36" s="48" t="s">
        <v>183</v>
      </c>
      <c r="L36" s="48" t="s">
        <v>183</v>
      </c>
    </row>
    <row r="37" spans="1:13" x14ac:dyDescent="0.2">
      <c r="A37" s="32" t="s">
        <v>126</v>
      </c>
      <c r="B37" s="48" t="s">
        <v>183</v>
      </c>
      <c r="C37" s="66">
        <f>IF(Condiciones!$B$8="SI",(Inv.Rep.!D30+Inv.Rep.!D31+Inv.Rep.!D38+Inv.Rep.!D39+Inv.Rep.!D40+Inv.Rep.!D41+Inv.Rep.!D42+Inv.Rep.!D43)/Deprec.!C7,(Inv.Rep.!D30+Inv.Rep.!D31+Inv.Rep.!D38+Inv.Rep.!D39+Inv.Rep.!D40+Inv.Rep.!D41+Inv.Rep.!D42+Inv.Rep.!D43)/Deprec.!C9)</f>
        <v>18852.68</v>
      </c>
      <c r="D37" s="66">
        <f>IF(Condiciones!$B$8="SI",(Inv.Rep.!E30+Inv.Rep.!E31+Inv.Rep.!E38+Inv.Rep.!E39+Inv.Rep.!E40+Inv.Rep.!E41+Inv.Rep.!E42+Inv.Rep.!E43)/Deprec.!D7,(Inv.Rep.!E30+Inv.Rep.!E31+Inv.Rep.!E38+Inv.Rep.!E39+Inv.Rep.!E40+Inv.Rep.!E41+Inv.Rep.!E42+Inv.Rep.!E43)/Deprec.!D9)</f>
        <v>21785.319111111112</v>
      </c>
      <c r="E37" s="66">
        <f>IF(Condiciones!$B$8="SI",(Inv.Rep.!F30+Inv.Rep.!F31+Inv.Rep.!F38+Inv.Rep.!F39+Inv.Rep.!F40+Inv.Rep.!F41+Inv.Rep.!F42+Inv.Rep.!F43)/Deprec.!E7,(Inv.Rep.!F30+Inv.Rep.!F31+Inv.Rep.!F38+Inv.Rep.!F39+Inv.Rep.!F40+Inv.Rep.!F41+Inv.Rep.!F42+Inv.Rep.!F43)/Deprec.!E9)</f>
        <v>25488.823360000002</v>
      </c>
      <c r="F37" s="66">
        <f>IF(Condiciones!$B$8="SI",(Inv.Rep.!G30+Inv.Rep.!G31+Inv.Rep.!G38+Inv.Rep.!G39+Inv.Rep.!G40+Inv.Rep.!G41+Inv.Rep.!G42+Inv.Rep.!G43)/Deprec.!F7,(Inv.Rep.!G30+Inv.Rep.!G31+Inv.Rep.!G38+Inv.Rep.!G39+Inv.Rep.!G40+Inv.Rep.!G41+Inv.Rep.!G42+Inv.Rep.!G43)/Deprec.!F9)</f>
        <v>30295.287193600001</v>
      </c>
      <c r="G37" s="66">
        <f>IF(Condiciones!$B$8="SI",(Inv.Rep.!H30+Inv.Rep.!H31+Inv.Rep.!H38+Inv.Rep.!H39+Inv.Rep.!H40+Inv.Rep.!H41+Inv.Rep.!H42+Inv.Rep.!H43)/Deprec.!G7,(Inv.Rep.!H30+Inv.Rep.!H31+Inv.Rep.!H38+Inv.Rep.!H39+Inv.Rep.!H40+Inv.Rep.!H41+Inv.Rep.!H42+Inv.Rep.!H43)/Deprec.!G9)</f>
        <v>36758.281794901333</v>
      </c>
      <c r="H37" s="66">
        <f>IF(Condiciones!$B$8="SI",(Inv.Rep.!I30+Inv.Rep.!I31+Inv.Rep.!I38+Inv.Rep.!I39+Inv.Rep.!I40+Inv.Rep.!I41+Inv.Rep.!I42+Inv.Rep.!I43)/Deprec.!H7,(Inv.Rep.!I30+Inv.Rep.!I31+Inv.Rep.!I38+Inv.Rep.!I39+Inv.Rep.!I40+Inv.Rep.!I41+Inv.Rep.!I42+Inv.Rep.!I43)/Deprec.!H9)</f>
        <v>45874.335680036871</v>
      </c>
      <c r="I37" s="66">
        <f>IF(Condiciones!$B$8="SI",(Inv.Rep.!J30+Inv.Rep.!J31+Inv.Rep.!J38+Inv.Rep.!J39+Inv.Rep.!J40+Inv.Rep.!J41+Inv.Rep.!J42+Inv.Rep.!J43)/Deprec.!I7,(Inv.Rep.!J30+Inv.Rep.!J31+Inv.Rep.!J38+Inv.Rep.!J39+Inv.Rep.!J40+Inv.Rep.!J41+Inv.Rep.!J42+Inv.Rep.!J43)/Deprec.!I9)</f>
        <v>59636.636384047924</v>
      </c>
      <c r="J37" s="66">
        <f>IF(Condiciones!$B$8="SI",(Inv.Rep.!K30+Inv.Rep.!K31+Inv.Rep.!K38+Inv.Rep.!K39+Inv.Rep.!K40+Inv.Rep.!K41+Inv.Rep.!K42+Inv.Rep.!K43)/Deprec.!J7,(Inv.Rep.!K30+Inv.Rep.!K31+Inv.Rep.!K38+Inv.Rep.!K39+Inv.Rep.!K40+Inv.Rep.!K41+Inv.Rep.!K42+Inv.Rep.!K43)/Deprec.!J9)</f>
        <v>82696.135785879786</v>
      </c>
      <c r="K37" s="66">
        <f>IF(Condiciones!$B$8="SI",(Inv.Rep.!L30+Inv.Rep.!L31+Inv.Rep.!L38+Inv.Rep.!L39+Inv.Rep.!L40+Inv.Rep.!L41+Inv.Rep.!L42+Inv.Rep.!L43)/Deprec.!K7,(Inv.Rep.!L30+Inv.Rep.!L31+Inv.Rep.!L38+Inv.Rep.!L39+Inv.Rep.!L40+Inv.Rep.!L41+Inv.Rep.!L42+Inv.Rep.!L43)/Deprec.!K9)</f>
        <v>129005.97182597248</v>
      </c>
      <c r="L37" s="66">
        <f>IF(Condiciones!$B$8="SI",(Inv.Rep.!M30+Inv.Rep.!M31+Inv.Rep.!M38+Inv.Rep.!M39+Inv.Rep.!M40+Inv.Rep.!M41+Inv.Rep.!M42+Inv.Rep.!M43)/Deprec.!L7,(Inv.Rep.!M30+Inv.Rep.!M31+Inv.Rep.!M38+Inv.Rep.!M39+Inv.Rep.!M40+Inv.Rep.!M41+Inv.Rep.!M42+Inv.Rep.!M43)/Deprec.!L9)</f>
        <v>268332.42139802279</v>
      </c>
    </row>
    <row r="38" spans="1:13" x14ac:dyDescent="0.2">
      <c r="A38" s="32" t="s">
        <v>127</v>
      </c>
      <c r="B38" s="48" t="s">
        <v>183</v>
      </c>
      <c r="C38" s="66">
        <f>+IF(Condiciones!$B$8="SI",(Inv.Rep.!D32+Inv.Rep.!D33+Inv.Rep.!D34+Inv.Rep.!D35+Inv.Rep.!D36+Inv.Rep.!D37+Inv.Rep.!D44+Inv.Rep.!D45+Inv.Rep.!D46)/5,(Inv.Rep.!D32+Inv.Rep.!D33+Inv.Rep.!D34+Inv.Rep.!D35+Inv.Rep.!D36+Inv.Rep.!D37+Inv.Rep.!D44+Inv.Rep.!D45+Inv.Rep.!D46)/5)</f>
        <v>1470.1600000000003</v>
      </c>
      <c r="D38" s="66">
        <f>+IF(Condiciones!$B$8="SI",(Inv.Rep.!E32+Inv.Rep.!E33+Inv.Rep.!E34+Inv.Rep.!E35+Inv.Rep.!E36+Inv.Rep.!E37+Inv.Rep.!E44+Inv.Rep.!E45+Inv.Rep.!E46)/5,(Inv.Rep.!E32+Inv.Rep.!E33+Inv.Rep.!E34+Inv.Rep.!E35+Inv.Rep.!E36+Inv.Rep.!E37+Inv.Rep.!E44+Inv.Rep.!E45+Inv.Rep.!E46)/5)</f>
        <v>1528.9664</v>
      </c>
      <c r="E38" s="66">
        <f>+IF(Condiciones!$B$8="SI",(Inv.Rep.!F32+Inv.Rep.!F33+Inv.Rep.!F34+Inv.Rep.!F35+Inv.Rep.!F36+Inv.Rep.!F37+Inv.Rep.!F44+Inv.Rep.!F45+Inv.Rep.!F46)/5,(Inv.Rep.!F32+Inv.Rep.!F33+Inv.Rep.!F34+Inv.Rep.!F35+Inv.Rep.!F36+Inv.Rep.!F37+Inv.Rep.!F44+Inv.Rep.!F45+Inv.Rep.!F46)/5)</f>
        <v>1590.1250560000001</v>
      </c>
      <c r="F38" s="66">
        <f>+IF(Condiciones!$B$8="SI",(Inv.Rep.!G32+Inv.Rep.!G33+Inv.Rep.!G34+Inv.Rep.!G35+Inv.Rep.!G36+Inv.Rep.!G37+Inv.Rep.!G44+Inv.Rep.!G45+Inv.Rep.!G46)/5,(Inv.Rep.!G32+Inv.Rep.!G33+Inv.Rep.!G34+Inv.Rep.!G35+Inv.Rep.!G36+Inv.Rep.!G37+Inv.Rep.!G44+Inv.Rep.!G45+Inv.Rep.!G46)/5)</f>
        <v>1653.7300582399998</v>
      </c>
      <c r="G38" s="66">
        <f>+IF(Condiciones!$B$8="SI",(Inv.Rep.!H32+Inv.Rep.!H33+Inv.Rep.!H34+Inv.Rep.!H35+Inv.Rep.!H36+Inv.Rep.!H37+Inv.Rep.!H44+Inv.Rep.!H45+Inv.Rep.!H46)/5,(Inv.Rep.!H32+Inv.Rep.!H33+Inv.Rep.!H34+Inv.Rep.!H35+Inv.Rep.!H36+Inv.Rep.!H37+Inv.Rep.!H44+Inv.Rep.!H45+Inv.Rep.!H46)/5)</f>
        <v>1719.8792605695999</v>
      </c>
      <c r="H38" s="66">
        <f>+IF(Condiciones!$B$8="SI",(Inv.Rep.!I32+Inv.Rep.!I33+Inv.Rep.!I34+Inv.Rep.!I35+Inv.Rep.!I36+Inv.Rep.!I37+Inv.Rep.!I44+Inv.Rep.!I45+Inv.Rep.!I46)/5,(Inv.Rep.!I32+Inv.Rep.!I33+Inv.Rep.!I34+Inv.Rep.!I35+Inv.Rep.!I36+Inv.Rep.!I37+Inv.Rep.!I44+Inv.Rep.!I45+Inv.Rep.!I46)/H9)</f>
        <v>1788.674430992384</v>
      </c>
      <c r="I38" s="66">
        <f>+IF(Condiciones!$B$8="SI",(Inv.Rep.!J32+Inv.Rep.!J33+Inv.Rep.!J34+Inv.Rep.!J35+Inv.Rep.!J36+Inv.Rep.!J37+Inv.Rep.!J44+Inv.Rep.!J45+Inv.Rep.!J46)/5,(Inv.Rep.!J32+Inv.Rep.!J33+Inv.Rep.!J34+Inv.Rep.!J35+Inv.Rep.!J36+Inv.Rep.!J37+Inv.Rep.!J44+Inv.Rep.!J45+Inv.Rep.!J46)/I9)</f>
        <v>2325.2767602900994</v>
      </c>
      <c r="J38" s="66">
        <f>+IF(Condiciones!$B$8="SI",(Inv.Rep.!K32+Inv.Rep.!K33+Inv.Rep.!K34+Inv.Rep.!K35+Inv.Rep.!K36+Inv.Rep.!K37+Inv.Rep.!K44+Inv.Rep.!K45+Inv.Rep.!K46)/5,(Inv.Rep.!K32+Inv.Rep.!K33+Inv.Rep.!K34+Inv.Rep.!K35+Inv.Rep.!K36+Inv.Rep.!K37+Inv.Rep.!K44+Inv.Rep.!K45+Inv.Rep.!K46)/J9)</f>
        <v>3224.3837742689379</v>
      </c>
      <c r="K38" s="66">
        <f>+IF(Condiciones!$B$8="SI",(Inv.Rep.!L32+Inv.Rep.!L33+Inv.Rep.!L34+Inv.Rep.!L35+Inv.Rep.!L36+Inv.Rep.!L37+Inv.Rep.!L44+Inv.Rep.!L45+Inv.Rep.!L46)/5,(Inv.Rep.!L32+Inv.Rep.!L33+Inv.Rep.!L34+Inv.Rep.!L35+Inv.Rep.!L36+Inv.Rep.!L37+Inv.Rep.!L44+Inv.Rep.!L45+Inv.Rep.!L46)/K9)</f>
        <v>5030.0386878595427</v>
      </c>
      <c r="L38" s="66">
        <f>+IF(Condiciones!$B$8="SI",(Inv.Rep.!M32+Inv.Rep.!M33+Inv.Rep.!M34+Inv.Rep.!M35+Inv.Rep.!M36+Inv.Rep.!M37+Inv.Rep.!M44+Inv.Rep.!M45+Inv.Rep.!M46)/5,(Inv.Rep.!M32+Inv.Rep.!M33+Inv.Rep.!M34+Inv.Rep.!M35+Inv.Rep.!M36+Inv.Rep.!M37+Inv.Rep.!M44+Inv.Rep.!M45+Inv.Rep.!M46)/L9)</f>
        <v>10462.480470747847</v>
      </c>
    </row>
    <row r="39" spans="1:13" x14ac:dyDescent="0.2">
      <c r="A39" s="214" t="s">
        <v>126</v>
      </c>
      <c r="B39" s="48" t="s">
        <v>183</v>
      </c>
      <c r="C39" s="48">
        <f>+C37</f>
        <v>18852.68</v>
      </c>
      <c r="D39" s="48">
        <f t="shared" ref="D39:L39" si="8">+C39</f>
        <v>18852.68</v>
      </c>
      <c r="E39" s="48">
        <f t="shared" si="8"/>
        <v>18852.68</v>
      </c>
      <c r="F39" s="48">
        <f t="shared" si="8"/>
        <v>18852.68</v>
      </c>
      <c r="G39" s="48">
        <f t="shared" si="8"/>
        <v>18852.68</v>
      </c>
      <c r="H39" s="48">
        <f t="shared" si="8"/>
        <v>18852.68</v>
      </c>
      <c r="I39" s="48">
        <f t="shared" si="8"/>
        <v>18852.68</v>
      </c>
      <c r="J39" s="48">
        <f t="shared" si="8"/>
        <v>18852.68</v>
      </c>
      <c r="K39" s="48">
        <f t="shared" si="8"/>
        <v>18852.68</v>
      </c>
      <c r="L39" s="48">
        <f t="shared" si="8"/>
        <v>18852.68</v>
      </c>
    </row>
    <row r="40" spans="1:13" x14ac:dyDescent="0.2">
      <c r="A40" s="214" t="s">
        <v>127</v>
      </c>
      <c r="B40" s="48" t="s">
        <v>183</v>
      </c>
      <c r="C40" s="48">
        <f>+C38</f>
        <v>1470.1600000000003</v>
      </c>
      <c r="D40" s="48">
        <f>+C40</f>
        <v>1470.1600000000003</v>
      </c>
      <c r="E40" s="48">
        <f>+D40</f>
        <v>1470.1600000000003</v>
      </c>
      <c r="F40" s="48">
        <f>+E40</f>
        <v>1470.1600000000003</v>
      </c>
      <c r="G40" s="48">
        <f>+F40</f>
        <v>1470.1600000000003</v>
      </c>
      <c r="H40" s="48"/>
      <c r="I40" s="48"/>
      <c r="J40" s="48"/>
      <c r="K40" s="48"/>
      <c r="L40" s="48"/>
    </row>
    <row r="41" spans="1:13" x14ac:dyDescent="0.2">
      <c r="A41" s="214" t="s">
        <v>126</v>
      </c>
      <c r="B41" s="48" t="s">
        <v>183</v>
      </c>
      <c r="C41" s="67"/>
      <c r="D41" s="48">
        <f>+D37</f>
        <v>21785.319111111112</v>
      </c>
      <c r="E41" s="48">
        <f>+D41</f>
        <v>21785.319111111112</v>
      </c>
      <c r="F41" s="48">
        <f t="shared" ref="F41:L41" si="9">+E41</f>
        <v>21785.319111111112</v>
      </c>
      <c r="G41" s="48">
        <f t="shared" si="9"/>
        <v>21785.319111111112</v>
      </c>
      <c r="H41" s="48">
        <f t="shared" si="9"/>
        <v>21785.319111111112</v>
      </c>
      <c r="I41" s="48">
        <f t="shared" si="9"/>
        <v>21785.319111111112</v>
      </c>
      <c r="J41" s="48">
        <f t="shared" si="9"/>
        <v>21785.319111111112</v>
      </c>
      <c r="K41" s="48">
        <f t="shared" si="9"/>
        <v>21785.319111111112</v>
      </c>
      <c r="L41" s="48">
        <f t="shared" si="9"/>
        <v>21785.319111111112</v>
      </c>
    </row>
    <row r="42" spans="1:13" x14ac:dyDescent="0.2">
      <c r="A42" s="214" t="s">
        <v>127</v>
      </c>
      <c r="B42" s="48" t="s">
        <v>183</v>
      </c>
      <c r="C42" s="67"/>
      <c r="D42" s="48">
        <f>+D38</f>
        <v>1528.9664</v>
      </c>
      <c r="E42" s="48">
        <f>+D42</f>
        <v>1528.9664</v>
      </c>
      <c r="F42" s="48">
        <f>+E42</f>
        <v>1528.9664</v>
      </c>
      <c r="G42" s="48">
        <f>+F42</f>
        <v>1528.9664</v>
      </c>
      <c r="H42" s="48">
        <f>+G42</f>
        <v>1528.9664</v>
      </c>
      <c r="I42" s="48"/>
      <c r="J42" s="48"/>
      <c r="K42" s="48"/>
      <c r="L42" s="48"/>
    </row>
    <row r="43" spans="1:13" x14ac:dyDescent="0.2">
      <c r="A43" s="214" t="s">
        <v>126</v>
      </c>
      <c r="B43" s="48" t="s">
        <v>183</v>
      </c>
      <c r="C43" s="48"/>
      <c r="D43" s="67"/>
      <c r="E43" s="48">
        <f>+E37</f>
        <v>25488.823360000002</v>
      </c>
      <c r="F43" s="48">
        <f>+E43</f>
        <v>25488.823360000002</v>
      </c>
      <c r="G43" s="48">
        <f t="shared" ref="G43:L43" si="10">+F43</f>
        <v>25488.823360000002</v>
      </c>
      <c r="H43" s="48">
        <f t="shared" si="10"/>
        <v>25488.823360000002</v>
      </c>
      <c r="I43" s="48">
        <f t="shared" si="10"/>
        <v>25488.823360000002</v>
      </c>
      <c r="J43" s="48">
        <f t="shared" si="10"/>
        <v>25488.823360000002</v>
      </c>
      <c r="K43" s="48">
        <f t="shared" si="10"/>
        <v>25488.823360000002</v>
      </c>
      <c r="L43" s="48">
        <f t="shared" si="10"/>
        <v>25488.823360000002</v>
      </c>
    </row>
    <row r="44" spans="1:13" x14ac:dyDescent="0.2">
      <c r="A44" s="214" t="s">
        <v>127</v>
      </c>
      <c r="B44" s="48" t="s">
        <v>183</v>
      </c>
      <c r="C44" s="48"/>
      <c r="D44" s="67"/>
      <c r="E44" s="48">
        <f>+E38</f>
        <v>1590.1250560000001</v>
      </c>
      <c r="F44" s="48">
        <f>+E44</f>
        <v>1590.1250560000001</v>
      </c>
      <c r="G44" s="48">
        <f t="shared" ref="G44:I46" si="11">+F44</f>
        <v>1590.1250560000001</v>
      </c>
      <c r="H44" s="48">
        <f t="shared" si="11"/>
        <v>1590.1250560000001</v>
      </c>
      <c r="I44" s="48">
        <f t="shared" si="11"/>
        <v>1590.1250560000001</v>
      </c>
      <c r="J44" s="48"/>
      <c r="K44" s="48"/>
      <c r="L44" s="48"/>
    </row>
    <row r="45" spans="1:13" x14ac:dyDescent="0.2">
      <c r="A45" s="214" t="s">
        <v>126</v>
      </c>
      <c r="B45" s="48" t="s">
        <v>183</v>
      </c>
      <c r="C45" s="48"/>
      <c r="D45" s="48"/>
      <c r="E45" s="67"/>
      <c r="F45" s="48">
        <f>+F37</f>
        <v>30295.287193600001</v>
      </c>
      <c r="G45" s="48">
        <f t="shared" si="11"/>
        <v>30295.287193600001</v>
      </c>
      <c r="H45" s="48">
        <f t="shared" si="11"/>
        <v>30295.287193600001</v>
      </c>
      <c r="I45" s="48">
        <f t="shared" si="11"/>
        <v>30295.287193600001</v>
      </c>
      <c r="J45" s="48">
        <f>+I45</f>
        <v>30295.287193600001</v>
      </c>
      <c r="K45" s="48">
        <f>+J45</f>
        <v>30295.287193600001</v>
      </c>
      <c r="L45" s="48">
        <f>+K45</f>
        <v>30295.287193600001</v>
      </c>
    </row>
    <row r="46" spans="1:13" x14ac:dyDescent="0.2">
      <c r="A46" s="214" t="s">
        <v>127</v>
      </c>
      <c r="B46" s="48" t="s">
        <v>183</v>
      </c>
      <c r="C46" s="48"/>
      <c r="D46" s="48"/>
      <c r="E46" s="67"/>
      <c r="F46" s="48">
        <f>+F38</f>
        <v>1653.7300582399998</v>
      </c>
      <c r="G46" s="48">
        <f t="shared" si="11"/>
        <v>1653.7300582399998</v>
      </c>
      <c r="H46" s="48">
        <f t="shared" si="11"/>
        <v>1653.7300582399998</v>
      </c>
      <c r="I46" s="48">
        <f t="shared" si="11"/>
        <v>1653.7300582399998</v>
      </c>
      <c r="J46" s="48">
        <f>+I46</f>
        <v>1653.7300582399998</v>
      </c>
      <c r="K46" s="48"/>
      <c r="L46" s="48"/>
    </row>
    <row r="47" spans="1:13" x14ac:dyDescent="0.2">
      <c r="A47" s="214" t="s">
        <v>126</v>
      </c>
      <c r="B47" s="48" t="s">
        <v>183</v>
      </c>
      <c r="C47" s="48"/>
      <c r="D47" s="48"/>
      <c r="E47" s="48"/>
      <c r="F47" s="67"/>
      <c r="G47" s="48">
        <f>+G37</f>
        <v>36758.281794901333</v>
      </c>
      <c r="H47" s="48">
        <f>+G47</f>
        <v>36758.281794901333</v>
      </c>
      <c r="I47" s="48">
        <f>+H47</f>
        <v>36758.281794901333</v>
      </c>
      <c r="J47" s="48">
        <f>+I47</f>
        <v>36758.281794901333</v>
      </c>
      <c r="K47" s="48">
        <f>+J47</f>
        <v>36758.281794901333</v>
      </c>
      <c r="L47" s="48">
        <f>+K47</f>
        <v>36758.281794901333</v>
      </c>
    </row>
    <row r="48" spans="1:13" x14ac:dyDescent="0.2">
      <c r="A48" s="214" t="s">
        <v>127</v>
      </c>
      <c r="B48" s="48" t="s">
        <v>183</v>
      </c>
      <c r="C48" s="48"/>
      <c r="D48" s="48"/>
      <c r="E48" s="48"/>
      <c r="F48" s="67"/>
      <c r="G48" s="48">
        <f>+G38</f>
        <v>1719.8792605695999</v>
      </c>
      <c r="H48" s="48">
        <f>+G48</f>
        <v>1719.8792605695999</v>
      </c>
      <c r="I48" s="48">
        <f t="shared" ref="I48:K50" si="12">+H48</f>
        <v>1719.8792605695999</v>
      </c>
      <c r="J48" s="48">
        <f t="shared" si="12"/>
        <v>1719.8792605695999</v>
      </c>
      <c r="K48" s="48">
        <f t="shared" si="12"/>
        <v>1719.8792605695999</v>
      </c>
      <c r="L48" s="48"/>
    </row>
    <row r="49" spans="1:13" x14ac:dyDescent="0.2">
      <c r="A49" s="214" t="s">
        <v>126</v>
      </c>
      <c r="B49" s="48" t="s">
        <v>183</v>
      </c>
      <c r="C49" s="48"/>
      <c r="D49" s="48"/>
      <c r="E49" s="48"/>
      <c r="F49" s="48"/>
      <c r="G49" s="67"/>
      <c r="H49" s="48">
        <f>+H37</f>
        <v>45874.335680036871</v>
      </c>
      <c r="I49" s="48">
        <f t="shared" si="12"/>
        <v>45874.335680036871</v>
      </c>
      <c r="J49" s="48">
        <f t="shared" si="12"/>
        <v>45874.335680036871</v>
      </c>
      <c r="K49" s="48">
        <f t="shared" si="12"/>
        <v>45874.335680036871</v>
      </c>
      <c r="L49" s="48">
        <f t="shared" ref="L49:L56" si="13">+K49</f>
        <v>45874.335680036871</v>
      </c>
    </row>
    <row r="50" spans="1:13" x14ac:dyDescent="0.2">
      <c r="A50" s="214" t="s">
        <v>127</v>
      </c>
      <c r="B50" s="48" t="s">
        <v>183</v>
      </c>
      <c r="C50" s="48"/>
      <c r="D50" s="48"/>
      <c r="E50" s="48"/>
      <c r="F50" s="48"/>
      <c r="G50" s="67"/>
      <c r="H50" s="48">
        <f>+H38</f>
        <v>1788.674430992384</v>
      </c>
      <c r="I50" s="48">
        <f t="shared" si="12"/>
        <v>1788.674430992384</v>
      </c>
      <c r="J50" s="48">
        <f t="shared" si="12"/>
        <v>1788.674430992384</v>
      </c>
      <c r="K50" s="48">
        <f t="shared" si="12"/>
        <v>1788.674430992384</v>
      </c>
      <c r="L50" s="48">
        <f t="shared" si="13"/>
        <v>1788.674430992384</v>
      </c>
    </row>
    <row r="51" spans="1:13" x14ac:dyDescent="0.2">
      <c r="A51" s="214" t="s">
        <v>126</v>
      </c>
      <c r="B51" s="48" t="s">
        <v>183</v>
      </c>
      <c r="H51" s="50"/>
      <c r="I51" s="51">
        <f>+I37</f>
        <v>59636.636384047924</v>
      </c>
      <c r="J51" s="48">
        <f>+I51</f>
        <v>59636.636384047924</v>
      </c>
      <c r="K51" s="48">
        <f>+J51</f>
        <v>59636.636384047924</v>
      </c>
      <c r="L51" s="48">
        <f t="shared" si="13"/>
        <v>59636.636384047924</v>
      </c>
    </row>
    <row r="52" spans="1:13" x14ac:dyDescent="0.2">
      <c r="A52" s="214" t="s">
        <v>127</v>
      </c>
      <c r="B52" s="48" t="s">
        <v>183</v>
      </c>
      <c r="H52" s="50"/>
      <c r="I52" s="51">
        <f>+I38</f>
        <v>2325.2767602900994</v>
      </c>
      <c r="J52" s="48">
        <f>+I52</f>
        <v>2325.2767602900994</v>
      </c>
      <c r="K52" s="48">
        <f>+J52</f>
        <v>2325.2767602900994</v>
      </c>
      <c r="L52" s="48">
        <f t="shared" si="13"/>
        <v>2325.2767602900994</v>
      </c>
    </row>
    <row r="53" spans="1:13" x14ac:dyDescent="0.2">
      <c r="A53" s="214" t="s">
        <v>126</v>
      </c>
      <c r="B53" s="48" t="s">
        <v>183</v>
      </c>
      <c r="I53" s="50"/>
      <c r="J53" s="51">
        <f>+J37</f>
        <v>82696.135785879786</v>
      </c>
      <c r="K53" s="48">
        <f>+J53</f>
        <v>82696.135785879786</v>
      </c>
      <c r="L53" s="48">
        <f t="shared" si="13"/>
        <v>82696.135785879786</v>
      </c>
    </row>
    <row r="54" spans="1:13" x14ac:dyDescent="0.2">
      <c r="A54" s="214" t="s">
        <v>127</v>
      </c>
      <c r="B54" s="48" t="s">
        <v>183</v>
      </c>
      <c r="I54" s="50"/>
      <c r="J54" s="51">
        <f>+J38</f>
        <v>3224.3837742689379</v>
      </c>
      <c r="K54" s="48">
        <f>+J54</f>
        <v>3224.3837742689379</v>
      </c>
      <c r="L54" s="48">
        <f t="shared" si="13"/>
        <v>3224.3837742689379</v>
      </c>
    </row>
    <row r="55" spans="1:13" x14ac:dyDescent="0.2">
      <c r="A55" s="214" t="s">
        <v>126</v>
      </c>
      <c r="B55" s="48" t="s">
        <v>183</v>
      </c>
      <c r="J55" s="50"/>
      <c r="K55" s="51">
        <f>+K37</f>
        <v>129005.97182597248</v>
      </c>
      <c r="L55" s="48">
        <f t="shared" si="13"/>
        <v>129005.97182597248</v>
      </c>
    </row>
    <row r="56" spans="1:13" x14ac:dyDescent="0.2">
      <c r="A56" s="214" t="s">
        <v>127</v>
      </c>
      <c r="B56" s="48" t="s">
        <v>183</v>
      </c>
      <c r="J56" s="50"/>
      <c r="K56" s="51">
        <f>+K38</f>
        <v>5030.0386878595427</v>
      </c>
      <c r="L56" s="51">
        <f t="shared" si="13"/>
        <v>5030.0386878595427</v>
      </c>
    </row>
    <row r="57" spans="1:13" x14ac:dyDescent="0.2">
      <c r="A57" s="214" t="s">
        <v>126</v>
      </c>
      <c r="B57" s="48" t="s">
        <v>183</v>
      </c>
      <c r="H57" s="32" t="s">
        <v>183</v>
      </c>
      <c r="K57" s="50"/>
      <c r="L57" s="51">
        <f>+L37</f>
        <v>268332.42139802279</v>
      </c>
    </row>
    <row r="58" spans="1:13" x14ac:dyDescent="0.2">
      <c r="A58" s="214" t="s">
        <v>127</v>
      </c>
      <c r="B58" s="48" t="s">
        <v>183</v>
      </c>
      <c r="K58" s="50"/>
      <c r="L58" s="51">
        <f>+L38</f>
        <v>10462.480470747847</v>
      </c>
    </row>
    <row r="59" spans="1:13" x14ac:dyDescent="0.2">
      <c r="A59" s="214" t="s">
        <v>126</v>
      </c>
      <c r="B59" s="48" t="s">
        <v>183</v>
      </c>
      <c r="L59" s="50"/>
    </row>
    <row r="60" spans="1:13" x14ac:dyDescent="0.2">
      <c r="A60" s="214" t="s">
        <v>127</v>
      </c>
      <c r="B60" s="48" t="s">
        <v>183</v>
      </c>
      <c r="L60" s="50"/>
    </row>
    <row r="61" spans="1:13" x14ac:dyDescent="0.2">
      <c r="B61" s="38" t="s">
        <v>73</v>
      </c>
      <c r="C61" s="62">
        <f t="shared" ref="C61:L61" si="14">SUM(C39:C60)</f>
        <v>20322.84</v>
      </c>
      <c r="D61" s="62">
        <f t="shared" si="14"/>
        <v>43637.12551111111</v>
      </c>
      <c r="E61" s="62">
        <f t="shared" si="14"/>
        <v>70716.073927111123</v>
      </c>
      <c r="F61" s="62">
        <f t="shared" si="14"/>
        <v>102665.09117895113</v>
      </c>
      <c r="G61" s="62">
        <f t="shared" si="14"/>
        <v>141143.25223442208</v>
      </c>
      <c r="H61" s="62">
        <f t="shared" si="14"/>
        <v>187336.10234545133</v>
      </c>
      <c r="I61" s="62">
        <f t="shared" si="14"/>
        <v>247769.04908978933</v>
      </c>
      <c r="J61" s="62">
        <f t="shared" si="14"/>
        <v>332099.44359393808</v>
      </c>
      <c r="K61" s="62">
        <f t="shared" si="14"/>
        <v>464481.72404953011</v>
      </c>
      <c r="L61" s="62">
        <f t="shared" si="14"/>
        <v>741556.74665773113</v>
      </c>
      <c r="M61" s="51">
        <f>SUM(C61:L61)</f>
        <v>2351727.4485880355</v>
      </c>
    </row>
    <row r="64" spans="1:13" x14ac:dyDescent="0.2">
      <c r="A64" s="51" t="s">
        <v>183</v>
      </c>
      <c r="B64" s="35" t="s">
        <v>651</v>
      </c>
      <c r="C64" s="68">
        <f>+C34+C61</f>
        <v>756142.84</v>
      </c>
      <c r="D64" s="68">
        <f t="shared" ref="D64:L64" si="15">+D34+D61</f>
        <v>779457.12551111111</v>
      </c>
      <c r="E64" s="68">
        <f t="shared" si="15"/>
        <v>806536.07392711111</v>
      </c>
      <c r="F64" s="68">
        <f t="shared" si="15"/>
        <v>838485.09117895109</v>
      </c>
      <c r="G64" s="68">
        <f t="shared" si="15"/>
        <v>876963.25223442214</v>
      </c>
      <c r="H64" s="68">
        <f t="shared" si="15"/>
        <v>888376.10234545136</v>
      </c>
      <c r="I64" s="68">
        <f t="shared" si="15"/>
        <v>948809.04908978939</v>
      </c>
      <c r="J64" s="68">
        <f t="shared" si="15"/>
        <v>1033139.4435939381</v>
      </c>
      <c r="K64" s="68">
        <f t="shared" si="15"/>
        <v>1165521.72404953</v>
      </c>
      <c r="L64" s="68">
        <f t="shared" si="15"/>
        <v>1442596.746657731</v>
      </c>
    </row>
    <row r="66" spans="1:12" x14ac:dyDescent="0.2">
      <c r="A66" s="32" t="s">
        <v>478</v>
      </c>
      <c r="B66" s="40">
        <f>+Inv.Rep.!C59</f>
        <v>7184300</v>
      </c>
      <c r="C66" s="40">
        <f>+Inv.Rep.!D59</f>
        <v>195877.59999999998</v>
      </c>
      <c r="D66" s="40">
        <f>+Inv.Rep.!E59</f>
        <v>203712.70400000006</v>
      </c>
      <c r="E66" s="40">
        <f>+Inv.Rep.!F59</f>
        <v>211861.21216000002</v>
      </c>
      <c r="F66" s="40">
        <f>+Inv.Rep.!G59</f>
        <v>220335.66064639998</v>
      </c>
      <c r="G66" s="40">
        <f>+Inv.Rep.!H59</f>
        <v>229149.08707225599</v>
      </c>
      <c r="H66" s="40">
        <f>+Inv.Rep.!I59</f>
        <v>238315.05055514624</v>
      </c>
      <c r="I66" s="40">
        <f>+Inv.Rep.!J59</f>
        <v>247847.65257735207</v>
      </c>
      <c r="J66" s="40">
        <f>+Inv.Rep.!K59</f>
        <v>257761.55868044615</v>
      </c>
      <c r="K66" s="40">
        <f>+Inv.Rep.!L59</f>
        <v>268072.02102766401</v>
      </c>
      <c r="L66" s="40">
        <f>+Inv.Rep.!M59</f>
        <v>278794.90186877071</v>
      </c>
    </row>
    <row r="67" spans="1:12" x14ac:dyDescent="0.2">
      <c r="C67" s="40" t="s">
        <v>183</v>
      </c>
    </row>
    <row r="68" spans="1:12" x14ac:dyDescent="0.2">
      <c r="A68" s="32" t="s">
        <v>480</v>
      </c>
      <c r="C68" s="40">
        <f>+B66+C66</f>
        <v>7380177.5999999996</v>
      </c>
      <c r="D68" s="40">
        <f>+C68+D66</f>
        <v>7583890.3039999995</v>
      </c>
      <c r="E68" s="40">
        <f t="shared" ref="E68:K68" si="16">+D68+E66</f>
        <v>7795751.5161599992</v>
      </c>
      <c r="F68" s="40">
        <f t="shared" si="16"/>
        <v>8016087.1768063996</v>
      </c>
      <c r="G68" s="40">
        <f t="shared" si="16"/>
        <v>8245236.2638786556</v>
      </c>
      <c r="H68" s="40">
        <f t="shared" si="16"/>
        <v>8483551.3144338019</v>
      </c>
      <c r="I68" s="40">
        <f t="shared" si="16"/>
        <v>8731398.9670111537</v>
      </c>
      <c r="J68" s="40">
        <f t="shared" si="16"/>
        <v>8989160.5256916005</v>
      </c>
      <c r="K68" s="40">
        <f t="shared" si="16"/>
        <v>9257232.5467192642</v>
      </c>
      <c r="L68" s="40">
        <f>+K68+L66</f>
        <v>9536027.4485880341</v>
      </c>
    </row>
    <row r="69" spans="1:12" x14ac:dyDescent="0.2">
      <c r="A69" s="32" t="s">
        <v>479</v>
      </c>
      <c r="C69" s="40">
        <f>C64</f>
        <v>756142.84</v>
      </c>
      <c r="D69" s="40">
        <f>D64+C69</f>
        <v>1535599.9655111111</v>
      </c>
      <c r="E69" s="40">
        <f t="shared" ref="E69:L69" si="17">E64+D69</f>
        <v>2342136.0394382221</v>
      </c>
      <c r="F69" s="40">
        <f t="shared" si="17"/>
        <v>3180621.1306171734</v>
      </c>
      <c r="G69" s="40">
        <f t="shared" si="17"/>
        <v>4057584.3828515955</v>
      </c>
      <c r="H69" s="40">
        <f t="shared" si="17"/>
        <v>4945960.4851970468</v>
      </c>
      <c r="I69" s="40">
        <f t="shared" si="17"/>
        <v>5894769.5342868362</v>
      </c>
      <c r="J69" s="40">
        <f t="shared" si="17"/>
        <v>6927908.9778807741</v>
      </c>
      <c r="K69" s="40">
        <f t="shared" si="17"/>
        <v>8093430.7019303041</v>
      </c>
      <c r="L69" s="40">
        <f t="shared" si="17"/>
        <v>9536027.448588036</v>
      </c>
    </row>
    <row r="70" spans="1:12" x14ac:dyDescent="0.2">
      <c r="A70" s="43" t="s">
        <v>481</v>
      </c>
      <c r="B70" s="43"/>
      <c r="C70" s="42">
        <f t="shared" ref="C70:K70" si="18">+C68-C69</f>
        <v>6624034.7599999998</v>
      </c>
      <c r="D70" s="42">
        <f>+D68-D69</f>
        <v>6048290.338488888</v>
      </c>
      <c r="E70" s="42">
        <f t="shared" si="18"/>
        <v>5453615.4767217766</v>
      </c>
      <c r="F70" s="42">
        <f t="shared" si="18"/>
        <v>4835466.0461892262</v>
      </c>
      <c r="G70" s="42">
        <f t="shared" si="18"/>
        <v>4187651.8810270601</v>
      </c>
      <c r="H70" s="42">
        <f t="shared" si="18"/>
        <v>3537590.8292367551</v>
      </c>
      <c r="I70" s="42">
        <f t="shared" si="18"/>
        <v>2836629.4327243175</v>
      </c>
      <c r="J70" s="42">
        <f t="shared" si="18"/>
        <v>2061251.5478108265</v>
      </c>
      <c r="K70" s="42">
        <f t="shared" si="18"/>
        <v>1163801.8447889602</v>
      </c>
      <c r="L70" s="42">
        <f>+L68-L69</f>
        <v>0</v>
      </c>
    </row>
    <row r="71" spans="1:12" x14ac:dyDescent="0.2">
      <c r="C71" s="286"/>
      <c r="L71" s="51" t="s">
        <v>183</v>
      </c>
    </row>
    <row r="72" spans="1:12" x14ac:dyDescent="0.2">
      <c r="C72" s="287"/>
    </row>
  </sheetData>
  <phoneticPr fontId="3" type="noConversion"/>
  <printOptions horizontalCentered="1" verticalCentered="1"/>
  <pageMargins left="0.54" right="0" top="0" bottom="0" header="0" footer="0"/>
  <pageSetup paperSize="9" scale="50" orientation="landscape" horizontalDpi="355" verticalDpi="464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C75"/>
  <sheetViews>
    <sheetView zoomScale="90" zoomScaleNormal="90" workbookViewId="0">
      <selection activeCell="A29" sqref="A29"/>
    </sheetView>
  </sheetViews>
  <sheetFormatPr baseColWidth="10" defaultColWidth="11.42578125" defaultRowHeight="12.75" outlineLevelRow="1" x14ac:dyDescent="0.2"/>
  <cols>
    <col min="1" max="1" width="21.42578125" style="24" customWidth="1"/>
    <col min="2" max="2" width="10.140625" style="24" customWidth="1"/>
    <col min="3" max="3" width="18.7109375" style="24" bestFit="1" customWidth="1"/>
    <col min="4" max="8" width="10.140625" style="24" customWidth="1"/>
    <col min="9" max="9" width="19.85546875" style="24" bestFit="1" customWidth="1"/>
    <col min="10" max="10" width="18.85546875" style="24" bestFit="1" customWidth="1"/>
    <col min="11" max="11" width="11.42578125" style="24" bestFit="1" customWidth="1"/>
    <col min="12" max="12" width="13.28515625" style="24" customWidth="1"/>
    <col min="13" max="16384" width="11.42578125" style="24"/>
  </cols>
  <sheetData>
    <row r="2" spans="1:15" x14ac:dyDescent="0.2">
      <c r="A2" s="318" t="s">
        <v>666</v>
      </c>
      <c r="B2" s="319"/>
      <c r="C2" s="319"/>
      <c r="D2" s="319"/>
      <c r="E2" s="319"/>
      <c r="F2" s="319"/>
      <c r="G2" s="319"/>
      <c r="H2" s="319"/>
      <c r="I2" s="319"/>
      <c r="J2" s="319"/>
    </row>
    <row r="3" spans="1:15" ht="12.75" customHeight="1" x14ac:dyDescent="0.2">
      <c r="A3" s="316" t="s">
        <v>147</v>
      </c>
      <c r="B3" s="323" t="s">
        <v>432</v>
      </c>
      <c r="C3" s="316" t="s">
        <v>630</v>
      </c>
      <c r="D3" s="326" t="s">
        <v>433</v>
      </c>
      <c r="E3" s="312" t="s">
        <v>665</v>
      </c>
      <c r="F3" s="326" t="s">
        <v>462</v>
      </c>
      <c r="G3" s="326" t="s">
        <v>434</v>
      </c>
      <c r="H3" s="316" t="s">
        <v>141</v>
      </c>
      <c r="I3" s="201" t="s">
        <v>208</v>
      </c>
      <c r="J3" s="312" t="s">
        <v>665</v>
      </c>
    </row>
    <row r="4" spans="1:15" x14ac:dyDescent="0.2">
      <c r="A4" s="317"/>
      <c r="B4" s="324"/>
      <c r="C4" s="317"/>
      <c r="D4" s="327"/>
      <c r="E4" s="313"/>
      <c r="F4" s="327"/>
      <c r="G4" s="327"/>
      <c r="H4" s="315"/>
      <c r="I4" s="119" t="s">
        <v>548</v>
      </c>
      <c r="J4" s="313"/>
    </row>
    <row r="5" spans="1:15" x14ac:dyDescent="0.2">
      <c r="A5" s="120" t="s">
        <v>148</v>
      </c>
      <c r="B5" s="325"/>
      <c r="C5" s="120" t="s">
        <v>631</v>
      </c>
      <c r="D5" s="328" t="s">
        <v>144</v>
      </c>
      <c r="E5" s="121">
        <f>Condiciones!B22</f>
        <v>0.28000000000000003</v>
      </c>
      <c r="F5" s="328" t="s">
        <v>145</v>
      </c>
      <c r="G5" s="328" t="s">
        <v>145</v>
      </c>
      <c r="H5" s="122" t="s">
        <v>149</v>
      </c>
      <c r="I5" s="123">
        <f>Condiciones!B6</f>
        <v>0</v>
      </c>
      <c r="J5" s="121" t="s">
        <v>597</v>
      </c>
      <c r="M5" s="300" t="s">
        <v>677</v>
      </c>
      <c r="N5" s="300" t="s">
        <v>678</v>
      </c>
      <c r="O5" s="300" t="s">
        <v>679</v>
      </c>
    </row>
    <row r="6" spans="1:15" x14ac:dyDescent="0.2">
      <c r="A6" s="124" t="s">
        <v>146</v>
      </c>
      <c r="B6" s="141">
        <v>30.42</v>
      </c>
      <c r="C6" s="125">
        <v>0.6</v>
      </c>
      <c r="D6" s="125">
        <f t="shared" ref="D6:D11" si="0">+B6-C6</f>
        <v>29.82</v>
      </c>
      <c r="E6" s="125">
        <f t="shared" ref="E6:E11" si="1">+D6*$E$5</f>
        <v>8.3496000000000006</v>
      </c>
      <c r="F6" s="125">
        <f t="shared" ref="F6:F11" si="2">+D6-E6</f>
        <v>21.470399999999998</v>
      </c>
      <c r="G6" s="125">
        <f>+F6/1.12</f>
        <v>19.169999999999995</v>
      </c>
      <c r="H6" s="126">
        <f t="shared" ref="H6:H11" si="3">+G6</f>
        <v>19.169999999999995</v>
      </c>
      <c r="I6" s="127">
        <f t="shared" ref="I6:I11" si="4">+G6*$I$5</f>
        <v>0</v>
      </c>
      <c r="J6" s="206">
        <f>E6/H6</f>
        <v>0.4355555555555557</v>
      </c>
      <c r="K6" s="128" t="s">
        <v>183</v>
      </c>
      <c r="M6" s="301">
        <v>28.81</v>
      </c>
      <c r="N6" s="302">
        <v>1.0349999999999999</v>
      </c>
      <c r="O6" s="303">
        <f>M6*N6</f>
        <v>29.818349999999995</v>
      </c>
    </row>
    <row r="7" spans="1:15" x14ac:dyDescent="0.2">
      <c r="A7" s="130" t="s">
        <v>598</v>
      </c>
      <c r="B7" s="141">
        <v>20.8</v>
      </c>
      <c r="C7" s="125">
        <f>+C6</f>
        <v>0.6</v>
      </c>
      <c r="D7" s="125">
        <f t="shared" si="0"/>
        <v>20.2</v>
      </c>
      <c r="E7" s="125">
        <f t="shared" si="1"/>
        <v>5.6560000000000006</v>
      </c>
      <c r="F7" s="125">
        <f t="shared" si="2"/>
        <v>14.543999999999999</v>
      </c>
      <c r="G7" s="125">
        <f t="shared" ref="G7:G11" si="5">+F7/1.12</f>
        <v>12.985714285714284</v>
      </c>
      <c r="H7" s="126">
        <f t="shared" si="3"/>
        <v>12.985714285714284</v>
      </c>
      <c r="I7" s="127">
        <f t="shared" si="4"/>
        <v>0</v>
      </c>
      <c r="J7" s="206">
        <f t="shared" ref="J7:J11" si="6">E7/H7</f>
        <v>0.43555555555555564</v>
      </c>
      <c r="K7" s="128" t="s">
        <v>189</v>
      </c>
      <c r="M7" s="301">
        <v>19.52</v>
      </c>
      <c r="N7" s="302">
        <v>1.0349999999999999</v>
      </c>
      <c r="O7" s="303">
        <f t="shared" ref="O7:O11" si="7">M7*N7</f>
        <v>20.203199999999999</v>
      </c>
    </row>
    <row r="8" spans="1:15" x14ac:dyDescent="0.2">
      <c r="A8" s="130" t="s">
        <v>10</v>
      </c>
      <c r="B8" s="141">
        <v>47.86</v>
      </c>
      <c r="C8" s="125">
        <f>+C7</f>
        <v>0.6</v>
      </c>
      <c r="D8" s="125">
        <f t="shared" si="0"/>
        <v>47.26</v>
      </c>
      <c r="E8" s="125">
        <f t="shared" si="1"/>
        <v>13.232800000000001</v>
      </c>
      <c r="F8" s="125">
        <f t="shared" si="2"/>
        <v>34.027199999999993</v>
      </c>
      <c r="G8" s="125">
        <f t="shared" si="5"/>
        <v>30.381428571428561</v>
      </c>
      <c r="H8" s="126">
        <f t="shared" si="3"/>
        <v>30.381428571428561</v>
      </c>
      <c r="I8" s="127">
        <f t="shared" si="4"/>
        <v>0</v>
      </c>
      <c r="J8" s="206">
        <f t="shared" si="6"/>
        <v>0.43555555555555575</v>
      </c>
      <c r="M8" s="301">
        <v>45.66</v>
      </c>
      <c r="N8" s="302">
        <v>1.0349999999999999</v>
      </c>
      <c r="O8" s="303">
        <f t="shared" si="7"/>
        <v>47.258099999999992</v>
      </c>
    </row>
    <row r="9" spans="1:15" x14ac:dyDescent="0.2">
      <c r="A9" s="130" t="s">
        <v>171</v>
      </c>
      <c r="B9" s="141">
        <v>40.26</v>
      </c>
      <c r="C9" s="125">
        <f>+C8</f>
        <v>0.6</v>
      </c>
      <c r="D9" s="125">
        <f t="shared" si="0"/>
        <v>39.659999999999997</v>
      </c>
      <c r="E9" s="125">
        <f t="shared" si="1"/>
        <v>11.104800000000001</v>
      </c>
      <c r="F9" s="125">
        <f t="shared" si="2"/>
        <v>28.555199999999996</v>
      </c>
      <c r="G9" s="125">
        <f t="shared" si="5"/>
        <v>25.495714285714278</v>
      </c>
      <c r="H9" s="126">
        <f t="shared" si="3"/>
        <v>25.495714285714278</v>
      </c>
      <c r="I9" s="127">
        <f t="shared" si="4"/>
        <v>0</v>
      </c>
      <c r="J9" s="206">
        <f t="shared" si="6"/>
        <v>0.4355555555555557</v>
      </c>
      <c r="M9" s="301">
        <v>38.32</v>
      </c>
      <c r="N9" s="302">
        <v>1.0349999999999999</v>
      </c>
      <c r="O9" s="303">
        <f t="shared" si="7"/>
        <v>39.661199999999994</v>
      </c>
    </row>
    <row r="10" spans="1:15" x14ac:dyDescent="0.2">
      <c r="A10" s="130" t="s">
        <v>11</v>
      </c>
      <c r="B10" s="141">
        <v>18.13</v>
      </c>
      <c r="C10" s="125">
        <f>+C9</f>
        <v>0.6</v>
      </c>
      <c r="D10" s="125">
        <f t="shared" si="0"/>
        <v>17.529999999999998</v>
      </c>
      <c r="E10" s="125">
        <f t="shared" si="1"/>
        <v>4.9083999999999994</v>
      </c>
      <c r="F10" s="125">
        <f t="shared" si="2"/>
        <v>12.621599999999997</v>
      </c>
      <c r="G10" s="125">
        <f t="shared" si="5"/>
        <v>11.269285714285711</v>
      </c>
      <c r="H10" s="126">
        <f t="shared" si="3"/>
        <v>11.269285714285711</v>
      </c>
      <c r="I10" s="127">
        <f t="shared" si="4"/>
        <v>0</v>
      </c>
      <c r="J10" s="206">
        <f t="shared" si="6"/>
        <v>0.43555555555555564</v>
      </c>
      <c r="M10" s="301">
        <v>16.940000000000001</v>
      </c>
      <c r="N10" s="302">
        <v>1.0349999999999999</v>
      </c>
      <c r="O10" s="303">
        <f t="shared" si="7"/>
        <v>17.532900000000001</v>
      </c>
    </row>
    <row r="11" spans="1:15" x14ac:dyDescent="0.2">
      <c r="A11" s="131" t="s">
        <v>195</v>
      </c>
      <c r="B11" s="141">
        <v>10.53</v>
      </c>
      <c r="C11" s="125">
        <f>+C10</f>
        <v>0.6</v>
      </c>
      <c r="D11" s="125">
        <f t="shared" si="0"/>
        <v>9.93</v>
      </c>
      <c r="E11" s="125">
        <f t="shared" si="1"/>
        <v>2.7804000000000002</v>
      </c>
      <c r="F11" s="125">
        <f t="shared" si="2"/>
        <v>7.1495999999999995</v>
      </c>
      <c r="G11" s="125">
        <f t="shared" si="5"/>
        <v>6.3835714285714271</v>
      </c>
      <c r="H11" s="126">
        <f t="shared" si="3"/>
        <v>6.3835714285714271</v>
      </c>
      <c r="I11" s="127">
        <f t="shared" si="4"/>
        <v>0</v>
      </c>
      <c r="J11" s="206">
        <f t="shared" si="6"/>
        <v>0.4355555555555557</v>
      </c>
      <c r="M11" s="301">
        <v>9.59</v>
      </c>
      <c r="N11" s="302">
        <v>1.0349999999999999</v>
      </c>
      <c r="O11" s="303">
        <f t="shared" si="7"/>
        <v>9.9256499999999992</v>
      </c>
    </row>
    <row r="12" spans="1:15" x14ac:dyDescent="0.2">
      <c r="A12" s="132" t="s">
        <v>183</v>
      </c>
      <c r="B12" s="133"/>
      <c r="C12" s="134"/>
    </row>
    <row r="13" spans="1:15" x14ac:dyDescent="0.2">
      <c r="A13" s="135" t="s">
        <v>423</v>
      </c>
      <c r="B13" s="136"/>
      <c r="C13" s="136"/>
      <c r="G13" s="137"/>
      <c r="H13" s="137"/>
      <c r="I13" s="137"/>
    </row>
    <row r="14" spans="1:15" x14ac:dyDescent="0.2">
      <c r="A14" s="134" t="s">
        <v>210</v>
      </c>
      <c r="B14" s="134"/>
      <c r="C14" s="134"/>
      <c r="D14" s="184">
        <v>10</v>
      </c>
      <c r="E14" s="139" t="s">
        <v>183</v>
      </c>
      <c r="F14" s="139"/>
    </row>
    <row r="15" spans="1:15" x14ac:dyDescent="0.2">
      <c r="A15" s="134" t="s">
        <v>630</v>
      </c>
      <c r="D15" s="184">
        <v>10</v>
      </c>
      <c r="E15" s="139"/>
      <c r="F15" s="139"/>
    </row>
    <row r="17" spans="1:16" x14ac:dyDescent="0.2">
      <c r="A17" s="314" t="s">
        <v>667</v>
      </c>
      <c r="B17" s="332"/>
      <c r="C17" s="332"/>
      <c r="D17" s="333"/>
      <c r="E17" s="333"/>
      <c r="F17" s="333"/>
      <c r="G17" s="332"/>
      <c r="H17" s="332"/>
      <c r="I17" s="333"/>
      <c r="J17" s="312" t="s">
        <v>665</v>
      </c>
    </row>
    <row r="18" spans="1:16" ht="12.75" customHeight="1" x14ac:dyDescent="0.2">
      <c r="A18" s="314" t="s">
        <v>147</v>
      </c>
      <c r="B18" s="314" t="s">
        <v>190</v>
      </c>
      <c r="C18" s="316" t="s">
        <v>642</v>
      </c>
      <c r="D18" s="320" t="s">
        <v>433</v>
      </c>
      <c r="E18" s="312" t="s">
        <v>629</v>
      </c>
      <c r="F18" s="329" t="s">
        <v>462</v>
      </c>
      <c r="G18" s="314" t="s">
        <v>204</v>
      </c>
      <c r="H18" s="316" t="s">
        <v>141</v>
      </c>
      <c r="I18" s="202" t="s">
        <v>208</v>
      </c>
      <c r="J18" s="313"/>
    </row>
    <row r="19" spans="1:16" x14ac:dyDescent="0.2">
      <c r="A19" s="315"/>
      <c r="B19" s="315"/>
      <c r="C19" s="317"/>
      <c r="D19" s="321"/>
      <c r="E19" s="313"/>
      <c r="F19" s="330"/>
      <c r="G19" s="315"/>
      <c r="H19" s="315"/>
      <c r="I19" s="119" t="s">
        <v>548</v>
      </c>
      <c r="J19" s="121" t="s">
        <v>597</v>
      </c>
    </row>
    <row r="20" spans="1:16" x14ac:dyDescent="0.2">
      <c r="A20" s="122" t="s">
        <v>148</v>
      </c>
      <c r="B20" s="122" t="s">
        <v>31</v>
      </c>
      <c r="C20" s="120" t="s">
        <v>143</v>
      </c>
      <c r="D20" s="322"/>
      <c r="E20" s="198">
        <f>E5</f>
        <v>0.28000000000000003</v>
      </c>
      <c r="F20" s="331" t="s">
        <v>145</v>
      </c>
      <c r="G20" s="122" t="s">
        <v>145</v>
      </c>
      <c r="H20" s="122" t="s">
        <v>149</v>
      </c>
      <c r="I20" s="140">
        <f>+I5</f>
        <v>0</v>
      </c>
      <c r="J20" s="206"/>
    </row>
    <row r="21" spans="1:16" x14ac:dyDescent="0.2">
      <c r="A21" s="124" t="s">
        <v>146</v>
      </c>
      <c r="B21" s="141">
        <f>(+D6/2)+C21</f>
        <v>15.51</v>
      </c>
      <c r="C21" s="125">
        <v>0.6</v>
      </c>
      <c r="D21" s="125">
        <f>+B21-C21</f>
        <v>14.91</v>
      </c>
      <c r="E21" s="125">
        <f>+D21*$E$20</f>
        <v>4.1748000000000003</v>
      </c>
      <c r="F21" s="125">
        <f>+D21-E21</f>
        <v>10.735199999999999</v>
      </c>
      <c r="G21" s="127">
        <f>+F21/1.12</f>
        <v>9.5849999999999973</v>
      </c>
      <c r="H21" s="142">
        <f>+G21</f>
        <v>9.5849999999999973</v>
      </c>
      <c r="I21" s="127">
        <f>+G21*$I$20</f>
        <v>0</v>
      </c>
      <c r="J21" s="206">
        <f t="shared" ref="J21:J25" si="8">E21/H21</f>
        <v>0.4355555555555557</v>
      </c>
      <c r="K21" s="128" t="s">
        <v>183</v>
      </c>
      <c r="L21" s="24" t="s">
        <v>189</v>
      </c>
    </row>
    <row r="22" spans="1:16" x14ac:dyDescent="0.2">
      <c r="A22" s="130" t="s">
        <v>598</v>
      </c>
      <c r="B22" s="141">
        <f>(+D7/2)+C22</f>
        <v>10.7</v>
      </c>
      <c r="C22" s="125">
        <f>+C21</f>
        <v>0.6</v>
      </c>
      <c r="D22" s="125">
        <f>+B22-C22</f>
        <v>10.1</v>
      </c>
      <c r="E22" s="125">
        <f>+D22*$E$20</f>
        <v>2.8280000000000003</v>
      </c>
      <c r="F22" s="125">
        <f>+D22-E22</f>
        <v>7.2719999999999994</v>
      </c>
      <c r="G22" s="127">
        <f t="shared" ref="G22:G25" si="9">+F22/1.12</f>
        <v>6.492857142857142</v>
      </c>
      <c r="H22" s="126">
        <f>+G22</f>
        <v>6.492857142857142</v>
      </c>
      <c r="I22" s="127">
        <f>+G22*$I$20</f>
        <v>0</v>
      </c>
      <c r="J22" s="206">
        <f t="shared" si="8"/>
        <v>0.43555555555555564</v>
      </c>
      <c r="K22" s="128" t="s">
        <v>189</v>
      </c>
      <c r="L22" s="24" t="s">
        <v>183</v>
      </c>
    </row>
    <row r="23" spans="1:16" x14ac:dyDescent="0.2">
      <c r="A23" s="130" t="s">
        <v>10</v>
      </c>
      <c r="B23" s="141">
        <f>(+D8/2)+C23</f>
        <v>24.23</v>
      </c>
      <c r="C23" s="125">
        <f>+C22</f>
        <v>0.6</v>
      </c>
      <c r="D23" s="125">
        <f>+B23-C23</f>
        <v>23.63</v>
      </c>
      <c r="E23" s="125">
        <f>+D23*$E$20</f>
        <v>6.6164000000000005</v>
      </c>
      <c r="F23" s="125">
        <f>+D23-E23</f>
        <v>17.013599999999997</v>
      </c>
      <c r="G23" s="127">
        <f t="shared" si="9"/>
        <v>15.190714285714281</v>
      </c>
      <c r="H23" s="126">
        <f>+G23</f>
        <v>15.190714285714281</v>
      </c>
      <c r="I23" s="127">
        <f>+G23*$I$20</f>
        <v>0</v>
      </c>
      <c r="J23" s="206">
        <f t="shared" si="8"/>
        <v>0.43555555555555575</v>
      </c>
      <c r="K23" s="143" t="s">
        <v>183</v>
      </c>
      <c r="L23" s="143" t="s">
        <v>183</v>
      </c>
    </row>
    <row r="24" spans="1:16" x14ac:dyDescent="0.2">
      <c r="A24" s="130" t="s">
        <v>171</v>
      </c>
      <c r="B24" s="141">
        <f>(+D9/2)+C24</f>
        <v>20.43</v>
      </c>
      <c r="C24" s="125">
        <f>+C23</f>
        <v>0.6</v>
      </c>
      <c r="D24" s="125">
        <f>+B24-C24</f>
        <v>19.829999999999998</v>
      </c>
      <c r="E24" s="125">
        <f>+D24*$E$20</f>
        <v>5.5524000000000004</v>
      </c>
      <c r="F24" s="125">
        <f>+D24-E24</f>
        <v>14.277599999999998</v>
      </c>
      <c r="G24" s="127">
        <f t="shared" si="9"/>
        <v>12.747857142857139</v>
      </c>
      <c r="H24" s="126">
        <f>+G24</f>
        <v>12.747857142857139</v>
      </c>
      <c r="I24" s="127">
        <f>+G24*$I$20</f>
        <v>0</v>
      </c>
      <c r="J24" s="206">
        <f t="shared" si="8"/>
        <v>0.4355555555555557</v>
      </c>
      <c r="K24" s="143" t="s">
        <v>183</v>
      </c>
      <c r="L24" s="143" t="s">
        <v>183</v>
      </c>
    </row>
    <row r="25" spans="1:16" x14ac:dyDescent="0.2">
      <c r="A25" s="130" t="s">
        <v>11</v>
      </c>
      <c r="B25" s="141">
        <f>(+D10/2)+C25</f>
        <v>9.3649999999999984</v>
      </c>
      <c r="C25" s="125">
        <f>+C24</f>
        <v>0.6</v>
      </c>
      <c r="D25" s="125">
        <f>+B25-C25</f>
        <v>8.7649999999999988</v>
      </c>
      <c r="E25" s="125">
        <f>+D25*$E$20</f>
        <v>2.4541999999999997</v>
      </c>
      <c r="F25" s="125">
        <f>+D25-E25</f>
        <v>6.3107999999999986</v>
      </c>
      <c r="G25" s="127">
        <f t="shared" si="9"/>
        <v>5.6346428571428557</v>
      </c>
      <c r="H25" s="126">
        <f>+G25</f>
        <v>5.6346428571428557</v>
      </c>
      <c r="I25" s="127">
        <f>+G25*$I$20</f>
        <v>0</v>
      </c>
      <c r="J25" s="206">
        <f t="shared" si="8"/>
        <v>0.43555555555555564</v>
      </c>
      <c r="K25" s="143" t="s">
        <v>183</v>
      </c>
      <c r="L25" s="143" t="s">
        <v>183</v>
      </c>
    </row>
    <row r="27" spans="1:16" x14ac:dyDescent="0.2">
      <c r="D27" s="144"/>
      <c r="E27" s="144"/>
      <c r="F27" s="144"/>
    </row>
    <row r="28" spans="1:16" x14ac:dyDescent="0.2">
      <c r="A28" s="144"/>
      <c r="B28" s="144"/>
      <c r="C28" s="144"/>
      <c r="D28" s="144"/>
      <c r="E28" s="144"/>
      <c r="F28" s="144"/>
    </row>
    <row r="31" spans="1:16" x14ac:dyDescent="0.2">
      <c r="A31" s="145" t="s">
        <v>652</v>
      </c>
      <c r="B31" s="23">
        <v>1</v>
      </c>
      <c r="C31" s="23">
        <f>+B31+1</f>
        <v>2</v>
      </c>
      <c r="D31" s="23">
        <f t="shared" ref="D31:P31" si="10">+C31+1</f>
        <v>3</v>
      </c>
      <c r="E31" s="23">
        <f t="shared" si="10"/>
        <v>4</v>
      </c>
      <c r="F31" s="23">
        <f t="shared" si="10"/>
        <v>5</v>
      </c>
      <c r="G31" s="23">
        <f t="shared" si="10"/>
        <v>6</v>
      </c>
      <c r="H31" s="23">
        <f t="shared" si="10"/>
        <v>7</v>
      </c>
      <c r="I31" s="23">
        <f t="shared" si="10"/>
        <v>8</v>
      </c>
      <c r="J31" s="23">
        <f t="shared" si="10"/>
        <v>9</v>
      </c>
      <c r="K31" s="23">
        <f t="shared" si="10"/>
        <v>10</v>
      </c>
      <c r="L31" s="23">
        <f>+K31+1</f>
        <v>11</v>
      </c>
      <c r="M31" s="23">
        <f t="shared" si="10"/>
        <v>12</v>
      </c>
      <c r="N31" s="23">
        <f t="shared" si="10"/>
        <v>13</v>
      </c>
      <c r="O31" s="23">
        <f>+N31+1</f>
        <v>14</v>
      </c>
      <c r="P31" s="23">
        <f t="shared" si="10"/>
        <v>15</v>
      </c>
    </row>
    <row r="32" spans="1:16" x14ac:dyDescent="0.2">
      <c r="B32" s="145">
        <v>2017</v>
      </c>
      <c r="C32" s="145">
        <v>2018</v>
      </c>
      <c r="D32" s="145">
        <v>2019</v>
      </c>
      <c r="E32" s="145">
        <v>2020</v>
      </c>
      <c r="F32" s="145">
        <v>2021</v>
      </c>
      <c r="G32" s="145">
        <v>2022</v>
      </c>
      <c r="H32" s="145">
        <v>2023</v>
      </c>
      <c r="I32" s="145">
        <v>2024</v>
      </c>
      <c r="J32" s="145">
        <v>2025</v>
      </c>
      <c r="K32" s="145">
        <v>2026</v>
      </c>
      <c r="L32" s="145">
        <v>2027</v>
      </c>
      <c r="M32" s="145">
        <v>2028</v>
      </c>
      <c r="N32" s="145">
        <v>2029</v>
      </c>
      <c r="O32" s="145">
        <v>2030</v>
      </c>
      <c r="P32" s="145">
        <v>2030</v>
      </c>
    </row>
    <row r="33" spans="1:16" ht="12.75" customHeight="1" outlineLevel="1" x14ac:dyDescent="0.2">
      <c r="A33" s="24" t="s">
        <v>146</v>
      </c>
      <c r="B33" s="146">
        <f t="shared" ref="B33:B38" si="11">+H6</f>
        <v>19.169999999999995</v>
      </c>
      <c r="C33" s="146">
        <f>B33*1.04</f>
        <v>19.936799999999995</v>
      </c>
      <c r="D33" s="146">
        <f t="shared" ref="D33:N33" si="12">C33*1.04</f>
        <v>20.734271999999994</v>
      </c>
      <c r="E33" s="146">
        <f t="shared" si="12"/>
        <v>21.563642879999993</v>
      </c>
      <c r="F33" s="146">
        <f t="shared" si="12"/>
        <v>22.426188595199992</v>
      </c>
      <c r="G33" s="146">
        <f t="shared" si="12"/>
        <v>23.323236139007992</v>
      </c>
      <c r="H33" s="146">
        <f t="shared" si="12"/>
        <v>24.256165584568311</v>
      </c>
      <c r="I33" s="146">
        <f t="shared" si="12"/>
        <v>25.226412207951043</v>
      </c>
      <c r="J33" s="146">
        <f t="shared" si="12"/>
        <v>26.235468696269084</v>
      </c>
      <c r="K33" s="146">
        <f t="shared" si="12"/>
        <v>27.28488744411985</v>
      </c>
      <c r="L33" s="146">
        <f t="shared" ref="L33:L38" si="13">K33*1.04</f>
        <v>28.376282941884643</v>
      </c>
      <c r="M33" s="146">
        <f t="shared" si="12"/>
        <v>29.51133425956003</v>
      </c>
      <c r="N33" s="146">
        <f t="shared" si="12"/>
        <v>30.691787629942432</v>
      </c>
      <c r="O33" s="146">
        <f>N33*1.04</f>
        <v>31.91945913514013</v>
      </c>
      <c r="P33" s="146">
        <f>O33*1.04</f>
        <v>33.196237500545735</v>
      </c>
    </row>
    <row r="34" spans="1:16" ht="12.75" customHeight="1" outlineLevel="1" x14ac:dyDescent="0.2">
      <c r="A34" s="24" t="s">
        <v>192</v>
      </c>
      <c r="B34" s="146">
        <f t="shared" si="11"/>
        <v>12.985714285714284</v>
      </c>
      <c r="C34" s="146">
        <f t="shared" ref="C34:P38" si="14">B34*1.04</f>
        <v>13.505142857142856</v>
      </c>
      <c r="D34" s="146">
        <f t="shared" si="14"/>
        <v>14.045348571428571</v>
      </c>
      <c r="E34" s="146">
        <f t="shared" si="14"/>
        <v>14.607162514285713</v>
      </c>
      <c r="F34" s="146">
        <f t="shared" si="14"/>
        <v>15.191449014857142</v>
      </c>
      <c r="G34" s="146">
        <f t="shared" si="14"/>
        <v>15.799106975451428</v>
      </c>
      <c r="H34" s="146">
        <f t="shared" si="14"/>
        <v>16.431071254469487</v>
      </c>
      <c r="I34" s="146">
        <f t="shared" si="14"/>
        <v>17.088314104648266</v>
      </c>
      <c r="J34" s="146">
        <f t="shared" si="14"/>
        <v>17.771846668834197</v>
      </c>
      <c r="K34" s="146">
        <f t="shared" si="14"/>
        <v>18.482720535587564</v>
      </c>
      <c r="L34" s="146">
        <f t="shared" si="13"/>
        <v>19.222029357011067</v>
      </c>
      <c r="M34" s="146">
        <f t="shared" si="14"/>
        <v>19.990910531291512</v>
      </c>
      <c r="N34" s="146">
        <f t="shared" si="14"/>
        <v>20.790546952543174</v>
      </c>
      <c r="O34" s="146">
        <f>N34*1.04</f>
        <v>21.622168830644902</v>
      </c>
      <c r="P34" s="146">
        <f t="shared" si="14"/>
        <v>22.487055583870699</v>
      </c>
    </row>
    <row r="35" spans="1:16" ht="12.75" customHeight="1" outlineLevel="1" x14ac:dyDescent="0.2">
      <c r="A35" s="24" t="s">
        <v>193</v>
      </c>
      <c r="B35" s="146">
        <f t="shared" si="11"/>
        <v>30.381428571428561</v>
      </c>
      <c r="C35" s="146">
        <f t="shared" si="14"/>
        <v>31.596685714285705</v>
      </c>
      <c r="D35" s="146">
        <f t="shared" si="14"/>
        <v>32.860553142857135</v>
      </c>
      <c r="E35" s="146">
        <f t="shared" si="14"/>
        <v>34.174975268571423</v>
      </c>
      <c r="F35" s="146">
        <f t="shared" si="14"/>
        <v>35.541974279314282</v>
      </c>
      <c r="G35" s="146">
        <f t="shared" si="14"/>
        <v>36.963653250486857</v>
      </c>
      <c r="H35" s="146">
        <f t="shared" si="14"/>
        <v>38.442199380506331</v>
      </c>
      <c r="I35" s="146">
        <f t="shared" si="14"/>
        <v>39.979887355726582</v>
      </c>
      <c r="J35" s="146">
        <f t="shared" si="14"/>
        <v>41.579082849955647</v>
      </c>
      <c r="K35" s="146">
        <f t="shared" si="14"/>
        <v>43.242246163953872</v>
      </c>
      <c r="L35" s="146">
        <f t="shared" si="13"/>
        <v>44.971936010512032</v>
      </c>
      <c r="M35" s="146">
        <f t="shared" si="14"/>
        <v>46.770813450932515</v>
      </c>
      <c r="N35" s="146">
        <f t="shared" si="14"/>
        <v>48.64164598896982</v>
      </c>
      <c r="O35" s="146">
        <f>N35*1.04</f>
        <v>50.587311828528613</v>
      </c>
      <c r="P35" s="146">
        <f t="shared" si="14"/>
        <v>52.610804301669759</v>
      </c>
    </row>
    <row r="36" spans="1:16" ht="12.75" customHeight="1" outlineLevel="1" x14ac:dyDescent="0.2">
      <c r="A36" s="24" t="s">
        <v>171</v>
      </c>
      <c r="B36" s="146">
        <f t="shared" si="11"/>
        <v>25.495714285714278</v>
      </c>
      <c r="C36" s="146">
        <f t="shared" si="14"/>
        <v>26.515542857142851</v>
      </c>
      <c r="D36" s="146">
        <f t="shared" si="14"/>
        <v>27.576164571428567</v>
      </c>
      <c r="E36" s="146">
        <f t="shared" si="14"/>
        <v>28.67921115428571</v>
      </c>
      <c r="F36" s="146">
        <f t="shared" si="14"/>
        <v>29.826379600457141</v>
      </c>
      <c r="G36" s="146">
        <f t="shared" si="14"/>
        <v>31.019434784475429</v>
      </c>
      <c r="H36" s="146">
        <f t="shared" si="14"/>
        <v>32.260212175854448</v>
      </c>
      <c r="I36" s="146">
        <f t="shared" si="14"/>
        <v>33.550620662888626</v>
      </c>
      <c r="J36" s="146">
        <f t="shared" si="14"/>
        <v>34.892645489404174</v>
      </c>
      <c r="K36" s="146">
        <f t="shared" si="14"/>
        <v>36.288351308980339</v>
      </c>
      <c r="L36" s="146">
        <f t="shared" si="13"/>
        <v>37.739885361339553</v>
      </c>
      <c r="M36" s="146">
        <f t="shared" si="14"/>
        <v>39.249480775793138</v>
      </c>
      <c r="N36" s="146">
        <f t="shared" si="14"/>
        <v>40.819460006824862</v>
      </c>
      <c r="O36" s="146">
        <f>N36*1.04</f>
        <v>42.452238407097859</v>
      </c>
      <c r="P36" s="146">
        <f t="shared" si="14"/>
        <v>44.150327943381775</v>
      </c>
    </row>
    <row r="37" spans="1:16" ht="12.75" customHeight="1" outlineLevel="1" x14ac:dyDescent="0.2">
      <c r="A37" s="24" t="s">
        <v>11</v>
      </c>
      <c r="B37" s="146">
        <f t="shared" si="11"/>
        <v>11.269285714285711</v>
      </c>
      <c r="C37" s="146">
        <f t="shared" si="14"/>
        <v>11.72005714285714</v>
      </c>
      <c r="D37" s="146">
        <f t="shared" si="14"/>
        <v>12.188859428571426</v>
      </c>
      <c r="E37" s="146">
        <f t="shared" si="14"/>
        <v>12.676413805714283</v>
      </c>
      <c r="F37" s="146">
        <f t="shared" si="14"/>
        <v>13.183470357942856</v>
      </c>
      <c r="G37" s="146">
        <f t="shared" si="14"/>
        <v>13.71080917226057</v>
      </c>
      <c r="H37" s="146">
        <f t="shared" si="14"/>
        <v>14.259241539150993</v>
      </c>
      <c r="I37" s="146">
        <f t="shared" si="14"/>
        <v>14.829611200717034</v>
      </c>
      <c r="J37" s="146">
        <f t="shared" si="14"/>
        <v>15.422795648745716</v>
      </c>
      <c r="K37" s="146">
        <f t="shared" si="14"/>
        <v>16.039707474695543</v>
      </c>
      <c r="L37" s="146">
        <f t="shared" si="13"/>
        <v>16.681295773683367</v>
      </c>
      <c r="M37" s="146">
        <f t="shared" si="14"/>
        <v>17.348547604630703</v>
      </c>
      <c r="N37" s="146">
        <f t="shared" si="14"/>
        <v>18.042489508815933</v>
      </c>
      <c r="O37" s="146">
        <f>N37*1.04</f>
        <v>18.764189089168571</v>
      </c>
      <c r="P37" s="146">
        <f t="shared" si="14"/>
        <v>19.514756652735315</v>
      </c>
    </row>
    <row r="38" spans="1:16" ht="12.75" customHeight="1" outlineLevel="1" x14ac:dyDescent="0.2">
      <c r="A38" s="24" t="s">
        <v>196</v>
      </c>
      <c r="B38" s="146">
        <f t="shared" si="11"/>
        <v>6.3835714285714271</v>
      </c>
      <c r="C38" s="146">
        <f t="shared" si="14"/>
        <v>6.638914285714284</v>
      </c>
      <c r="D38" s="146">
        <f t="shared" si="14"/>
        <v>6.9044708571428552</v>
      </c>
      <c r="E38" s="146">
        <f t="shared" si="14"/>
        <v>7.1806496914285693</v>
      </c>
      <c r="F38" s="146">
        <f t="shared" si="14"/>
        <v>7.4678756790857124</v>
      </c>
      <c r="G38" s="146">
        <f t="shared" si="14"/>
        <v>7.7665907062491408</v>
      </c>
      <c r="H38" s="146">
        <f t="shared" si="14"/>
        <v>8.0772543344991075</v>
      </c>
      <c r="I38" s="146">
        <f t="shared" si="14"/>
        <v>8.4003445078790726</v>
      </c>
      <c r="J38" s="146">
        <f t="shared" si="14"/>
        <v>8.7363582881942357</v>
      </c>
      <c r="K38" s="146">
        <f t="shared" si="14"/>
        <v>9.0858126197220059</v>
      </c>
      <c r="L38" s="146">
        <f t="shared" si="13"/>
        <v>9.4492451245108864</v>
      </c>
      <c r="M38" s="146">
        <f t="shared" si="14"/>
        <v>9.8272149294913227</v>
      </c>
      <c r="N38" s="146">
        <f t="shared" si="14"/>
        <v>10.220303526670977</v>
      </c>
      <c r="O38" s="146">
        <f>N38*1.04</f>
        <v>10.629115667737816</v>
      </c>
      <c r="P38" s="146">
        <f t="shared" si="14"/>
        <v>11.054280294447329</v>
      </c>
    </row>
    <row r="39" spans="1:16" ht="12.75" customHeight="1" outlineLevel="1" x14ac:dyDescent="0.2"/>
    <row r="40" spans="1:16" ht="12.75" customHeight="1" outlineLevel="1" x14ac:dyDescent="0.2"/>
    <row r="41" spans="1:16" ht="12.75" customHeight="1" outlineLevel="1" x14ac:dyDescent="0.2">
      <c r="A41" s="145" t="s">
        <v>653</v>
      </c>
      <c r="B41" s="23">
        <v>1</v>
      </c>
      <c r="C41" s="23">
        <f t="shared" ref="C41:P41" si="15">+B41+1</f>
        <v>2</v>
      </c>
      <c r="D41" s="23">
        <f t="shared" si="15"/>
        <v>3</v>
      </c>
      <c r="E41" s="23">
        <f t="shared" si="15"/>
        <v>4</v>
      </c>
      <c r="F41" s="23">
        <f t="shared" si="15"/>
        <v>5</v>
      </c>
      <c r="G41" s="23">
        <f t="shared" si="15"/>
        <v>6</v>
      </c>
      <c r="H41" s="23">
        <f t="shared" si="15"/>
        <v>7</v>
      </c>
      <c r="I41" s="23">
        <f t="shared" si="15"/>
        <v>8</v>
      </c>
      <c r="J41" s="23">
        <f t="shared" si="15"/>
        <v>9</v>
      </c>
      <c r="K41" s="23">
        <f t="shared" si="15"/>
        <v>10</v>
      </c>
      <c r="L41" s="23">
        <f>+K41+1</f>
        <v>11</v>
      </c>
      <c r="M41" s="23">
        <f t="shared" si="15"/>
        <v>12</v>
      </c>
      <c r="N41" s="23">
        <f t="shared" si="15"/>
        <v>13</v>
      </c>
      <c r="O41" s="23">
        <f>+N41+1</f>
        <v>14</v>
      </c>
      <c r="P41" s="23">
        <f t="shared" si="15"/>
        <v>15</v>
      </c>
    </row>
    <row r="42" spans="1:16" ht="12.75" customHeight="1" outlineLevel="1" x14ac:dyDescent="0.2">
      <c r="A42" s="24" t="s">
        <v>146</v>
      </c>
      <c r="B42" s="146">
        <f>+H21</f>
        <v>9.5849999999999973</v>
      </c>
      <c r="C42" s="146">
        <f t="shared" ref="C42:P46" si="16">B42*1.04</f>
        <v>9.9683999999999973</v>
      </c>
      <c r="D42" s="146">
        <f t="shared" si="16"/>
        <v>10.367135999999997</v>
      </c>
      <c r="E42" s="146">
        <f t="shared" si="16"/>
        <v>10.781821439999996</v>
      </c>
      <c r="F42" s="146">
        <f t="shared" si="16"/>
        <v>11.213094297599996</v>
      </c>
      <c r="G42" s="146">
        <f t="shared" si="16"/>
        <v>11.661618069503996</v>
      </c>
      <c r="H42" s="146">
        <f t="shared" si="16"/>
        <v>12.128082792284156</v>
      </c>
      <c r="I42" s="146">
        <f t="shared" si="16"/>
        <v>12.613206103975521</v>
      </c>
      <c r="J42" s="146">
        <f t="shared" si="16"/>
        <v>13.117734348134542</v>
      </c>
      <c r="K42" s="146">
        <f t="shared" si="16"/>
        <v>13.642443722059925</v>
      </c>
      <c r="L42" s="146">
        <f>K42*1.04</f>
        <v>14.188141470942321</v>
      </c>
      <c r="M42" s="146">
        <f t="shared" si="16"/>
        <v>14.755667129780015</v>
      </c>
      <c r="N42" s="146">
        <f t="shared" si="16"/>
        <v>15.345893814971216</v>
      </c>
      <c r="O42" s="146">
        <f>N42*1.04</f>
        <v>15.959729567570065</v>
      </c>
      <c r="P42" s="146">
        <f t="shared" si="16"/>
        <v>16.598118750272867</v>
      </c>
    </row>
    <row r="43" spans="1:16" ht="12.75" customHeight="1" outlineLevel="1" x14ac:dyDescent="0.2">
      <c r="A43" s="24" t="s">
        <v>192</v>
      </c>
      <c r="B43" s="146">
        <f t="shared" ref="B43:B46" si="17">+H22</f>
        <v>6.492857142857142</v>
      </c>
      <c r="C43" s="146">
        <f t="shared" si="16"/>
        <v>6.7525714285714278</v>
      </c>
      <c r="D43" s="146">
        <f t="shared" si="16"/>
        <v>7.0226742857142854</v>
      </c>
      <c r="E43" s="146">
        <f t="shared" si="16"/>
        <v>7.3035812571428567</v>
      </c>
      <c r="F43" s="146">
        <f t="shared" si="16"/>
        <v>7.5957245074285709</v>
      </c>
      <c r="G43" s="146">
        <f t="shared" si="16"/>
        <v>7.8995534877257141</v>
      </c>
      <c r="H43" s="146">
        <f t="shared" si="16"/>
        <v>8.2155356272347433</v>
      </c>
      <c r="I43" s="146">
        <f t="shared" si="16"/>
        <v>8.5441570523241328</v>
      </c>
      <c r="J43" s="146">
        <f t="shared" si="16"/>
        <v>8.8859233344170985</v>
      </c>
      <c r="K43" s="146">
        <f t="shared" si="16"/>
        <v>9.2413602677937821</v>
      </c>
      <c r="L43" s="146">
        <f>K43*1.04</f>
        <v>9.6110146785055335</v>
      </c>
      <c r="M43" s="146">
        <f t="shared" si="16"/>
        <v>9.9954552656457558</v>
      </c>
      <c r="N43" s="146">
        <f t="shared" si="16"/>
        <v>10.395273476271587</v>
      </c>
      <c r="O43" s="146">
        <f>N43*1.04</f>
        <v>10.811084415322451</v>
      </c>
      <c r="P43" s="146">
        <f t="shared" si="16"/>
        <v>11.24352779193535</v>
      </c>
    </row>
    <row r="44" spans="1:16" ht="12.75" customHeight="1" outlineLevel="1" x14ac:dyDescent="0.2">
      <c r="A44" s="24" t="s">
        <v>193</v>
      </c>
      <c r="B44" s="146">
        <f t="shared" si="17"/>
        <v>15.190714285714281</v>
      </c>
      <c r="C44" s="146">
        <f t="shared" si="16"/>
        <v>15.798342857142853</v>
      </c>
      <c r="D44" s="146">
        <f t="shared" si="16"/>
        <v>16.430276571428568</v>
      </c>
      <c r="E44" s="146">
        <f t="shared" si="16"/>
        <v>17.087487634285711</v>
      </c>
      <c r="F44" s="146">
        <f t="shared" si="16"/>
        <v>17.770987139657141</v>
      </c>
      <c r="G44" s="146">
        <f t="shared" si="16"/>
        <v>18.481826625243428</v>
      </c>
      <c r="H44" s="146">
        <f t="shared" si="16"/>
        <v>19.221099690253165</v>
      </c>
      <c r="I44" s="146">
        <f t="shared" si="16"/>
        <v>19.989943677863291</v>
      </c>
      <c r="J44" s="146">
        <f t="shared" si="16"/>
        <v>20.789541424977823</v>
      </c>
      <c r="K44" s="146">
        <f t="shared" si="16"/>
        <v>21.621123081976936</v>
      </c>
      <c r="L44" s="146">
        <f>K44*1.04</f>
        <v>22.485968005256016</v>
      </c>
      <c r="M44" s="146">
        <f t="shared" si="16"/>
        <v>23.385406725466257</v>
      </c>
      <c r="N44" s="146">
        <f t="shared" si="16"/>
        <v>24.32082299448491</v>
      </c>
      <c r="O44" s="146">
        <f>N44*1.04</f>
        <v>25.293655914264306</v>
      </c>
      <c r="P44" s="146">
        <f t="shared" si="16"/>
        <v>26.30540215083488</v>
      </c>
    </row>
    <row r="45" spans="1:16" ht="12.75" customHeight="1" outlineLevel="1" x14ac:dyDescent="0.2">
      <c r="A45" s="24" t="s">
        <v>171</v>
      </c>
      <c r="B45" s="146">
        <f t="shared" si="17"/>
        <v>12.747857142857139</v>
      </c>
      <c r="C45" s="146">
        <f t="shared" si="16"/>
        <v>13.257771428571425</v>
      </c>
      <c r="D45" s="146">
        <f t="shared" si="16"/>
        <v>13.788082285714284</v>
      </c>
      <c r="E45" s="146">
        <f t="shared" si="16"/>
        <v>14.339605577142855</v>
      </c>
      <c r="F45" s="146">
        <f t="shared" si="16"/>
        <v>14.913189800228571</v>
      </c>
      <c r="G45" s="146">
        <f t="shared" si="16"/>
        <v>15.509717392237715</v>
      </c>
      <c r="H45" s="146">
        <f t="shared" si="16"/>
        <v>16.130106087927224</v>
      </c>
      <c r="I45" s="146">
        <f t="shared" si="16"/>
        <v>16.775310331444313</v>
      </c>
      <c r="J45" s="146">
        <f t="shared" si="16"/>
        <v>17.446322744702087</v>
      </c>
      <c r="K45" s="146">
        <f t="shared" si="16"/>
        <v>18.144175654490169</v>
      </c>
      <c r="L45" s="146">
        <f>K45*1.04</f>
        <v>18.869942680669777</v>
      </c>
      <c r="M45" s="146">
        <f t="shared" si="16"/>
        <v>19.624740387896569</v>
      </c>
      <c r="N45" s="146">
        <f t="shared" si="16"/>
        <v>20.409730003412431</v>
      </c>
      <c r="O45" s="146">
        <f>N45*1.04</f>
        <v>21.226119203548929</v>
      </c>
      <c r="P45" s="146">
        <f t="shared" si="16"/>
        <v>22.075163971690888</v>
      </c>
    </row>
    <row r="46" spans="1:16" ht="12.75" customHeight="1" outlineLevel="1" x14ac:dyDescent="0.2">
      <c r="A46" s="24" t="s">
        <v>11</v>
      </c>
      <c r="B46" s="146">
        <f t="shared" si="17"/>
        <v>5.6346428571428557</v>
      </c>
      <c r="C46" s="146">
        <f t="shared" si="16"/>
        <v>5.86002857142857</v>
      </c>
      <c r="D46" s="146">
        <f t="shared" si="16"/>
        <v>6.0944297142857131</v>
      </c>
      <c r="E46" s="146">
        <f t="shared" si="16"/>
        <v>6.3382069028571415</v>
      </c>
      <c r="F46" s="146">
        <f t="shared" si="16"/>
        <v>6.5917351789714278</v>
      </c>
      <c r="G46" s="146">
        <f t="shared" si="16"/>
        <v>6.8554045861302848</v>
      </c>
      <c r="H46" s="146">
        <f t="shared" si="16"/>
        <v>7.1296207695754967</v>
      </c>
      <c r="I46" s="146">
        <f t="shared" si="16"/>
        <v>7.414805600358517</v>
      </c>
      <c r="J46" s="146">
        <f t="shared" si="16"/>
        <v>7.7113978243728578</v>
      </c>
      <c r="K46" s="146">
        <f t="shared" si="16"/>
        <v>8.0198537373477716</v>
      </c>
      <c r="L46" s="146">
        <f>K46*1.04</f>
        <v>8.3406478868416833</v>
      </c>
      <c r="M46" s="146">
        <f t="shared" si="16"/>
        <v>8.6742738023153514</v>
      </c>
      <c r="N46" s="146">
        <f t="shared" si="16"/>
        <v>9.0212447544079666</v>
      </c>
      <c r="O46" s="146">
        <f>N46*1.04</f>
        <v>9.3820945445842856</v>
      </c>
      <c r="P46" s="146">
        <f t="shared" si="16"/>
        <v>9.7573783263676575</v>
      </c>
    </row>
    <row r="47" spans="1:16" ht="12.75" customHeight="1" outlineLevel="1" x14ac:dyDescent="0.2">
      <c r="A47" s="24" t="s">
        <v>196</v>
      </c>
      <c r="B47" s="146" t="s">
        <v>183</v>
      </c>
      <c r="C47" s="146" t="s">
        <v>183</v>
      </c>
      <c r="D47" s="146" t="s">
        <v>183</v>
      </c>
      <c r="E47" s="146" t="s">
        <v>183</v>
      </c>
      <c r="F47" s="146" t="s">
        <v>183</v>
      </c>
      <c r="G47" s="146" t="s">
        <v>183</v>
      </c>
      <c r="H47" s="146" t="s">
        <v>183</v>
      </c>
      <c r="I47" s="146" t="s">
        <v>183</v>
      </c>
      <c r="J47" s="146" t="s">
        <v>183</v>
      </c>
      <c r="K47" s="146" t="s">
        <v>183</v>
      </c>
      <c r="L47" s="146" t="s">
        <v>183</v>
      </c>
      <c r="M47" s="146" t="s">
        <v>183</v>
      </c>
      <c r="N47" s="146" t="s">
        <v>183</v>
      </c>
      <c r="O47" s="146" t="s">
        <v>183</v>
      </c>
      <c r="P47" s="146" t="s">
        <v>183</v>
      </c>
    </row>
    <row r="48" spans="1:16" ht="12.75" customHeight="1" outlineLevel="1" x14ac:dyDescent="0.2">
      <c r="B48" s="146"/>
      <c r="C48" s="146"/>
      <c r="D48" s="146"/>
      <c r="E48" s="146"/>
      <c r="F48" s="146"/>
      <c r="G48" s="146"/>
      <c r="H48" s="146"/>
      <c r="I48" s="146"/>
      <c r="J48" s="146"/>
      <c r="K48" s="146"/>
      <c r="L48" s="146"/>
      <c r="M48" s="146"/>
      <c r="N48" s="146"/>
      <c r="O48" s="146"/>
      <c r="P48" s="146"/>
    </row>
    <row r="49" spans="1:16" ht="12.75" customHeight="1" outlineLevel="1" x14ac:dyDescent="0.2">
      <c r="A49" s="145" t="s">
        <v>448</v>
      </c>
      <c r="B49" s="146"/>
      <c r="C49" s="146"/>
      <c r="D49" s="146"/>
      <c r="E49" s="146"/>
      <c r="F49" s="146"/>
      <c r="G49" s="146"/>
      <c r="H49" s="146"/>
      <c r="I49" s="146"/>
      <c r="J49" s="146"/>
      <c r="K49" s="146"/>
      <c r="L49" s="146"/>
      <c r="M49" s="146"/>
      <c r="N49" s="146"/>
      <c r="O49" s="146"/>
      <c r="P49" s="146"/>
    </row>
    <row r="50" spans="1:16" ht="12.75" customHeight="1" outlineLevel="1" x14ac:dyDescent="0.2">
      <c r="A50" s="145" t="s">
        <v>209</v>
      </c>
    </row>
    <row r="51" spans="1:16" ht="12.75" customHeight="1" outlineLevel="1" x14ac:dyDescent="0.2">
      <c r="B51" s="146">
        <f t="shared" ref="B51:B56" si="18">+I6</f>
        <v>0</v>
      </c>
      <c r="C51" s="146">
        <f>B51*1.04</f>
        <v>0</v>
      </c>
      <c r="D51" s="146">
        <f t="shared" ref="D51:K51" si="19">C51*1.04</f>
        <v>0</v>
      </c>
      <c r="E51" s="146">
        <f t="shared" si="19"/>
        <v>0</v>
      </c>
      <c r="F51" s="146">
        <f t="shared" si="19"/>
        <v>0</v>
      </c>
      <c r="G51" s="146">
        <f t="shared" si="19"/>
        <v>0</v>
      </c>
      <c r="H51" s="146">
        <f t="shared" si="19"/>
        <v>0</v>
      </c>
      <c r="I51" s="146">
        <f t="shared" si="19"/>
        <v>0</v>
      </c>
      <c r="J51" s="146">
        <f t="shared" si="19"/>
        <v>0</v>
      </c>
      <c r="K51" s="146">
        <f t="shared" si="19"/>
        <v>0</v>
      </c>
      <c r="L51" s="146">
        <v>0</v>
      </c>
      <c r="M51" s="146">
        <v>0</v>
      </c>
      <c r="N51" s="146">
        <v>0</v>
      </c>
      <c r="O51" s="146">
        <v>0</v>
      </c>
      <c r="P51" s="146">
        <v>0</v>
      </c>
    </row>
    <row r="52" spans="1:16" ht="12.75" customHeight="1" outlineLevel="1" x14ac:dyDescent="0.2">
      <c r="B52" s="146">
        <f t="shared" si="18"/>
        <v>0</v>
      </c>
      <c r="C52" s="146">
        <f t="shared" ref="C52:K56" si="20">B52*1.04</f>
        <v>0</v>
      </c>
      <c r="D52" s="146">
        <f t="shared" si="20"/>
        <v>0</v>
      </c>
      <c r="E52" s="146">
        <f t="shared" si="20"/>
        <v>0</v>
      </c>
      <c r="F52" s="146">
        <f t="shared" si="20"/>
        <v>0</v>
      </c>
      <c r="G52" s="146">
        <f t="shared" si="20"/>
        <v>0</v>
      </c>
      <c r="H52" s="146">
        <f t="shared" si="20"/>
        <v>0</v>
      </c>
      <c r="I52" s="146">
        <f t="shared" si="20"/>
        <v>0</v>
      </c>
      <c r="J52" s="146">
        <f t="shared" si="20"/>
        <v>0</v>
      </c>
      <c r="K52" s="146">
        <f t="shared" si="20"/>
        <v>0</v>
      </c>
      <c r="L52" s="146">
        <v>0</v>
      </c>
      <c r="M52" s="146">
        <v>0</v>
      </c>
      <c r="N52" s="146">
        <v>0</v>
      </c>
      <c r="O52" s="146">
        <v>0</v>
      </c>
      <c r="P52" s="146">
        <v>0</v>
      </c>
    </row>
    <row r="53" spans="1:16" ht="12.75" customHeight="1" outlineLevel="1" x14ac:dyDescent="0.2">
      <c r="B53" s="146">
        <f t="shared" si="18"/>
        <v>0</v>
      </c>
      <c r="C53" s="146">
        <f t="shared" si="20"/>
        <v>0</v>
      </c>
      <c r="D53" s="146">
        <f t="shared" si="20"/>
        <v>0</v>
      </c>
      <c r="E53" s="146">
        <f t="shared" si="20"/>
        <v>0</v>
      </c>
      <c r="F53" s="146">
        <f t="shared" si="20"/>
        <v>0</v>
      </c>
      <c r="G53" s="146">
        <f t="shared" si="20"/>
        <v>0</v>
      </c>
      <c r="H53" s="146">
        <f t="shared" si="20"/>
        <v>0</v>
      </c>
      <c r="I53" s="146">
        <f t="shared" si="20"/>
        <v>0</v>
      </c>
      <c r="J53" s="146">
        <f t="shared" si="20"/>
        <v>0</v>
      </c>
      <c r="K53" s="146">
        <f t="shared" si="20"/>
        <v>0</v>
      </c>
      <c r="L53" s="146">
        <v>0</v>
      </c>
      <c r="M53" s="146">
        <v>0</v>
      </c>
      <c r="N53" s="146">
        <v>0</v>
      </c>
      <c r="O53" s="146">
        <v>0</v>
      </c>
      <c r="P53" s="146">
        <v>0</v>
      </c>
    </row>
    <row r="54" spans="1:16" ht="12.75" customHeight="1" outlineLevel="1" x14ac:dyDescent="0.2">
      <c r="B54" s="146">
        <f t="shared" si="18"/>
        <v>0</v>
      </c>
      <c r="C54" s="146">
        <f t="shared" si="20"/>
        <v>0</v>
      </c>
      <c r="D54" s="146">
        <f t="shared" si="20"/>
        <v>0</v>
      </c>
      <c r="E54" s="146">
        <f t="shared" si="20"/>
        <v>0</v>
      </c>
      <c r="F54" s="146">
        <f t="shared" si="20"/>
        <v>0</v>
      </c>
      <c r="G54" s="146">
        <f t="shared" si="20"/>
        <v>0</v>
      </c>
      <c r="H54" s="146">
        <f t="shared" si="20"/>
        <v>0</v>
      </c>
      <c r="I54" s="146">
        <f t="shared" si="20"/>
        <v>0</v>
      </c>
      <c r="J54" s="146">
        <f t="shared" si="20"/>
        <v>0</v>
      </c>
      <c r="K54" s="146">
        <f t="shared" si="20"/>
        <v>0</v>
      </c>
      <c r="L54" s="146">
        <v>0</v>
      </c>
      <c r="M54" s="146">
        <v>0</v>
      </c>
      <c r="N54" s="146">
        <v>0</v>
      </c>
      <c r="O54" s="146">
        <v>0</v>
      </c>
      <c r="P54" s="146">
        <v>0</v>
      </c>
    </row>
    <row r="55" spans="1:16" ht="12.75" customHeight="1" outlineLevel="1" x14ac:dyDescent="0.2">
      <c r="B55" s="146">
        <f t="shared" si="18"/>
        <v>0</v>
      </c>
      <c r="C55" s="146">
        <f t="shared" si="20"/>
        <v>0</v>
      </c>
      <c r="D55" s="146">
        <f t="shared" si="20"/>
        <v>0</v>
      </c>
      <c r="E55" s="146">
        <f t="shared" si="20"/>
        <v>0</v>
      </c>
      <c r="F55" s="146">
        <f t="shared" si="20"/>
        <v>0</v>
      </c>
      <c r="G55" s="146">
        <f t="shared" si="20"/>
        <v>0</v>
      </c>
      <c r="H55" s="146">
        <f t="shared" si="20"/>
        <v>0</v>
      </c>
      <c r="I55" s="146">
        <f t="shared" si="20"/>
        <v>0</v>
      </c>
      <c r="J55" s="146">
        <f t="shared" si="20"/>
        <v>0</v>
      </c>
      <c r="K55" s="146">
        <f t="shared" si="20"/>
        <v>0</v>
      </c>
      <c r="L55" s="146">
        <v>0</v>
      </c>
      <c r="M55" s="146">
        <v>0</v>
      </c>
      <c r="N55" s="146">
        <v>0</v>
      </c>
      <c r="O55" s="146">
        <v>0</v>
      </c>
      <c r="P55" s="146">
        <v>0</v>
      </c>
    </row>
    <row r="56" spans="1:16" ht="12.75" customHeight="1" outlineLevel="1" x14ac:dyDescent="0.2">
      <c r="B56" s="146">
        <f t="shared" si="18"/>
        <v>0</v>
      </c>
      <c r="C56" s="146">
        <f t="shared" si="20"/>
        <v>0</v>
      </c>
      <c r="D56" s="146">
        <f t="shared" si="20"/>
        <v>0</v>
      </c>
      <c r="E56" s="146">
        <f t="shared" si="20"/>
        <v>0</v>
      </c>
      <c r="F56" s="146">
        <f t="shared" si="20"/>
        <v>0</v>
      </c>
      <c r="G56" s="146">
        <f t="shared" si="20"/>
        <v>0</v>
      </c>
      <c r="H56" s="146">
        <f t="shared" si="20"/>
        <v>0</v>
      </c>
      <c r="I56" s="146">
        <f t="shared" si="20"/>
        <v>0</v>
      </c>
      <c r="J56" s="146">
        <f t="shared" si="20"/>
        <v>0</v>
      </c>
      <c r="K56" s="146">
        <f t="shared" si="20"/>
        <v>0</v>
      </c>
      <c r="L56" s="146">
        <v>0</v>
      </c>
      <c r="M56" s="146">
        <v>0</v>
      </c>
      <c r="N56" s="146">
        <v>0</v>
      </c>
      <c r="O56" s="146">
        <v>0</v>
      </c>
      <c r="P56" s="146">
        <v>0</v>
      </c>
    </row>
    <row r="57" spans="1:16" ht="12.75" customHeight="1" outlineLevel="1" x14ac:dyDescent="0.2">
      <c r="B57" s="146" t="s">
        <v>183</v>
      </c>
    </row>
    <row r="58" spans="1:16" ht="12.75" customHeight="1" outlineLevel="1" x14ac:dyDescent="0.2">
      <c r="A58" s="145" t="s">
        <v>633</v>
      </c>
    </row>
    <row r="59" spans="1:16" ht="12.75" customHeight="1" outlineLevel="1" x14ac:dyDescent="0.2">
      <c r="B59" s="146">
        <f t="shared" ref="B59:B64" si="21">+IF(D6&lt;B6,0,C6)</f>
        <v>0</v>
      </c>
      <c r="C59" s="146">
        <v>0</v>
      </c>
      <c r="D59" s="146">
        <v>0</v>
      </c>
      <c r="E59" s="146">
        <v>0</v>
      </c>
      <c r="F59" s="146">
        <v>0</v>
      </c>
      <c r="G59" s="146">
        <v>0</v>
      </c>
      <c r="H59" s="146">
        <v>0</v>
      </c>
      <c r="I59" s="146">
        <v>0</v>
      </c>
      <c r="J59" s="146">
        <v>0</v>
      </c>
      <c r="K59" s="146">
        <v>0</v>
      </c>
      <c r="L59" s="146">
        <v>0</v>
      </c>
      <c r="M59" s="146">
        <v>0</v>
      </c>
      <c r="N59" s="146">
        <v>0</v>
      </c>
      <c r="O59" s="146">
        <v>0</v>
      </c>
      <c r="P59" s="146">
        <v>0</v>
      </c>
    </row>
    <row r="60" spans="1:16" ht="12.75" customHeight="1" outlineLevel="1" x14ac:dyDescent="0.2">
      <c r="B60" s="146">
        <f t="shared" si="21"/>
        <v>0</v>
      </c>
      <c r="C60" s="146">
        <v>0</v>
      </c>
      <c r="D60" s="146">
        <v>0</v>
      </c>
      <c r="E60" s="146">
        <v>0</v>
      </c>
      <c r="F60" s="146">
        <v>0</v>
      </c>
      <c r="G60" s="146">
        <v>0</v>
      </c>
      <c r="H60" s="146">
        <v>0</v>
      </c>
      <c r="I60" s="146">
        <v>0</v>
      </c>
      <c r="J60" s="146">
        <v>0</v>
      </c>
      <c r="K60" s="146">
        <v>0</v>
      </c>
      <c r="L60" s="146">
        <v>0</v>
      </c>
      <c r="M60" s="146">
        <v>0</v>
      </c>
      <c r="N60" s="146">
        <v>0</v>
      </c>
      <c r="O60" s="146">
        <v>0</v>
      </c>
      <c r="P60" s="146">
        <v>0</v>
      </c>
    </row>
    <row r="61" spans="1:16" ht="12.75" customHeight="1" outlineLevel="1" x14ac:dyDescent="0.2">
      <c r="B61" s="146">
        <f t="shared" si="21"/>
        <v>0</v>
      </c>
      <c r="C61" s="146">
        <v>0</v>
      </c>
      <c r="D61" s="146">
        <v>0</v>
      </c>
      <c r="E61" s="146">
        <v>0</v>
      </c>
      <c r="F61" s="146">
        <v>0</v>
      </c>
      <c r="G61" s="146">
        <v>0</v>
      </c>
      <c r="H61" s="146">
        <v>0</v>
      </c>
      <c r="I61" s="146">
        <v>0</v>
      </c>
      <c r="J61" s="146">
        <v>0</v>
      </c>
      <c r="K61" s="146">
        <v>0</v>
      </c>
      <c r="L61" s="146">
        <v>0</v>
      </c>
      <c r="M61" s="146">
        <v>0</v>
      </c>
      <c r="N61" s="146">
        <v>0</v>
      </c>
      <c r="O61" s="146">
        <v>0</v>
      </c>
      <c r="P61" s="146">
        <v>0</v>
      </c>
    </row>
    <row r="62" spans="1:16" ht="12.75" customHeight="1" outlineLevel="1" x14ac:dyDescent="0.2">
      <c r="B62" s="146">
        <f t="shared" si="21"/>
        <v>0</v>
      </c>
      <c r="C62" s="146">
        <v>0</v>
      </c>
      <c r="D62" s="146">
        <v>0</v>
      </c>
      <c r="E62" s="146">
        <v>0</v>
      </c>
      <c r="F62" s="146">
        <v>0</v>
      </c>
      <c r="G62" s="146">
        <v>0</v>
      </c>
      <c r="H62" s="146">
        <v>0</v>
      </c>
      <c r="I62" s="146">
        <v>0</v>
      </c>
      <c r="J62" s="146">
        <v>0</v>
      </c>
      <c r="K62" s="146">
        <v>0</v>
      </c>
      <c r="L62" s="146">
        <v>0</v>
      </c>
      <c r="M62" s="146">
        <v>0</v>
      </c>
      <c r="N62" s="146">
        <v>0</v>
      </c>
      <c r="O62" s="146">
        <v>0</v>
      </c>
      <c r="P62" s="146">
        <v>0</v>
      </c>
    </row>
    <row r="63" spans="1:16" ht="12.75" customHeight="1" outlineLevel="1" x14ac:dyDescent="0.2">
      <c r="B63" s="146">
        <f t="shared" si="21"/>
        <v>0</v>
      </c>
      <c r="C63" s="146">
        <v>0</v>
      </c>
      <c r="D63" s="146">
        <v>0</v>
      </c>
      <c r="E63" s="146">
        <v>0</v>
      </c>
      <c r="F63" s="146">
        <v>0</v>
      </c>
      <c r="G63" s="146">
        <v>0</v>
      </c>
      <c r="H63" s="146">
        <v>0</v>
      </c>
      <c r="I63" s="146">
        <v>0</v>
      </c>
      <c r="J63" s="146">
        <v>0</v>
      </c>
      <c r="K63" s="146">
        <v>0</v>
      </c>
      <c r="L63" s="146">
        <v>0</v>
      </c>
      <c r="M63" s="146">
        <v>0</v>
      </c>
      <c r="N63" s="146">
        <v>0</v>
      </c>
      <c r="O63" s="146">
        <v>0</v>
      </c>
      <c r="P63" s="146">
        <v>0</v>
      </c>
    </row>
    <row r="64" spans="1:16" ht="12.75" customHeight="1" outlineLevel="1" x14ac:dyDescent="0.2">
      <c r="B64" s="146">
        <f t="shared" si="21"/>
        <v>0</v>
      </c>
      <c r="C64" s="146">
        <v>0</v>
      </c>
      <c r="D64" s="146">
        <v>0</v>
      </c>
      <c r="E64" s="146">
        <v>0</v>
      </c>
      <c r="F64" s="146">
        <v>0</v>
      </c>
      <c r="G64" s="146">
        <v>0</v>
      </c>
      <c r="H64" s="146">
        <v>0</v>
      </c>
      <c r="I64" s="146">
        <v>0</v>
      </c>
      <c r="J64" s="146">
        <v>0</v>
      </c>
      <c r="K64" s="146">
        <v>0</v>
      </c>
      <c r="L64" s="146">
        <v>0</v>
      </c>
      <c r="M64" s="146">
        <v>0</v>
      </c>
      <c r="N64" s="146">
        <v>0</v>
      </c>
      <c r="O64" s="146">
        <v>0</v>
      </c>
      <c r="P64" s="146">
        <v>0</v>
      </c>
    </row>
    <row r="65" spans="29:29" ht="12.75" customHeight="1" outlineLevel="1" x14ac:dyDescent="0.2"/>
    <row r="66" spans="29:29" ht="12.75" customHeight="1" outlineLevel="1" x14ac:dyDescent="0.2"/>
    <row r="67" spans="29:29" ht="12.75" customHeight="1" outlineLevel="1" x14ac:dyDescent="0.2"/>
    <row r="68" spans="29:29" ht="12.75" customHeight="1" outlineLevel="1" x14ac:dyDescent="0.2">
      <c r="AC68" s="138" t="s">
        <v>183</v>
      </c>
    </row>
    <row r="69" spans="29:29" ht="12.75" customHeight="1" outlineLevel="1" x14ac:dyDescent="0.2"/>
    <row r="70" spans="29:29" ht="12.75" customHeight="1" outlineLevel="1" x14ac:dyDescent="0.2"/>
    <row r="71" spans="29:29" ht="12.75" customHeight="1" outlineLevel="1" x14ac:dyDescent="0.2"/>
    <row r="72" spans="29:29" ht="12.75" customHeight="1" outlineLevel="1" x14ac:dyDescent="0.2"/>
    <row r="73" spans="29:29" ht="12.75" customHeight="1" outlineLevel="1" x14ac:dyDescent="0.2"/>
    <row r="74" spans="29:29" ht="12.75" customHeight="1" outlineLevel="1" x14ac:dyDescent="0.2"/>
    <row r="75" spans="29:29" ht="12.75" customHeight="1" outlineLevel="1" x14ac:dyDescent="0.2"/>
  </sheetData>
  <mergeCells count="20">
    <mergeCell ref="G3:G5"/>
    <mergeCell ref="A18:A19"/>
    <mergeCell ref="A3:A4"/>
    <mergeCell ref="G18:G19"/>
    <mergeCell ref="E3:E4"/>
    <mergeCell ref="B18:B19"/>
    <mergeCell ref="C18:C19"/>
    <mergeCell ref="E18:E19"/>
    <mergeCell ref="A2:J2"/>
    <mergeCell ref="D18:D20"/>
    <mergeCell ref="H3:H4"/>
    <mergeCell ref="C3:C4"/>
    <mergeCell ref="H18:H19"/>
    <mergeCell ref="B3:B5"/>
    <mergeCell ref="F3:F5"/>
    <mergeCell ref="J3:J4"/>
    <mergeCell ref="J17:J18"/>
    <mergeCell ref="F18:F20"/>
    <mergeCell ref="A17:I17"/>
    <mergeCell ref="D3:D5"/>
  </mergeCells>
  <phoneticPr fontId="3" type="noConversion"/>
  <printOptions horizontalCentered="1" verticalCentered="1"/>
  <pageMargins left="0" right="0" top="0" bottom="0" header="0" footer="0"/>
  <pageSetup paperSize="9" orientation="landscape" horizontalDpi="355" verticalDpi="46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19</vt:i4>
      </vt:variant>
      <vt:variant>
        <vt:lpstr>Rangos con nombre</vt:lpstr>
      </vt:variant>
      <vt:variant>
        <vt:i4>17</vt:i4>
      </vt:variant>
    </vt:vector>
  </HeadingPairs>
  <TitlesOfParts>
    <vt:vector size="36" baseType="lpstr">
      <vt:lpstr>Condiciones</vt:lpstr>
      <vt:lpstr>Inflación</vt:lpstr>
      <vt:lpstr> Vehículos 1</vt:lpstr>
      <vt:lpstr>Vehiculos</vt:lpstr>
      <vt:lpstr>Plan Inversiones</vt:lpstr>
      <vt:lpstr>Amort.</vt:lpstr>
      <vt:lpstr>Inv.Rep.</vt:lpstr>
      <vt:lpstr>Deprec.</vt:lpstr>
      <vt:lpstr>Tarifa</vt:lpstr>
      <vt:lpstr>IVA+Itransacc</vt:lpstr>
      <vt:lpstr>Impuestos V.</vt:lpstr>
      <vt:lpstr>Ing.</vt:lpstr>
      <vt:lpstr>Egr.</vt:lpstr>
      <vt:lpstr>PyG</vt:lpstr>
      <vt:lpstr>Flujo</vt:lpstr>
      <vt:lpstr>Evaluación</vt:lpstr>
      <vt:lpstr>Dist. Tarifa</vt:lpstr>
      <vt:lpstr>Evaluación (2)</vt:lpstr>
      <vt:lpstr>Resumen</vt:lpstr>
      <vt:lpstr>Condiciones!Área_de_impresión</vt:lpstr>
      <vt:lpstr>Inflación!Área_de_impresión</vt:lpstr>
      <vt:lpstr>Amort.!Títulos_a_imprimir</vt:lpstr>
      <vt:lpstr>Condiciones!Títulos_a_imprimir</vt:lpstr>
      <vt:lpstr>Deprec.!Títulos_a_imprimir</vt:lpstr>
      <vt:lpstr>'Dist. Tarifa'!Títulos_a_imprimir</vt:lpstr>
      <vt:lpstr>Egr.!Títulos_a_imprimir</vt:lpstr>
      <vt:lpstr>Evaluación!Títulos_a_imprimir</vt:lpstr>
      <vt:lpstr>'Evaluación (2)'!Títulos_a_imprimir</vt:lpstr>
      <vt:lpstr>Flujo!Títulos_a_imprimir</vt:lpstr>
      <vt:lpstr>'Impuestos V.'!Títulos_a_imprimir</vt:lpstr>
      <vt:lpstr>Inflación!Títulos_a_imprimir</vt:lpstr>
      <vt:lpstr>Ing.!Títulos_a_imprimir</vt:lpstr>
      <vt:lpstr>Inv.Rep.!Títulos_a_imprimir</vt:lpstr>
      <vt:lpstr>'IVA+Itransacc'!Títulos_a_imprimir</vt:lpstr>
      <vt:lpstr>'Plan Inversiones'!Títulos_a_imprimir</vt:lpstr>
      <vt:lpstr>PyG!Títulos_a_imprimir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Final</dc:creator>
  <cp:lastModifiedBy>Personal</cp:lastModifiedBy>
  <cp:lastPrinted>2012-03-16T16:13:22Z</cp:lastPrinted>
  <dcterms:created xsi:type="dcterms:W3CDTF">2003-01-27T14:45:12Z</dcterms:created>
  <dcterms:modified xsi:type="dcterms:W3CDTF">2017-03-20T16:37:28Z</dcterms:modified>
</cp:coreProperties>
</file>