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E:\"/>
    </mc:Choice>
  </mc:AlternateContent>
  <bookViews>
    <workbookView xWindow="0" yWindow="0" windowWidth="12510" windowHeight="6795" tabRatio="648" activeTab="4"/>
  </bookViews>
  <sheets>
    <sheet name="Explicación Tablas" sheetId="13" r:id="rId1"/>
    <sheet name="Caso IAIVA 2210" sheetId="7" r:id="rId2"/>
    <sheet name="Explicación Tablas ejemp (2)" sheetId="15" r:id="rId3"/>
    <sheet name="EJEMPLO AIVA 580" sheetId="11" r:id="rId4"/>
    <sheet name="EJEMPLO AIVA 480" sheetId="12" r:id="rId5"/>
    <sheet name="EJEMPLO AIVA 240" sheetId="6" r:id="rId6"/>
  </sheets>
  <calcPr calcId="152511" iterate="1" iterateCount="1000" calcOnSave="0" concurrentCalc="0"/>
  <extLst>
    <ext xmlns:mx="http://schemas.microsoft.com/office/mac/excel/2008/main" uri="{7523E5D3-25F3-A5E0-1632-64F254C22452}">
      <mx:ArchID Flags="2"/>
    </ext>
  </extLst>
</workbook>
</file>

<file path=xl/calcChain.xml><?xml version="1.0" encoding="utf-8"?>
<calcChain xmlns="http://schemas.openxmlformats.org/spreadsheetml/2006/main">
  <c r="AH30" i="6" l="1"/>
  <c r="F11" i="7"/>
  <c r="E10" i="7"/>
  <c r="F14" i="7"/>
  <c r="F16" i="7"/>
  <c r="AH26" i="7"/>
  <c r="AD11" i="7"/>
  <c r="AH31" i="7"/>
  <c r="AG30" i="11"/>
  <c r="AH30" i="12"/>
  <c r="AH25" i="6"/>
  <c r="AG25" i="11"/>
  <c r="AH19" i="6"/>
  <c r="AH20" i="6"/>
  <c r="AH21" i="6"/>
  <c r="AH22" i="6"/>
  <c r="AH23" i="6"/>
  <c r="AH26" i="6"/>
  <c r="AH27" i="6"/>
  <c r="AG19" i="11"/>
  <c r="AG20" i="11"/>
  <c r="AG21" i="11"/>
  <c r="AG22" i="11"/>
  <c r="AG23" i="11"/>
  <c r="AG26" i="11"/>
  <c r="AG27" i="11"/>
  <c r="AF21" i="7"/>
  <c r="AF26" i="7"/>
  <c r="AH21" i="7"/>
  <c r="AH22" i="7"/>
  <c r="AH23" i="7"/>
  <c r="AH20" i="7"/>
  <c r="AH24" i="7"/>
  <c r="AH27" i="7"/>
  <c r="AH28" i="7"/>
  <c r="AH27" i="12"/>
  <c r="AH26" i="12"/>
  <c r="AH25" i="12"/>
  <c r="AH23" i="12"/>
  <c r="AH22" i="12"/>
  <c r="AH21" i="12"/>
  <c r="AH20" i="12"/>
  <c r="AH19" i="12"/>
  <c r="AE24" i="6"/>
  <c r="AD24" i="6"/>
  <c r="AC24" i="6"/>
  <c r="U24" i="6"/>
  <c r="M24" i="6"/>
  <c r="E24" i="6"/>
  <c r="AE24" i="12"/>
  <c r="AD24" i="12"/>
  <c r="AC24" i="12"/>
  <c r="U24" i="12"/>
  <c r="M24" i="12"/>
  <c r="E24" i="12"/>
  <c r="AD24" i="11"/>
  <c r="AC24" i="11"/>
  <c r="AB24" i="11"/>
  <c r="T24" i="11"/>
  <c r="L24" i="11"/>
  <c r="E24" i="11"/>
  <c r="AE29" i="6"/>
  <c r="AE28" i="6"/>
  <c r="AD29" i="6"/>
  <c r="AD28" i="6"/>
  <c r="AC29" i="6"/>
  <c r="AC28" i="6"/>
  <c r="W24" i="6"/>
  <c r="W29" i="6"/>
  <c r="W28" i="6"/>
  <c r="V24" i="6"/>
  <c r="V29" i="6"/>
  <c r="V28" i="6"/>
  <c r="U29" i="6"/>
  <c r="U28" i="6"/>
  <c r="O24" i="6"/>
  <c r="O29" i="6"/>
  <c r="O28" i="6"/>
  <c r="N24" i="6"/>
  <c r="N29" i="6"/>
  <c r="N28" i="6"/>
  <c r="M29" i="6"/>
  <c r="M28" i="6"/>
  <c r="G24" i="6"/>
  <c r="G29" i="6"/>
  <c r="G28" i="6"/>
  <c r="F24" i="6"/>
  <c r="F29" i="6"/>
  <c r="F28" i="6"/>
  <c r="E29" i="6"/>
  <c r="E28" i="6"/>
  <c r="AE29" i="12"/>
  <c r="AE28" i="12"/>
  <c r="AD29" i="12"/>
  <c r="AD28" i="12"/>
  <c r="AC29" i="12"/>
  <c r="AC28" i="12"/>
  <c r="W24" i="12"/>
  <c r="W29" i="12"/>
  <c r="W28" i="12"/>
  <c r="V24" i="12"/>
  <c r="V29" i="12"/>
  <c r="V28" i="12"/>
  <c r="U29" i="12"/>
  <c r="U28" i="12"/>
  <c r="O24" i="12"/>
  <c r="O29" i="12"/>
  <c r="O28" i="12"/>
  <c r="N24" i="12"/>
  <c r="N29" i="12"/>
  <c r="N28" i="12"/>
  <c r="M29" i="12"/>
  <c r="M28" i="12"/>
  <c r="G24" i="12"/>
  <c r="G29" i="12"/>
  <c r="G28" i="12"/>
  <c r="F24" i="12"/>
  <c r="F29" i="12"/>
  <c r="F28" i="12"/>
  <c r="E29" i="12"/>
  <c r="E28" i="12"/>
  <c r="AD29" i="11"/>
  <c r="AD28" i="11"/>
  <c r="AC29" i="11"/>
  <c r="AC28" i="11"/>
  <c r="AB29" i="11"/>
  <c r="AB28" i="11"/>
  <c r="V24" i="11"/>
  <c r="V29" i="11"/>
  <c r="V28" i="11"/>
  <c r="U24" i="11"/>
  <c r="U29" i="11"/>
  <c r="U28" i="11"/>
  <c r="T29" i="11"/>
  <c r="T28" i="11"/>
  <c r="N24" i="11"/>
  <c r="N29" i="11"/>
  <c r="N28" i="11"/>
  <c r="M24" i="11"/>
  <c r="M29" i="11"/>
  <c r="M28" i="11"/>
  <c r="L29" i="11"/>
  <c r="L28" i="11"/>
  <c r="F24" i="11"/>
  <c r="F29" i="11"/>
  <c r="F28" i="11"/>
  <c r="G24" i="11"/>
  <c r="G29" i="11"/>
  <c r="G28" i="11"/>
  <c r="E29" i="11"/>
  <c r="E28" i="11"/>
  <c r="E11" i="7"/>
  <c r="E12" i="7"/>
  <c r="E20" i="7"/>
  <c r="M23" i="7"/>
  <c r="M24" i="7"/>
  <c r="M11" i="7"/>
  <c r="M35" i="7"/>
  <c r="M25" i="7"/>
  <c r="M26" i="7"/>
  <c r="M30" i="7"/>
  <c r="M12" i="7"/>
  <c r="M29" i="7"/>
  <c r="U23" i="7"/>
  <c r="U24" i="7"/>
  <c r="U11" i="7"/>
  <c r="U35" i="7"/>
  <c r="U25" i="7"/>
  <c r="U26" i="7"/>
  <c r="U30" i="7"/>
  <c r="U12" i="7"/>
  <c r="U29" i="7"/>
  <c r="AO11" i="7"/>
  <c r="AO35" i="7"/>
  <c r="AQ25" i="7"/>
  <c r="AP25" i="7"/>
  <c r="AO25" i="7"/>
  <c r="AO23" i="7"/>
  <c r="AP23" i="7"/>
  <c r="AO24" i="7"/>
  <c r="AP24" i="7"/>
  <c r="AO26" i="7"/>
  <c r="AP26" i="7"/>
  <c r="AP30" i="7"/>
  <c r="AP11" i="7"/>
  <c r="AP12" i="7"/>
  <c r="AP29" i="7"/>
  <c r="AQ23" i="7"/>
  <c r="AQ24" i="7"/>
  <c r="AQ26" i="7"/>
  <c r="AQ30" i="7"/>
  <c r="AQ11" i="7"/>
  <c r="AQ12" i="7"/>
  <c r="AQ29" i="7"/>
  <c r="AO30" i="7"/>
  <c r="AO12" i="7"/>
  <c r="AO29" i="7"/>
  <c r="AC11" i="7"/>
  <c r="AC35" i="7"/>
  <c r="AE25" i="7"/>
  <c r="AD25" i="7"/>
  <c r="AC25" i="7"/>
  <c r="AC26" i="7"/>
  <c r="AD26" i="7"/>
  <c r="AE26" i="7"/>
  <c r="E35" i="7"/>
  <c r="E25" i="7"/>
  <c r="AC23" i="7"/>
  <c r="AD23" i="7"/>
  <c r="AC24" i="7"/>
  <c r="AD24" i="7"/>
  <c r="AD30" i="7"/>
  <c r="AD12" i="7"/>
  <c r="AD29" i="7"/>
  <c r="AE23" i="7"/>
  <c r="AE24" i="7"/>
  <c r="AE30" i="7"/>
  <c r="AE11" i="7"/>
  <c r="AE12" i="7"/>
  <c r="AE29" i="7"/>
  <c r="AC30" i="7"/>
  <c r="AC12" i="7"/>
  <c r="AC29" i="7"/>
  <c r="V25" i="7"/>
  <c r="V23" i="7"/>
  <c r="V24" i="7"/>
  <c r="V26" i="7"/>
  <c r="V30" i="7"/>
  <c r="V11" i="7"/>
  <c r="V12" i="7"/>
  <c r="V29" i="7"/>
  <c r="W25" i="7"/>
  <c r="W23" i="7"/>
  <c r="W24" i="7"/>
  <c r="W26" i="7"/>
  <c r="W30" i="7"/>
  <c r="W11" i="7"/>
  <c r="W12" i="7"/>
  <c r="W29" i="7"/>
  <c r="N25" i="7"/>
  <c r="N23" i="7"/>
  <c r="N24" i="7"/>
  <c r="N26" i="7"/>
  <c r="N30" i="7"/>
  <c r="N11" i="7"/>
  <c r="N12" i="7"/>
  <c r="N29" i="7"/>
  <c r="O25" i="7"/>
  <c r="O23" i="7"/>
  <c r="O24" i="7"/>
  <c r="O26" i="7"/>
  <c r="O30" i="7"/>
  <c r="O11" i="7"/>
  <c r="O12" i="7"/>
  <c r="O29" i="7"/>
  <c r="F25" i="7"/>
  <c r="E23" i="7"/>
  <c r="F23" i="7"/>
  <c r="E24" i="7"/>
  <c r="F24" i="7"/>
  <c r="E26" i="7"/>
  <c r="F26" i="7"/>
  <c r="F30" i="7"/>
  <c r="F12" i="7"/>
  <c r="F29" i="7"/>
  <c r="G25" i="7"/>
  <c r="G23" i="7"/>
  <c r="G24" i="7"/>
  <c r="G26" i="7"/>
  <c r="G30" i="7"/>
  <c r="G11" i="7"/>
  <c r="G12" i="7"/>
  <c r="G29" i="7"/>
  <c r="E30" i="7"/>
  <c r="E29" i="7"/>
  <c r="F19" i="7"/>
  <c r="F20" i="7"/>
  <c r="AE13" i="6"/>
  <c r="AE9" i="6"/>
  <c r="AD9" i="6"/>
  <c r="O15" i="6"/>
  <c r="O13" i="6"/>
  <c r="O9" i="6"/>
  <c r="N9" i="6"/>
  <c r="W15" i="6"/>
  <c r="W13" i="6"/>
  <c r="W9" i="6"/>
  <c r="V9" i="6"/>
  <c r="G15" i="6"/>
  <c r="G13" i="6"/>
  <c r="G9" i="6"/>
  <c r="F9" i="6"/>
  <c r="AE10" i="12"/>
  <c r="AC9" i="12"/>
  <c r="AE13" i="12"/>
  <c r="AE9" i="12"/>
  <c r="AD9" i="12"/>
  <c r="AD10" i="12"/>
  <c r="AD13" i="12"/>
  <c r="M14" i="12"/>
  <c r="N14" i="12"/>
  <c r="O10" i="12"/>
  <c r="M9" i="12"/>
  <c r="O13" i="12"/>
  <c r="O15" i="12"/>
  <c r="O9" i="12"/>
  <c r="N9" i="12"/>
  <c r="N10" i="12"/>
  <c r="N13" i="12"/>
  <c r="N15" i="12"/>
  <c r="W10" i="12"/>
  <c r="U9" i="12"/>
  <c r="W13" i="12"/>
  <c r="W9" i="12"/>
  <c r="V9" i="12"/>
  <c r="G10" i="12"/>
  <c r="E9" i="12"/>
  <c r="G13" i="12"/>
  <c r="G15" i="12"/>
  <c r="G9" i="12"/>
  <c r="F9" i="12"/>
  <c r="AD10" i="11"/>
  <c r="AB9" i="11"/>
  <c r="AD13" i="11"/>
  <c r="AD9" i="11"/>
  <c r="AC9" i="11"/>
  <c r="G10" i="11"/>
  <c r="E9" i="11"/>
  <c r="G13" i="11"/>
  <c r="G15" i="11"/>
  <c r="N10" i="11"/>
  <c r="L9" i="11"/>
  <c r="N13" i="11"/>
  <c r="N15" i="11"/>
  <c r="V10" i="11"/>
  <c r="T9" i="11"/>
  <c r="V13" i="11"/>
  <c r="V15" i="11"/>
  <c r="V9" i="11"/>
  <c r="U9" i="11"/>
  <c r="N9" i="11"/>
  <c r="M9" i="11"/>
  <c r="F10" i="11"/>
  <c r="F13" i="11"/>
  <c r="G9" i="11"/>
  <c r="F9" i="11"/>
  <c r="H23" i="15"/>
  <c r="H20" i="15"/>
  <c r="H19" i="15"/>
  <c r="H18" i="15"/>
  <c r="H13" i="15"/>
  <c r="H15" i="15"/>
  <c r="AO10" i="7"/>
  <c r="AP14" i="7"/>
  <c r="AO15" i="7"/>
  <c r="AP15" i="7"/>
  <c r="AR21" i="7"/>
  <c r="AR26" i="7"/>
  <c r="AR28" i="7"/>
  <c r="AR23" i="7"/>
  <c r="AR32" i="7"/>
  <c r="AR34" i="7"/>
  <c r="AQ34" i="7"/>
  <c r="AQ35" i="7"/>
  <c r="AQ15" i="7"/>
  <c r="AP16" i="7"/>
  <c r="AQ16" i="7"/>
  <c r="AQ20" i="7"/>
  <c r="G20" i="7"/>
  <c r="AQ27" i="7"/>
  <c r="AQ28" i="7"/>
  <c r="AQ31" i="7"/>
  <c r="AQ37" i="7"/>
  <c r="AQ38" i="7"/>
  <c r="AQ39" i="7"/>
  <c r="AQ40" i="7"/>
  <c r="AQ41" i="7"/>
  <c r="AQ42" i="7"/>
  <c r="AP34" i="7"/>
  <c r="AP35" i="7"/>
  <c r="AP19" i="7"/>
  <c r="AP20" i="7"/>
  <c r="AP27" i="7"/>
  <c r="AP28" i="7"/>
  <c r="AP31" i="7"/>
  <c r="AP37" i="7"/>
  <c r="AP38" i="7"/>
  <c r="AP39" i="7"/>
  <c r="AP40" i="7"/>
  <c r="AP41" i="7"/>
  <c r="AP42" i="7"/>
  <c r="AO20" i="7"/>
  <c r="AO27" i="7"/>
  <c r="AO28" i="7"/>
  <c r="AO31" i="7"/>
  <c r="AO37" i="7"/>
  <c r="AO38" i="7"/>
  <c r="AO39" i="7"/>
  <c r="AO40" i="7"/>
  <c r="AO41" i="7"/>
  <c r="AO42" i="7"/>
  <c r="AQ32" i="7"/>
  <c r="AP32" i="7"/>
  <c r="AO32" i="7"/>
  <c r="AN28" i="7"/>
  <c r="AQ17" i="7"/>
  <c r="AP17" i="7"/>
  <c r="AO17" i="7"/>
  <c r="AQ14" i="7"/>
  <c r="AQ10" i="7"/>
  <c r="AP10" i="7"/>
  <c r="AC10" i="7"/>
  <c r="AE14" i="7"/>
  <c r="AD14" i="7"/>
  <c r="AE10" i="7"/>
  <c r="AD10" i="7"/>
  <c r="U10" i="7"/>
  <c r="V14" i="7"/>
  <c r="W14" i="7"/>
  <c r="U15" i="7"/>
  <c r="V15" i="7"/>
  <c r="W15" i="7"/>
  <c r="W10" i="7"/>
  <c r="V10" i="7"/>
  <c r="V10" i="6"/>
  <c r="V10" i="12"/>
  <c r="U10" i="11"/>
  <c r="O10" i="7"/>
  <c r="N10" i="7"/>
  <c r="G10" i="7"/>
  <c r="F10" i="7"/>
  <c r="N10" i="6"/>
  <c r="M9" i="6"/>
  <c r="N15" i="6"/>
  <c r="M10" i="11"/>
  <c r="M13" i="11"/>
  <c r="M15" i="11"/>
  <c r="U9" i="6"/>
  <c r="V15" i="6"/>
  <c r="V19" i="7"/>
  <c r="U28" i="7"/>
  <c r="W20" i="7"/>
  <c r="V20" i="7"/>
  <c r="V35" i="7"/>
  <c r="W35" i="7"/>
  <c r="U20" i="7"/>
  <c r="U17" i="7"/>
  <c r="V16" i="7"/>
  <c r="W16" i="7"/>
  <c r="T28" i="7"/>
  <c r="W28" i="7"/>
  <c r="W17" i="7"/>
  <c r="V17" i="7"/>
  <c r="V28" i="7"/>
  <c r="V13" i="12"/>
  <c r="V15" i="12"/>
  <c r="F10" i="12"/>
  <c r="F13" i="12"/>
  <c r="F15" i="12"/>
  <c r="AC10" i="11"/>
  <c r="AE20" i="11"/>
  <c r="U34" i="11"/>
  <c r="AD16" i="7"/>
  <c r="AE16" i="7"/>
  <c r="M10" i="7"/>
  <c r="N14" i="7"/>
  <c r="N16" i="7"/>
  <c r="O16" i="7"/>
  <c r="AF28" i="7"/>
  <c r="AE20" i="7"/>
  <c r="AC15" i="7"/>
  <c r="AC28" i="7"/>
  <c r="AC20" i="7"/>
  <c r="AD10" i="6"/>
  <c r="AC9" i="6"/>
  <c r="AD15" i="6"/>
  <c r="AF20" i="6"/>
  <c r="AF25" i="6"/>
  <c r="AF27" i="6"/>
  <c r="AF22" i="6"/>
  <c r="AF31" i="6"/>
  <c r="AF33" i="6"/>
  <c r="AE33" i="6"/>
  <c r="AD33" i="6"/>
  <c r="AE10" i="6"/>
  <c r="AE34" i="6"/>
  <c r="AC14" i="6"/>
  <c r="AD14" i="6"/>
  <c r="AE14" i="6"/>
  <c r="AE15" i="6"/>
  <c r="AE11" i="6"/>
  <c r="AE19" i="6"/>
  <c r="AC10" i="6"/>
  <c r="AC11" i="6"/>
  <c r="AC19" i="6"/>
  <c r="AC22" i="6"/>
  <c r="AE22" i="6"/>
  <c r="AC23" i="6"/>
  <c r="AE23" i="6"/>
  <c r="AC25" i="6"/>
  <c r="AE25" i="6"/>
  <c r="AE26" i="6"/>
  <c r="AE27" i="6"/>
  <c r="AE30" i="6"/>
  <c r="AE36" i="6"/>
  <c r="AE37" i="6"/>
  <c r="AE38" i="6"/>
  <c r="AE39" i="6"/>
  <c r="AE40" i="6"/>
  <c r="AE41" i="6"/>
  <c r="AD34" i="6"/>
  <c r="AD18" i="6"/>
  <c r="AD11" i="6"/>
  <c r="AD19" i="6"/>
  <c r="AD26" i="6"/>
  <c r="AD22" i="6"/>
  <c r="AD23" i="6"/>
  <c r="AD25" i="6"/>
  <c r="AD27" i="6"/>
  <c r="AD30" i="6"/>
  <c r="AC34" i="6"/>
  <c r="AC26" i="6"/>
  <c r="AC27" i="6"/>
  <c r="AC30" i="6"/>
  <c r="AC36" i="6"/>
  <c r="AC37" i="6"/>
  <c r="AC38" i="6"/>
  <c r="AC39" i="6"/>
  <c r="AC40" i="6"/>
  <c r="AC41" i="6"/>
  <c r="AE31" i="6"/>
  <c r="AC31" i="6"/>
  <c r="AB27" i="6"/>
  <c r="AE16" i="6"/>
  <c r="AD16" i="6"/>
  <c r="AC16" i="6"/>
  <c r="AD13" i="6"/>
  <c r="AF20" i="12"/>
  <c r="AF25" i="12"/>
  <c r="AF27" i="12"/>
  <c r="AF22" i="12"/>
  <c r="AF31" i="12"/>
  <c r="AF33" i="12"/>
  <c r="AE33" i="12"/>
  <c r="AD33" i="12"/>
  <c r="AB14" i="11"/>
  <c r="AB27" i="11"/>
  <c r="W10" i="6"/>
  <c r="W34" i="6"/>
  <c r="U14" i="6"/>
  <c r="V14" i="6"/>
  <c r="W14" i="6"/>
  <c r="W27" i="6"/>
  <c r="U10" i="6"/>
  <c r="U11" i="6"/>
  <c r="U19" i="6"/>
  <c r="U22" i="6"/>
  <c r="W22" i="6"/>
  <c r="U23" i="6"/>
  <c r="W23" i="6"/>
  <c r="U25" i="6"/>
  <c r="W25" i="6"/>
  <c r="W11" i="6"/>
  <c r="W19" i="6"/>
  <c r="W26" i="6"/>
  <c r="V34" i="6"/>
  <c r="V18" i="6"/>
  <c r="V11" i="6"/>
  <c r="V19" i="6"/>
  <c r="V22" i="6"/>
  <c r="V23" i="6"/>
  <c r="V25" i="6"/>
  <c r="V26" i="6"/>
  <c r="V27" i="6"/>
  <c r="U34" i="6"/>
  <c r="U26" i="6"/>
  <c r="U27" i="6"/>
  <c r="U30" i="6"/>
  <c r="U36" i="6"/>
  <c r="U37" i="6"/>
  <c r="U38" i="6"/>
  <c r="U39" i="6"/>
  <c r="U40" i="6"/>
  <c r="U41" i="6"/>
  <c r="U31" i="6"/>
  <c r="T27" i="6"/>
  <c r="V16" i="6"/>
  <c r="U16" i="6"/>
  <c r="V13" i="6"/>
  <c r="O10" i="6"/>
  <c r="O34" i="6"/>
  <c r="M14" i="6"/>
  <c r="N14" i="6"/>
  <c r="O14" i="6"/>
  <c r="O11" i="6"/>
  <c r="O19" i="6"/>
  <c r="M10" i="6"/>
  <c r="M11" i="6"/>
  <c r="M19" i="6"/>
  <c r="M22" i="6"/>
  <c r="O22" i="6"/>
  <c r="M23" i="6"/>
  <c r="O23" i="6"/>
  <c r="M25" i="6"/>
  <c r="O25" i="6"/>
  <c r="O26" i="6"/>
  <c r="O27" i="6"/>
  <c r="O30" i="6"/>
  <c r="N34" i="6"/>
  <c r="N18" i="6"/>
  <c r="N11" i="6"/>
  <c r="N19" i="6"/>
  <c r="N22" i="6"/>
  <c r="N23" i="6"/>
  <c r="N25" i="6"/>
  <c r="N26" i="6"/>
  <c r="N27" i="6"/>
  <c r="N30" i="6"/>
  <c r="M34" i="6"/>
  <c r="M26" i="6"/>
  <c r="M27" i="6"/>
  <c r="M30" i="6"/>
  <c r="M36" i="6"/>
  <c r="M37" i="6"/>
  <c r="M38" i="6"/>
  <c r="M39" i="6"/>
  <c r="M40" i="6"/>
  <c r="M41" i="6"/>
  <c r="M31" i="6"/>
  <c r="L27" i="6"/>
  <c r="O16" i="6"/>
  <c r="N16" i="6"/>
  <c r="M16" i="6"/>
  <c r="N13" i="6"/>
  <c r="E10" i="12"/>
  <c r="AE34" i="12"/>
  <c r="AC14" i="12"/>
  <c r="AD14" i="12"/>
  <c r="AE14" i="12"/>
  <c r="AE15" i="12"/>
  <c r="AE11" i="12"/>
  <c r="AE19" i="12"/>
  <c r="AC10" i="12"/>
  <c r="AC11" i="12"/>
  <c r="AC19" i="12"/>
  <c r="AC22" i="12"/>
  <c r="AE22" i="12"/>
  <c r="AC23" i="12"/>
  <c r="AE23" i="12"/>
  <c r="AC25" i="12"/>
  <c r="AE25" i="12"/>
  <c r="AE26" i="12"/>
  <c r="AE27" i="12"/>
  <c r="AE30" i="12"/>
  <c r="AE36" i="12"/>
  <c r="AE37" i="12"/>
  <c r="AE38" i="12"/>
  <c r="AE39" i="12"/>
  <c r="AE40" i="12"/>
  <c r="AE41" i="12"/>
  <c r="AD34" i="12"/>
  <c r="AD18" i="12"/>
  <c r="AD11" i="12"/>
  <c r="AD19" i="12"/>
  <c r="AD22" i="12"/>
  <c r="AD23" i="12"/>
  <c r="AD25" i="12"/>
  <c r="AD27" i="12"/>
  <c r="AC34" i="12"/>
  <c r="AC26" i="12"/>
  <c r="AC27" i="12"/>
  <c r="AC30" i="12"/>
  <c r="AC36" i="12"/>
  <c r="AC37" i="12"/>
  <c r="AC38" i="12"/>
  <c r="AC39" i="12"/>
  <c r="AC40" i="12"/>
  <c r="AC41" i="12"/>
  <c r="AE31" i="12"/>
  <c r="AC31" i="12"/>
  <c r="AB27" i="12"/>
  <c r="AE16" i="12"/>
  <c r="AD16" i="12"/>
  <c r="AC16" i="12"/>
  <c r="W34" i="12"/>
  <c r="U14" i="12"/>
  <c r="V14" i="12"/>
  <c r="W14" i="12"/>
  <c r="W15" i="12"/>
  <c r="W27" i="12"/>
  <c r="U10" i="12"/>
  <c r="U11" i="12"/>
  <c r="U19" i="12"/>
  <c r="U22" i="12"/>
  <c r="W22" i="12"/>
  <c r="U23" i="12"/>
  <c r="W23" i="12"/>
  <c r="U25" i="12"/>
  <c r="W25" i="12"/>
  <c r="W11" i="12"/>
  <c r="W19" i="12"/>
  <c r="W26" i="12"/>
  <c r="W30" i="12"/>
  <c r="V34" i="12"/>
  <c r="V18" i="12"/>
  <c r="V11" i="12"/>
  <c r="V19" i="12"/>
  <c r="V26" i="12"/>
  <c r="V22" i="12"/>
  <c r="V23" i="12"/>
  <c r="V25" i="12"/>
  <c r="V27" i="12"/>
  <c r="U34" i="12"/>
  <c r="U26" i="12"/>
  <c r="U27" i="12"/>
  <c r="U30" i="12"/>
  <c r="U36" i="12"/>
  <c r="U37" i="12"/>
  <c r="U38" i="12"/>
  <c r="U39" i="12"/>
  <c r="U40" i="12"/>
  <c r="U41" i="12"/>
  <c r="U31" i="12"/>
  <c r="T27" i="12"/>
  <c r="W16" i="12"/>
  <c r="V16" i="12"/>
  <c r="U16" i="12"/>
  <c r="O34" i="12"/>
  <c r="O14" i="12"/>
  <c r="O27" i="12"/>
  <c r="M10" i="12"/>
  <c r="M11" i="12"/>
  <c r="M19" i="12"/>
  <c r="M22" i="12"/>
  <c r="O22" i="12"/>
  <c r="M23" i="12"/>
  <c r="O23" i="12"/>
  <c r="M25" i="12"/>
  <c r="O25" i="12"/>
  <c r="O11" i="12"/>
  <c r="O19" i="12"/>
  <c r="O26" i="12"/>
  <c r="N34" i="12"/>
  <c r="N18" i="12"/>
  <c r="N11" i="12"/>
  <c r="N19" i="12"/>
  <c r="N22" i="12"/>
  <c r="N23" i="12"/>
  <c r="N25" i="12"/>
  <c r="N26" i="12"/>
  <c r="N27" i="12"/>
  <c r="N30" i="12"/>
  <c r="M34" i="12"/>
  <c r="M26" i="12"/>
  <c r="M27" i="12"/>
  <c r="M30" i="12"/>
  <c r="M36" i="12"/>
  <c r="M37" i="12"/>
  <c r="M38" i="12"/>
  <c r="M39" i="12"/>
  <c r="M40" i="12"/>
  <c r="M41" i="12"/>
  <c r="M31" i="12"/>
  <c r="L27" i="12"/>
  <c r="N16" i="12"/>
  <c r="M16" i="12"/>
  <c r="AD11" i="11"/>
  <c r="AD19" i="11"/>
  <c r="AD26" i="11"/>
  <c r="AB10" i="11"/>
  <c r="AB34" i="11"/>
  <c r="G34" i="12"/>
  <c r="E14" i="12"/>
  <c r="F14" i="12"/>
  <c r="G14" i="12"/>
  <c r="G11" i="12"/>
  <c r="G19" i="12"/>
  <c r="E11" i="12"/>
  <c r="E19" i="12"/>
  <c r="E22" i="12"/>
  <c r="G22" i="12"/>
  <c r="E23" i="12"/>
  <c r="G23" i="12"/>
  <c r="E25" i="12"/>
  <c r="G25" i="12"/>
  <c r="G26" i="12"/>
  <c r="G27" i="12"/>
  <c r="G30" i="12"/>
  <c r="G36" i="12"/>
  <c r="G37" i="12"/>
  <c r="G38" i="12"/>
  <c r="G39" i="12"/>
  <c r="G40" i="12"/>
  <c r="G41" i="12"/>
  <c r="F34" i="12"/>
  <c r="F18" i="12"/>
  <c r="F11" i="12"/>
  <c r="F19" i="12"/>
  <c r="F22" i="12"/>
  <c r="F23" i="12"/>
  <c r="F25" i="12"/>
  <c r="F26" i="12"/>
  <c r="F27" i="12"/>
  <c r="F30" i="12"/>
  <c r="F36" i="12"/>
  <c r="F37" i="12"/>
  <c r="F38" i="12"/>
  <c r="F39" i="12"/>
  <c r="F40" i="12"/>
  <c r="F41" i="12"/>
  <c r="E34" i="12"/>
  <c r="E26" i="12"/>
  <c r="E27" i="12"/>
  <c r="E30" i="12"/>
  <c r="E36" i="12"/>
  <c r="E37" i="12"/>
  <c r="E38" i="12"/>
  <c r="E39" i="12"/>
  <c r="E40" i="12"/>
  <c r="E41" i="12"/>
  <c r="G31" i="12"/>
  <c r="F31" i="12"/>
  <c r="E31" i="12"/>
  <c r="D27" i="12"/>
  <c r="G16" i="12"/>
  <c r="F16" i="12"/>
  <c r="E16" i="12"/>
  <c r="AC18" i="11"/>
  <c r="AC11" i="11"/>
  <c r="V11" i="11"/>
  <c r="V19" i="11"/>
  <c r="V26" i="11"/>
  <c r="V34" i="11"/>
  <c r="T14" i="11"/>
  <c r="U14" i="11"/>
  <c r="V14" i="11"/>
  <c r="T10" i="11"/>
  <c r="T34" i="11"/>
  <c r="T11" i="11"/>
  <c r="T19" i="11"/>
  <c r="U18" i="11"/>
  <c r="U11" i="11"/>
  <c r="U19" i="11"/>
  <c r="U26" i="11"/>
  <c r="T27" i="11"/>
  <c r="T16" i="11"/>
  <c r="L10" i="11"/>
  <c r="N11" i="11"/>
  <c r="N19" i="11"/>
  <c r="N26" i="11"/>
  <c r="L11" i="11"/>
  <c r="L19" i="11"/>
  <c r="M11" i="11"/>
  <c r="L14" i="11"/>
  <c r="M14" i="11"/>
  <c r="M27" i="11"/>
  <c r="N14" i="11"/>
  <c r="M18" i="11"/>
  <c r="L27" i="11"/>
  <c r="L34" i="11"/>
  <c r="M34" i="11"/>
  <c r="G34" i="11"/>
  <c r="E14" i="11"/>
  <c r="F14" i="11"/>
  <c r="G14" i="11"/>
  <c r="G11" i="11"/>
  <c r="G19" i="11"/>
  <c r="G26" i="11"/>
  <c r="E10" i="11"/>
  <c r="E34" i="11"/>
  <c r="F34" i="11"/>
  <c r="F18" i="11"/>
  <c r="M15" i="7"/>
  <c r="M28" i="7"/>
  <c r="N19" i="7"/>
  <c r="M20" i="7"/>
  <c r="O35" i="7"/>
  <c r="E15" i="7"/>
  <c r="E17" i="7"/>
  <c r="E9" i="6"/>
  <c r="F18" i="6"/>
  <c r="E14" i="6"/>
  <c r="F14" i="6"/>
  <c r="G14" i="6"/>
  <c r="G10" i="6"/>
  <c r="G11" i="6"/>
  <c r="G19" i="6"/>
  <c r="G26" i="6"/>
  <c r="F10" i="6"/>
  <c r="F11" i="6"/>
  <c r="E10" i="6"/>
  <c r="E11" i="6"/>
  <c r="E19" i="6"/>
  <c r="E22" i="6"/>
  <c r="F15" i="7"/>
  <c r="F15" i="6"/>
  <c r="G27" i="6"/>
  <c r="F13" i="6"/>
  <c r="E28" i="7"/>
  <c r="E34" i="6"/>
  <c r="F34" i="6"/>
  <c r="E26" i="6"/>
  <c r="E25" i="6"/>
  <c r="E23" i="6"/>
  <c r="F19" i="6"/>
  <c r="F26" i="6"/>
  <c r="E16" i="6"/>
  <c r="G34" i="6"/>
  <c r="E27" i="6"/>
  <c r="D27" i="6"/>
  <c r="G15" i="7"/>
  <c r="F16" i="6"/>
  <c r="F27" i="6"/>
  <c r="G16" i="6"/>
  <c r="G23" i="6"/>
  <c r="F23" i="6"/>
  <c r="F25" i="6"/>
  <c r="G25" i="6"/>
  <c r="G22" i="6"/>
  <c r="F22" i="6"/>
  <c r="E30" i="6"/>
  <c r="G30" i="6"/>
  <c r="G31" i="6"/>
  <c r="F30" i="6"/>
  <c r="F36" i="6"/>
  <c r="E36" i="6"/>
  <c r="E37" i="6"/>
  <c r="E31" i="6"/>
  <c r="G36" i="6"/>
  <c r="G37" i="6"/>
  <c r="G39" i="6"/>
  <c r="F31" i="6"/>
  <c r="F37" i="6"/>
  <c r="G38" i="6"/>
  <c r="G40" i="6"/>
  <c r="G41" i="6"/>
  <c r="E38" i="6"/>
  <c r="E39" i="6"/>
  <c r="F38" i="6"/>
  <c r="F39" i="6"/>
  <c r="E40" i="6"/>
  <c r="E41" i="6"/>
  <c r="F40" i="6"/>
  <c r="F41" i="6"/>
  <c r="V30" i="6"/>
  <c r="V31" i="6"/>
  <c r="W16" i="6"/>
  <c r="V30" i="12"/>
  <c r="V36" i="12"/>
  <c r="N20" i="7"/>
  <c r="N35" i="7"/>
  <c r="O20" i="7"/>
  <c r="AD20" i="7"/>
  <c r="L28" i="7"/>
  <c r="AB28" i="7"/>
  <c r="G27" i="7"/>
  <c r="G14" i="7"/>
  <c r="G16" i="7"/>
  <c r="N15" i="7"/>
  <c r="G35" i="7"/>
  <c r="AC17" i="7"/>
  <c r="AD15" i="7"/>
  <c r="AF23" i="7"/>
  <c r="AF32" i="7"/>
  <c r="AF34" i="7"/>
  <c r="AE34" i="7"/>
  <c r="AD34" i="7"/>
  <c r="AD35" i="7"/>
  <c r="M17" i="7"/>
  <c r="F35" i="7"/>
  <c r="F28" i="7"/>
  <c r="F17" i="7"/>
  <c r="E27" i="7"/>
  <c r="D28" i="7"/>
  <c r="M27" i="7"/>
  <c r="AC27" i="7"/>
  <c r="U27" i="7"/>
  <c r="AD36" i="6"/>
  <c r="AD31" i="6"/>
  <c r="AD26" i="12"/>
  <c r="AD30" i="12"/>
  <c r="O31" i="6"/>
  <c r="O36" i="6"/>
  <c r="N36" i="6"/>
  <c r="N31" i="6"/>
  <c r="N36" i="12"/>
  <c r="N31" i="12"/>
  <c r="O16" i="12"/>
  <c r="O30" i="12"/>
  <c r="V36" i="6"/>
  <c r="W30" i="6"/>
  <c r="W36" i="12"/>
  <c r="W31" i="12"/>
  <c r="AC19" i="11"/>
  <c r="AC26" i="11"/>
  <c r="E11" i="11"/>
  <c r="E19" i="11"/>
  <c r="N34" i="11"/>
  <c r="AC15" i="11"/>
  <c r="AD15" i="11"/>
  <c r="AC14" i="11"/>
  <c r="AD14" i="11"/>
  <c r="AD16" i="11"/>
  <c r="AC13" i="11"/>
  <c r="E27" i="11"/>
  <c r="D27" i="11"/>
  <c r="F15" i="11"/>
  <c r="F27" i="11"/>
  <c r="AB16" i="11"/>
  <c r="F11" i="11"/>
  <c r="M19" i="11"/>
  <c r="M26" i="11"/>
  <c r="L16" i="11"/>
  <c r="F19" i="11"/>
  <c r="F26" i="11"/>
  <c r="E16" i="11"/>
  <c r="U13" i="11"/>
  <c r="E25" i="11"/>
  <c r="E22" i="11"/>
  <c r="E23" i="11"/>
  <c r="E26" i="11"/>
  <c r="AD27" i="11"/>
  <c r="L23" i="11"/>
  <c r="L26" i="11"/>
  <c r="L22" i="11"/>
  <c r="K27" i="11"/>
  <c r="L25" i="11"/>
  <c r="AE25" i="11"/>
  <c r="AE27" i="11"/>
  <c r="AE22" i="11"/>
  <c r="G27" i="11"/>
  <c r="F16" i="11"/>
  <c r="T23" i="11"/>
  <c r="S27" i="11"/>
  <c r="T26" i="11"/>
  <c r="T22" i="11"/>
  <c r="T25" i="11"/>
  <c r="M16" i="11"/>
  <c r="AB11" i="11"/>
  <c r="AB19" i="11"/>
  <c r="AC27" i="11"/>
  <c r="V31" i="12"/>
  <c r="U15" i="11"/>
  <c r="U27" i="11"/>
  <c r="W27" i="7"/>
  <c r="O27" i="7"/>
  <c r="AE27" i="7"/>
  <c r="AC31" i="7"/>
  <c r="AC37" i="7"/>
  <c r="AD28" i="7"/>
  <c r="AD17" i="7"/>
  <c r="AE15" i="7"/>
  <c r="V27" i="7"/>
  <c r="F27" i="7"/>
  <c r="AD27" i="7"/>
  <c r="N27" i="7"/>
  <c r="AE35" i="7"/>
  <c r="N17" i="7"/>
  <c r="O15" i="7"/>
  <c r="N28" i="7"/>
  <c r="G17" i="7"/>
  <c r="G28" i="7"/>
  <c r="E31" i="7"/>
  <c r="M31" i="7"/>
  <c r="M32" i="7"/>
  <c r="AC32" i="7"/>
  <c r="U31" i="7"/>
  <c r="AD37" i="6"/>
  <c r="AD38" i="6"/>
  <c r="AD39" i="6"/>
  <c r="AD40" i="6"/>
  <c r="AD41" i="6"/>
  <c r="AD31" i="12"/>
  <c r="AD36" i="12"/>
  <c r="N37" i="6"/>
  <c r="N38" i="6"/>
  <c r="N39" i="6"/>
  <c r="N40" i="6"/>
  <c r="N41" i="6"/>
  <c r="O37" i="6"/>
  <c r="O38" i="6"/>
  <c r="O36" i="12"/>
  <c r="O31" i="12"/>
  <c r="N37" i="12"/>
  <c r="N39" i="12"/>
  <c r="V37" i="6"/>
  <c r="V38" i="6"/>
  <c r="W31" i="6"/>
  <c r="W36" i="6"/>
  <c r="V37" i="12"/>
  <c r="V39" i="12"/>
  <c r="W37" i="12"/>
  <c r="W39" i="12"/>
  <c r="W38" i="12"/>
  <c r="AC16" i="11"/>
  <c r="U16" i="11"/>
  <c r="G16" i="11"/>
  <c r="N27" i="11"/>
  <c r="L30" i="11"/>
  <c r="N22" i="11"/>
  <c r="M22" i="11"/>
  <c r="AB23" i="11"/>
  <c r="AB26" i="11"/>
  <c r="AB25" i="11"/>
  <c r="AB22" i="11"/>
  <c r="V23" i="11"/>
  <c r="U23" i="11"/>
  <c r="N16" i="11"/>
  <c r="U25" i="11"/>
  <c r="V25" i="11"/>
  <c r="AA27" i="11"/>
  <c r="V22" i="11"/>
  <c r="U22" i="11"/>
  <c r="T30" i="11"/>
  <c r="M23" i="11"/>
  <c r="N23" i="11"/>
  <c r="F23" i="11"/>
  <c r="G23" i="11"/>
  <c r="AE31" i="11"/>
  <c r="AE33" i="11"/>
  <c r="N25" i="11"/>
  <c r="M25" i="11"/>
  <c r="E30" i="11"/>
  <c r="G22" i="11"/>
  <c r="F22" i="11"/>
  <c r="G25" i="11"/>
  <c r="F25" i="11"/>
  <c r="M37" i="7"/>
  <c r="V31" i="7"/>
  <c r="V37" i="7"/>
  <c r="N31" i="7"/>
  <c r="N32" i="7"/>
  <c r="O28" i="7"/>
  <c r="O31" i="7"/>
  <c r="O17" i="7"/>
  <c r="AE17" i="7"/>
  <c r="AE28" i="7"/>
  <c r="AE31" i="7"/>
  <c r="G31" i="7"/>
  <c r="G32" i="7"/>
  <c r="E32" i="7"/>
  <c r="E37" i="7"/>
  <c r="F31" i="7"/>
  <c r="W31" i="7"/>
  <c r="W37" i="7"/>
  <c r="AD31" i="7"/>
  <c r="AD37" i="7"/>
  <c r="AC38" i="7"/>
  <c r="AC40" i="7"/>
  <c r="M38" i="7"/>
  <c r="M39" i="7"/>
  <c r="M40" i="7"/>
  <c r="U32" i="7"/>
  <c r="U37" i="7"/>
  <c r="AD37" i="12"/>
  <c r="AD38" i="12"/>
  <c r="AD39" i="12"/>
  <c r="AD40" i="12"/>
  <c r="AD41" i="12"/>
  <c r="O39" i="6"/>
  <c r="O40" i="6"/>
  <c r="O41" i="6"/>
  <c r="N38" i="12"/>
  <c r="N40" i="12"/>
  <c r="N41" i="12"/>
  <c r="O37" i="12"/>
  <c r="O39" i="12"/>
  <c r="O38" i="12"/>
  <c r="O40" i="12"/>
  <c r="O41" i="12"/>
  <c r="W37" i="6"/>
  <c r="W39" i="6"/>
  <c r="V39" i="6"/>
  <c r="V40" i="6"/>
  <c r="V41" i="6"/>
  <c r="W40" i="12"/>
  <c r="W41" i="12"/>
  <c r="V38" i="12"/>
  <c r="V40" i="12"/>
  <c r="V41" i="12"/>
  <c r="U30" i="11"/>
  <c r="U31" i="11"/>
  <c r="G30" i="11"/>
  <c r="G31" i="11"/>
  <c r="G36" i="11"/>
  <c r="L31" i="11"/>
  <c r="L36" i="11"/>
  <c r="E31" i="11"/>
  <c r="E36" i="11"/>
  <c r="AD22" i="11"/>
  <c r="AC22" i="11"/>
  <c r="AB30" i="11"/>
  <c r="AC25" i="11"/>
  <c r="AD25" i="11"/>
  <c r="T31" i="11"/>
  <c r="T36" i="11"/>
  <c r="AD23" i="11"/>
  <c r="AC23" i="11"/>
  <c r="AD33" i="11"/>
  <c r="AD34" i="11"/>
  <c r="AC33" i="11"/>
  <c r="AC34" i="11"/>
  <c r="M30" i="11"/>
  <c r="F30" i="11"/>
  <c r="N30" i="11"/>
  <c r="V32" i="7"/>
  <c r="W38" i="6"/>
  <c r="V27" i="11"/>
  <c r="V30" i="11"/>
  <c r="V16" i="11"/>
  <c r="AE37" i="7"/>
  <c r="AE38" i="7"/>
  <c r="AE32" i="7"/>
  <c r="AC39" i="7"/>
  <c r="AC41" i="7"/>
  <c r="AC42" i="7"/>
  <c r="N37" i="7"/>
  <c r="M41" i="7"/>
  <c r="M42" i="7"/>
  <c r="O32" i="7"/>
  <c r="O37" i="7"/>
  <c r="G37" i="7"/>
  <c r="G38" i="7"/>
  <c r="F32" i="7"/>
  <c r="F37" i="7"/>
  <c r="E38" i="7"/>
  <c r="E40" i="7"/>
  <c r="E39" i="7"/>
  <c r="W32" i="7"/>
  <c r="AD32" i="7"/>
  <c r="V38" i="7"/>
  <c r="V39" i="7"/>
  <c r="W38" i="7"/>
  <c r="U38" i="7"/>
  <c r="U40" i="7"/>
  <c r="U39" i="7"/>
  <c r="U41" i="7"/>
  <c r="U42" i="7"/>
  <c r="AD38" i="7"/>
  <c r="AD39" i="7"/>
  <c r="W40" i="6"/>
  <c r="W41" i="6"/>
  <c r="U36" i="11"/>
  <c r="U37" i="11"/>
  <c r="U38" i="11"/>
  <c r="V31" i="11"/>
  <c r="V36" i="11"/>
  <c r="G37" i="11"/>
  <c r="G39" i="11"/>
  <c r="N31" i="11"/>
  <c r="N36" i="11"/>
  <c r="AB31" i="11"/>
  <c r="AB36" i="11"/>
  <c r="F31" i="11"/>
  <c r="F36" i="11"/>
  <c r="AC30" i="11"/>
  <c r="AC31" i="11"/>
  <c r="M36" i="11"/>
  <c r="M31" i="11"/>
  <c r="AD30" i="11"/>
  <c r="AD31" i="11"/>
  <c r="AC36" i="11"/>
  <c r="E37" i="11"/>
  <c r="E39" i="11"/>
  <c r="E38" i="11"/>
  <c r="T37" i="11"/>
  <c r="T38" i="11"/>
  <c r="L37" i="11"/>
  <c r="L38" i="11"/>
  <c r="L39" i="11"/>
  <c r="L40" i="11"/>
  <c r="L41" i="11"/>
  <c r="AE39" i="7"/>
  <c r="V40" i="7"/>
  <c r="V41" i="7"/>
  <c r="V42" i="7"/>
  <c r="N38" i="7"/>
  <c r="N39" i="7"/>
  <c r="O38" i="7"/>
  <c r="O39" i="7"/>
  <c r="AD40" i="7"/>
  <c r="AD41" i="7"/>
  <c r="AD42" i="7"/>
  <c r="G39" i="7"/>
  <c r="G40" i="7"/>
  <c r="E41" i="7"/>
  <c r="E42" i="7"/>
  <c r="F38" i="7"/>
  <c r="F39" i="7"/>
  <c r="AE40" i="7"/>
  <c r="AE41" i="7"/>
  <c r="AE42" i="7"/>
  <c r="W39" i="7"/>
  <c r="W40" i="7"/>
  <c r="AD36" i="11"/>
  <c r="U39" i="11"/>
  <c r="U40" i="11"/>
  <c r="U41" i="11"/>
  <c r="AD37" i="11"/>
  <c r="AD39" i="11"/>
  <c r="AD38" i="11"/>
  <c r="AB37" i="11"/>
  <c r="AB39" i="11"/>
  <c r="AB38" i="11"/>
  <c r="V37" i="11"/>
  <c r="V38" i="11"/>
  <c r="E40" i="11"/>
  <c r="E41" i="11"/>
  <c r="AC37" i="11"/>
  <c r="AC39" i="11"/>
  <c r="AC38" i="11"/>
  <c r="N37" i="11"/>
  <c r="N39" i="11"/>
  <c r="T39" i="11"/>
  <c r="T40" i="11"/>
  <c r="T41" i="11"/>
  <c r="M37" i="11"/>
  <c r="M38" i="11"/>
  <c r="M39" i="11"/>
  <c r="M40" i="11"/>
  <c r="M41" i="11"/>
  <c r="G38" i="11"/>
  <c r="G40" i="11"/>
  <c r="G41" i="11"/>
  <c r="F37" i="11"/>
  <c r="F39" i="11"/>
  <c r="F38" i="11"/>
  <c r="N40" i="7"/>
  <c r="N41" i="7"/>
  <c r="N42" i="7"/>
  <c r="G41" i="7"/>
  <c r="G42" i="7"/>
  <c r="W41" i="7"/>
  <c r="W42" i="7"/>
  <c r="F40" i="7"/>
  <c r="O40" i="7"/>
  <c r="O41" i="7"/>
  <c r="O42" i="7"/>
  <c r="F41" i="7"/>
  <c r="F42" i="7"/>
  <c r="AC40" i="11"/>
  <c r="AC41" i="11"/>
  <c r="F40" i="11"/>
  <c r="F41" i="11"/>
  <c r="AB40" i="11"/>
  <c r="AB41" i="11"/>
  <c r="N38" i="11"/>
  <c r="N40" i="11"/>
  <c r="N41" i="11"/>
  <c r="V39" i="11"/>
  <c r="V40" i="11"/>
  <c r="V41" i="11"/>
  <c r="AD40" i="11"/>
  <c r="AD41" i="11"/>
</calcChain>
</file>

<file path=xl/sharedStrings.xml><?xml version="1.0" encoding="utf-8"?>
<sst xmlns="http://schemas.openxmlformats.org/spreadsheetml/2006/main" count="2580" uniqueCount="255">
  <si>
    <t>Ubicación</t>
  </si>
  <si>
    <t>Tipo</t>
  </si>
  <si>
    <t>Vivienda, oficina, comercio</t>
  </si>
  <si>
    <t>PUOS</t>
  </si>
  <si>
    <t>ECO EFICIENCIA</t>
  </si>
  <si>
    <t>ZUAE (2 pisos)</t>
  </si>
  <si>
    <t>DATOS</t>
  </si>
  <si>
    <t>Costo del terreno</t>
  </si>
  <si>
    <t>COSTOS DIRECTOS</t>
  </si>
  <si>
    <t>Costo construcción $/ m2 de área bruta</t>
  </si>
  <si>
    <t>COSTOS INDIRECTOS</t>
  </si>
  <si>
    <t>Planificación</t>
  </si>
  <si>
    <t>Administración</t>
  </si>
  <si>
    <t>Publicidad y ventas (sobre ventas)</t>
  </si>
  <si>
    <t xml:space="preserve">Legales </t>
  </si>
  <si>
    <t>Financiamiento (tasa 8% por 2 años)</t>
  </si>
  <si>
    <t>TOTAL COSTOS (T+IE+CD+CI)</t>
  </si>
  <si>
    <t>VENTAS</t>
  </si>
  <si>
    <t>Precio por m2 incluye parqueo y bodega</t>
  </si>
  <si>
    <t>Total venta (V)</t>
  </si>
  <si>
    <t>RENTABILIDAD</t>
  </si>
  <si>
    <t>Ventas - total costos</t>
  </si>
  <si>
    <t xml:space="preserve">13% impuesto renta accionistas dividendos </t>
  </si>
  <si>
    <t>12 pisos</t>
  </si>
  <si>
    <t>18 pisos</t>
  </si>
  <si>
    <t>14 pisos</t>
  </si>
  <si>
    <t>Costo directos (CD)</t>
  </si>
  <si>
    <t>22% impuesto renta sociedades</t>
  </si>
  <si>
    <t>100% del AIVA</t>
  </si>
  <si>
    <t>Área terreno</t>
  </si>
  <si>
    <t>Área útil total (área vendible)</t>
  </si>
  <si>
    <t>Área Bruta (construida cubierta)</t>
  </si>
  <si>
    <t>Relación: área bruta/área útil</t>
  </si>
  <si>
    <t>Incidencia del terreno en área vendible</t>
  </si>
  <si>
    <t>Costo $/m2 de área vendible</t>
  </si>
  <si>
    <t>15% participación trabajadores</t>
  </si>
  <si>
    <t>Ganancia neta</t>
  </si>
  <si>
    <t>Otros y pos construcción, prediales</t>
  </si>
  <si>
    <t>Area de suelo creado</t>
  </si>
  <si>
    <t>Costos Indirectos (CI)</t>
  </si>
  <si>
    <t>COS TOTAL</t>
  </si>
  <si>
    <t>Financiamiento de 30% (tasa 8% por 2 años)</t>
  </si>
  <si>
    <t>10 de Agosto  e Isabel Tobar (Av. Republica)</t>
  </si>
  <si>
    <t>10pisos</t>
  </si>
  <si>
    <t>15 pisos</t>
  </si>
  <si>
    <t>Av. Amazonas Sector la Y</t>
  </si>
  <si>
    <t>Sector Mercado Mayorista</t>
  </si>
  <si>
    <t>8 pisos</t>
  </si>
  <si>
    <t>10 pisos</t>
  </si>
  <si>
    <t>Republica del salvador</t>
  </si>
  <si>
    <t>ÁREA INCREMENTO</t>
  </si>
  <si>
    <t>Porcentaje Utilidad Actual (STHV)</t>
  </si>
  <si>
    <t>10% ÁREA VIVIENDA VIP</t>
  </si>
  <si>
    <t>90% ÁREA VIVIENDA COMERCIAL</t>
  </si>
  <si>
    <t>VENTA TOTAL</t>
  </si>
  <si>
    <t>PRECIO PROMEDIO M2</t>
  </si>
  <si>
    <t>Porcentaje Utilidad Actual (DATOS STHV)</t>
  </si>
  <si>
    <t>PRECIO 10% VIVIENDA VIP</t>
  </si>
  <si>
    <t>PRECIO 90% VIVIENDA COMERCIAL</t>
  </si>
  <si>
    <t>DATO CONSTRUCTOR</t>
  </si>
  <si>
    <r>
      <t>AREA DEL TERRENO X %COS TOTA X 94%</t>
    </r>
    <r>
      <rPr>
        <sz val="11"/>
        <color indexed="205"/>
        <rFont val="Calibri"/>
        <family val="2"/>
      </rPr>
      <t xml:space="preserve"> CONSTRUIBLE DEL COS TOTAL</t>
    </r>
  </si>
  <si>
    <t>PUOS + INCREMENTO ECO EFICIENCIA</t>
  </si>
  <si>
    <t>PUOS + INCREMENTO ZUAE</t>
  </si>
  <si>
    <r>
      <t>AREA DEL TERRENO X %COS TOTA X 94%</t>
    </r>
    <r>
      <rPr>
        <sz val="11"/>
        <color indexed="205"/>
        <rFont val="Calibri"/>
        <family val="2"/>
      </rPr>
      <t xml:space="preserve"> CONSTRUIBLE DEL COS TOTAL ECO EFICIENCIA</t>
    </r>
  </si>
  <si>
    <r>
      <t>AREA DEL TERRENO X %COS TOTA X 94%</t>
    </r>
    <r>
      <rPr>
        <sz val="11"/>
        <color indexed="205"/>
        <rFont val="Calibri"/>
        <family val="2"/>
      </rPr>
      <t xml:space="preserve"> CONSTRUIBLE DEL COS TOTAL ZUAE</t>
    </r>
  </si>
  <si>
    <t>N PISOS</t>
  </si>
  <si>
    <t>AREA VENDIBLE X 180% (RELACION AREA VENDIBLE)</t>
  </si>
  <si>
    <t>PORCENTAJE DE RELACION 1/2</t>
  </si>
  <si>
    <t>AREA VENDIBLE X 186% (RELACION AREA VENDIBLE)</t>
  </si>
  <si>
    <t>AREA VENDIBLE X 190% (RELACION AREA VENDIBLE)</t>
  </si>
  <si>
    <t>COSTO M2 TERRENO - DATO CONSTRUCTOR</t>
  </si>
  <si>
    <t>COSTO TOTAL TERRENO - DATO CONSTRUCTOR</t>
  </si>
  <si>
    <t>AREA DE TERRENO X AIVA X AREA INCREMENTO / COS TOTAL PUOS</t>
  </si>
  <si>
    <t>PORCENTAJE</t>
  </si>
  <si>
    <t xml:space="preserve">COSTO TOTAL DE TERRENO / AREA VENDIBLE </t>
  </si>
  <si>
    <t xml:space="preserve">(COSTO TOTAL DE TERRENO + COSTO INCREMENTO EDIFICABILIDAD) / AREA VENDIBLE </t>
  </si>
  <si>
    <t>COSTO M2 CONSTRUCCION (DATO CONSTRUCTOR)</t>
  </si>
  <si>
    <t>AREA BRUTA X COSTO M2</t>
  </si>
  <si>
    <t>AREA BRUTA X COSTO M2 CON ECO EFICIENCIA</t>
  </si>
  <si>
    <t>AREA VENDIBLE PUOS - AREA VENDIBLE ECO EFICIENCIA</t>
  </si>
  <si>
    <t>AREA COS TOTAL PUOS</t>
  </si>
  <si>
    <t>COSTO DIRECTO X 4%</t>
  </si>
  <si>
    <t>COSTO DIRECTO X 6%</t>
  </si>
  <si>
    <t>COSTO DIRECTO X 2%</t>
  </si>
  <si>
    <t>COSTO DIRECTO X 5%</t>
  </si>
  <si>
    <t>COSTO DIRECTO CON ECO EFICIENCIA  X 5%</t>
  </si>
  <si>
    <t>COSTO DIRECTO CON ECO EFICIENCIA X 2%</t>
  </si>
  <si>
    <t>COSTO DIRECTO CON ECO EFICIENCIA X 5%</t>
  </si>
  <si>
    <t>COSTO DIRECTO CON ECO EFICIENCIA X 6%</t>
  </si>
  <si>
    <t>COSTO DIRECTO CON ECO EFICIENCIA X 4%</t>
  </si>
  <si>
    <t>COSTO DIRECTO CON ZUAE  X 5%</t>
  </si>
  <si>
    <t>COSTO DIRECTO CON ZUAE X 2%</t>
  </si>
  <si>
    <t>COSTO DIRECTO CON ZUAE X 5%</t>
  </si>
  <si>
    <t>COSTO DIRECTO CON ZUAE X 6%</t>
  </si>
  <si>
    <t>COSTO DIRECTO CON ZUAE X 4%</t>
  </si>
  <si>
    <r>
      <t>30% X (</t>
    </r>
    <r>
      <rPr>
        <sz val="11"/>
        <color indexed="205"/>
        <rFont val="Calibri"/>
        <family val="2"/>
      </rPr>
      <t>COSTO DEL TERRENO</t>
    </r>
    <r>
      <rPr>
        <sz val="11"/>
        <color theme="1"/>
        <rFont val="Calibri"/>
        <family val="2"/>
        <scheme val="minor"/>
      </rPr>
      <t>) X TASA 8% X 2 AÑOS</t>
    </r>
  </si>
  <si>
    <r>
      <t>30% X (</t>
    </r>
    <r>
      <rPr>
        <sz val="11"/>
        <color indexed="205"/>
        <rFont val="Calibri"/>
        <family val="2"/>
      </rPr>
      <t>COSTO DEL TERRENO + CONTRIBUCION ESPECIAL</t>
    </r>
    <r>
      <rPr>
        <sz val="11"/>
        <color theme="1"/>
        <rFont val="Calibri"/>
        <family val="2"/>
        <scheme val="minor"/>
      </rPr>
      <t>) X TASA 8% X 2 AÑOS</t>
    </r>
  </si>
  <si>
    <t>PLANIFICACION + ADMINISTRACION + PUBLICIDAD VENTAS + LEGALES + PREDIALES + FINANCIAMIENTO</t>
  </si>
  <si>
    <t xml:space="preserve"> PLANIFICACION + ADMINISTRACION + PUBLICIDAD VENTAS + LEGALES + PREDIALES + FINANCIAMIENTO </t>
  </si>
  <si>
    <t>TOTAL COSTOS / AREA VENTIBLE</t>
  </si>
  <si>
    <t>PRECIO PROMEDIO M2 (DATO CONSTRUCTOR)</t>
  </si>
  <si>
    <t xml:space="preserve">AREA VENDIBLE X PRECIO M2 </t>
  </si>
  <si>
    <t>TOTAL VENTAS -  TOTAL COSTOS</t>
  </si>
  <si>
    <t>TOTAL VENTAS - TOTAL COSTOS</t>
  </si>
  <si>
    <t>TOTAL VENTAS -  TOTAL COSTOS X 15%</t>
  </si>
  <si>
    <t>((TOTAL VENTAS -  TOTAL COSTOS)- PARTICIPACION TRABAJADORES) X 22%</t>
  </si>
  <si>
    <t xml:space="preserve"> ((TOTAL VENTAS -  TOTAL COSTOS)- PARTICIPACION TRABAJADORES) X 13% </t>
  </si>
  <si>
    <t>AREA BRUTA X COSTO M2 CON ZUAE</t>
  </si>
  <si>
    <t xml:space="preserve"> COSTO PLANIFICACION PUOS POR PISO X No. PISOS CON ECO EFICIENCIA</t>
  </si>
  <si>
    <t xml:space="preserve"> COSTO PLANIFICACION PUOS POR PISO X No. PISOS CON ZUAE</t>
  </si>
  <si>
    <t xml:space="preserve"> COSTO ADMINISTRACION PUOS POR PISO X No. PISOS CON ECO EFICIENCIA</t>
  </si>
  <si>
    <t xml:space="preserve"> COSTO PUBLICIDAD VENTAS PUOS POR PISO X No. PISOS CON ECO EFICIENCIA</t>
  </si>
  <si>
    <t xml:space="preserve"> COSTO LEGALES PUOS POR PISO X No. PISOS CON ECO EFICIENCIA</t>
  </si>
  <si>
    <t xml:space="preserve"> COSTO PREDIALES PUOS POR PISO X No. PISOS CON ECO EFICIENCIA</t>
  </si>
  <si>
    <t xml:space="preserve"> COSTO ADMINISTRACION PUOS POR PISO X No. PISOS CON ZUAE</t>
  </si>
  <si>
    <t xml:space="preserve"> COSTO PUBLICIDAD VENTAS PUOS POR PISO X No. PISOS CON ZUAE</t>
  </si>
  <si>
    <t xml:space="preserve"> COSTO PREDIALES PUOS POR PISO X No. PISOS CON ZUAE</t>
  </si>
  <si>
    <t>PRECIO PROMEDIO M2 (PLUSVALIA.COM)</t>
  </si>
  <si>
    <t>AREA VENDIBLE X 170% (MITAD AREAS COMUNALES DE LA NORMA)</t>
  </si>
  <si>
    <t xml:space="preserve">COSTO TOTAL DE TERRENO  / AREA VENDIBLE </t>
  </si>
  <si>
    <t>COSTO M2 CONSTRUCCION (DATO ORDENANAZA 196 Y DATOS STHV)</t>
  </si>
  <si>
    <t>COSTO M2 CONSTRUCCION(DATO ORDENANAZA 196 Y DATOS STHV)</t>
  </si>
  <si>
    <t>PRECIO PROMEDIO M2 (PRECIO VIVIENDA COMERCIAL Y PRECIO VIVIENDA VIP)</t>
  </si>
  <si>
    <t>AREA VENDIBLE X 10% DE VIVIENDA VIP</t>
  </si>
  <si>
    <t>AREA VIVIENDA VIP X 980 (PRECIO M2 VIVIENDA VIP)</t>
  </si>
  <si>
    <t>AREA VENDIBLE X 90% VIVIENDA COMERCIAL</t>
  </si>
  <si>
    <t>AREA VIVIENDA VIP X PRECIO M2 VIVIENDA COMERCIAL</t>
  </si>
  <si>
    <t>PRECIO TOTAL VIVIENDA COMERCIAL + PRECIO TOTAL VIVIENDA VIP</t>
  </si>
  <si>
    <t>PRECIO TOTAL VIVIENDA COMERCIAL</t>
  </si>
  <si>
    <t>PRECIO TOTAL  VIVIENDA VIP</t>
  </si>
  <si>
    <r>
      <t>VENTA TOTAL / AREA DEL TEERENO</t>
    </r>
    <r>
      <rPr>
        <sz val="11"/>
        <color indexed="205"/>
        <rFont val="Calibri"/>
        <family val="2"/>
      </rPr>
      <t/>
    </r>
  </si>
  <si>
    <t xml:space="preserve">GANANCIA NETA </t>
  </si>
  <si>
    <t>Área Bruta (construida cubierta, incluye estacionamientos, bodegas, áreas comunales, circlaciones, cuartos técnicos, etc.)</t>
  </si>
  <si>
    <t>COSTO M2 CONSTRUCCION + 15% COSTO ECO EFICIENCIA (DATO CONSTRUCTOR)</t>
  </si>
  <si>
    <t>COSTO M2 CONSTRUCCION + 4% COSTO estructura y estacionamientos para 2 pisos adicionales (DATO CONSTRUCTOR)</t>
  </si>
  <si>
    <t>COSTO TERRENO + COSTO DIRECTO + COSTO INDIRECTO</t>
  </si>
  <si>
    <t>COSTO TERRENO + CONTRIBUCION ESPECIAL +  COSTO DIRECTO + COSTO INDIRECTO</t>
  </si>
  <si>
    <t>(TOTAL VENTAS -  TOTAL COSTOS) - PARTICIPACION TRABAJADORES - IMPUESTO RENTA - RENTA ACCIONISTAS</t>
  </si>
  <si>
    <t>Porcentaje Utilidad (Datos STHV)</t>
  </si>
  <si>
    <t>Porcentaje Utilidad (Datos  STHV)</t>
  </si>
  <si>
    <t>Porcentaje Utilidad (Datos constructores)</t>
  </si>
  <si>
    <t>ANALISIS DE  INCIDENCIA DEL COBRO POR INCREMENTO DE EDIFICABILIDAD (DATOS PROMOTORES)</t>
  </si>
  <si>
    <t>COSTO M2 TERRENO - DATO PROMOTOR</t>
  </si>
  <si>
    <t>COSTO TOTAL TERRENO - DATO PROMOTOR</t>
  </si>
  <si>
    <t>Republica del Salvador</t>
  </si>
  <si>
    <t xml:space="preserve">(AREA DE TERRENO X AIVA X AREA INCREMENTO / COS TOTAL PUOS) </t>
  </si>
  <si>
    <t>Porcentaje Utilidad con Propuesta - Á. COMUNALES</t>
  </si>
  <si>
    <t>Porcentaje Utilidad con Propuesta - 50% COD</t>
  </si>
  <si>
    <t>(AREA DE TERRENO X AIVA X AREA INCREMENTO / COS TOTAL PUOS) X 50%</t>
  </si>
  <si>
    <t>COD</t>
  </si>
  <si>
    <t>COD 0%</t>
  </si>
  <si>
    <t>0% del COD</t>
  </si>
  <si>
    <t>Porcentaje Utilidad con Propuesta - 0% COD + 10% VIP</t>
  </si>
  <si>
    <t>Concesión Onerosa de Derechos</t>
  </si>
  <si>
    <t>m2</t>
  </si>
  <si>
    <t>%</t>
  </si>
  <si>
    <t>TOTAL COSTOS (T+COD+CD+CI)</t>
  </si>
  <si>
    <t>COD 50%</t>
  </si>
  <si>
    <t>Porcentaje Utilidad COD 50% (Datos  STHV)</t>
  </si>
  <si>
    <t>Porcentaje Utilidad con Propuesta - MITAD Á. COMUNALES</t>
  </si>
  <si>
    <t>Porcentaje Utilidad con Propuesta Mitad Á. COMUNALES</t>
  </si>
  <si>
    <t>Porcentaje Utilidad con Propuesta - Mitad Á. COMUNALES</t>
  </si>
  <si>
    <t>Porcentaje Utilidad con Propuesta - 0% COD+ 10% VIP</t>
  </si>
  <si>
    <t>Porcentaje Utilidad con Propuesta - 0% CE + 10% vip</t>
  </si>
  <si>
    <t>Porcentaje Utilidad con Propuesta - 0% CE + 10% VIP</t>
  </si>
  <si>
    <t xml:space="preserve">                                                                                                                      </t>
  </si>
  <si>
    <t xml:space="preserve">Dirección </t>
  </si>
  <si>
    <t>A</t>
  </si>
  <si>
    <t>B</t>
  </si>
  <si>
    <t>C</t>
  </si>
  <si>
    <t>D</t>
  </si>
  <si>
    <t>E</t>
  </si>
  <si>
    <t>F</t>
  </si>
  <si>
    <t>G</t>
  </si>
  <si>
    <t>Costo construcción $/ m2 de área construida</t>
  </si>
  <si>
    <t>ANALISIS DE  INCIDENCIA DEL COBRO DE COD POR INCREMENTO DE PISOS POR SUELO CREADO</t>
  </si>
  <si>
    <t>ANALISIS DE INCIDENCIA DEL COBRO DE COD POR INCREMENTO DE PISOS POR SUELO CREADO (INCENTIVO B = COD 50% )</t>
  </si>
  <si>
    <t>ANALISIS DE  INCIDENCIA DEL COBRO DE COD POR INCREMENTO DE PISOS POR SUELO CREADO (Exoneración = COD 0% + 10% VIVIENDA VIP)</t>
  </si>
  <si>
    <t>PORCENTAJE DE RELACION 1/2*</t>
  </si>
  <si>
    <t>COSTO M2 CONSTRUCCION X 10% COSTO ECO EFICIENCIA (DATO ORDENANAZA 196 Y DATOS STHV)**</t>
  </si>
  <si>
    <t>M2</t>
  </si>
  <si>
    <t>ÁREA COS TOTAL</t>
  </si>
  <si>
    <t>AREA COS TOTAL PUOS + INCREMENTO ECO EFICIENCIA</t>
  </si>
  <si>
    <t>AREA COS TOTAL PUOS + INCREMENTO ZUAE</t>
  </si>
  <si>
    <t>ÁREA ÚTIL EXCEDENTE A LA ASIGNADA POR EL PUOS - AU(E)</t>
  </si>
  <si>
    <t>Área útil incrementada (excedente de PUOS - Aue)</t>
  </si>
  <si>
    <t>*</t>
  </si>
  <si>
    <t>**</t>
  </si>
  <si>
    <r>
      <t xml:space="preserve">(COSTO TOTAL DE TERRENO + COSTO INCREMENTO EDIFICABILIDAD </t>
    </r>
    <r>
      <rPr>
        <b/>
        <sz val="11"/>
        <rFont val="Calibri"/>
        <family val="2"/>
        <scheme val="minor"/>
      </rPr>
      <t>AUe</t>
    </r>
    <r>
      <rPr>
        <sz val="11"/>
        <rFont val="Calibri"/>
        <family val="2"/>
        <scheme val="minor"/>
      </rPr>
      <t xml:space="preserve">) / AREA VENDIBLE </t>
    </r>
  </si>
  <si>
    <t>Área útil incrementada (excedente de PUOS - AUe)</t>
  </si>
  <si>
    <t>Relación: área bruta / área útil*</t>
  </si>
  <si>
    <t>Relación: área bruta/área útil*</t>
  </si>
  <si>
    <t>***</t>
  </si>
  <si>
    <t xml:space="preserve"> ÁREA COS TOTAL***</t>
  </si>
  <si>
    <t>Simbología</t>
  </si>
  <si>
    <r>
      <rPr>
        <sz val="11"/>
        <color rgb="FF000000"/>
        <rFont val="Calibri"/>
        <family val="2"/>
      </rPr>
      <t>El costo por m2 de área construida en la celda resaltada, tiene un incremento del 10% por los costos de las tecnologías e ingenierías adicionales que se requieren para aplicar la Herramienta de Eco-Eficiencia, y los costos adicionales de infraestructura por el incremento de pisos de la edificación. El valor del “10%” fue analizado en base a fuentes y datos de varios proyectos inmobiliarios</t>
    </r>
    <r>
      <rPr>
        <sz val="11"/>
        <color theme="1"/>
        <rFont val="Calibri"/>
        <family val="2"/>
      </rPr>
      <t>, Consultores Técnicos Especialistas de la Herramienta e Eco-Eficiencia, Datos de la CAMICON y se verificó que existe  un rango de variedad desde el 5% al 15%, según las diversas características del edificio, por lo que se decidió promediar el valor entre estas variantes al 10%.</t>
    </r>
  </si>
  <si>
    <t>El área bruta o construida está compuesta por el área no computable, la cual no es vendible y el área útil que si es vendible. En las dos áreas, cada m2 tiene un costo, sin embargo solo hay ingreso financiero en el área vendible o útil; la relación entre estas dos áreas es 1 a 1, lo cual quiere decir que por 1 m2 de  área no computable, existe 1 m2 de área útil o vendible. Adicional a lo explicado, en una edificación no se logra llegar a la totalidad del “% COS Total” permitido, por los requerimientos de las “Reglas Técnicas de Arquitectura y Urbanismo” como áreas comunales, circulaciones, parqueaderos, entre otras; lo cual causa que el constructor o promotor no pueda aprovechar al 100%, lo permitido de área útil o vendible.</t>
  </si>
  <si>
    <t>El Área COS Total, son los m2 útiles permitidos por el PUOS. El Área útil total vendible, son los m2 útiles que máximo se pudo aprovechar de lo permitido por el PUOS que llega a un rango máximo del 90% a 94% del COS Total. En una edificación no se logra llegar a la totalidad del “% COS Total” permitido, por los requerimientos de las “Reglas Técnicas de Arquitectura y Urbanismo” como áreas comunales, circulaciones, parqueaderos, entre otras.</t>
  </si>
  <si>
    <t>DATO PROMOTOR</t>
  </si>
  <si>
    <t xml:space="preserve"> ÁREA COS TOTAL</t>
  </si>
  <si>
    <t>COSTO M2 TERRENO - DATO PROMOTOR***</t>
  </si>
  <si>
    <t>COSTO TOTAL TERRENO - DATO PROMOTOR****</t>
  </si>
  <si>
    <t>****</t>
  </si>
  <si>
    <t>El área bruta o construida está compuesta por el área no computable, la cual no es vendible y el área útil que si es vendible. En las dos áreas, cada m2 tiene un costo, sin embargo solo hay ingreso financiero en el área vendible o útil; la relación entre estas dos áreas, en la actualidad es 1 a 1, lo cual quiere decir que por 1 m2 de  área no computable, existe 1 m2 de área útil o vendible. Adicional a lo explicado, en una edificación no se logra llegar a la totalidad del “% COS Total” permitido, por los requerimientos de las “Reglas Técnicas de Arquitectura y Urbanismo” como áreas comunales, circulaciones, parqueaderos, entre otras; lo cual causa que el constructor o promotor no pueda aprovechar al 100%, lo permitido de área útil o vendible. Aplicando el incentivo del literal a) el cual permite reducir el área comunal al 50%, el escenario cambia dando la posibilidad de aprovechar el 100% del COS TOTAL, permitido tener más área útil o vendible y menos área no computable.</t>
  </si>
  <si>
    <r>
      <t>AREA DEL TERRENO X %COS TOTA X 100%</t>
    </r>
    <r>
      <rPr>
        <b/>
        <sz val="11"/>
        <color indexed="205"/>
        <rFont val="Calibri"/>
        <family val="2"/>
      </rPr>
      <t xml:space="preserve"> CONSTRUIBLE DEL COS TOTAL ECO EFICIENCIA</t>
    </r>
  </si>
  <si>
    <t xml:space="preserve">Los valores mostrados en las celdas resaltadas son la Relación: Área bruta/ área útil, aplicando la propuesta del incentivo del literal a), en el cual se disminuiría el 50% de áreas comunales recreativas y aprovechando el 100% del COS TOTAL permitido. Con los cambios explicados, el área útil vendible aumenta, y el área no computable disminuye, lo cual es beneficioso para el promotor ya que la relación 1 a 1 cambia y genera: más densidad en la edificación, menos costo por m2 de la obra, por efecto, menos precio de m2 para el comprador  y más utilidad neta para el promotor. </t>
  </si>
  <si>
    <t>Costo del terreno por m2, dato proporcionado por el promotor.</t>
  </si>
  <si>
    <t>Costo total del terreno, dato proporcionado por el promotor.</t>
  </si>
  <si>
    <t>ANALISIS DE  INCIDENCIA DEL COBRO DE COD POR INCREMENTO DE PISOS POR SUELO CREADO (INCENTIVO B - COD 50% - AIVA 2210)</t>
  </si>
  <si>
    <t>La fórmula de la Concesión Onerosa de Derechos (COD) por suelo creado, determina que por cada metro cuadrado (m2) de área útil autorizado por sobre lo establecido en el PUOS (COS Total), lo cual se calcula: ÁREA DE TERRENO X AIVA X AREA INCREMENTO / COS TOTAL PUOS. En la celda marcada, se propone multiplicar el resultado de la formula por el 50%, haciendo una reducción de COD a la mitad, aplicando la propuesta del incentivo del literal b).</t>
  </si>
  <si>
    <t>(AREA DE TERRENO X AIVA X AREA INCREMENTO / COS TOTAL PUOS) X 0</t>
  </si>
  <si>
    <r>
      <t xml:space="preserve">ANALISIS DE  INCIDENCIA DEL COBRO </t>
    </r>
    <r>
      <rPr>
        <b/>
        <sz val="16"/>
        <color theme="1"/>
        <rFont val="Calibri"/>
        <scheme val="minor"/>
      </rPr>
      <t xml:space="preserve">DE COD </t>
    </r>
    <r>
      <rPr>
        <b/>
        <sz val="16"/>
        <color theme="1"/>
        <rFont val="Calibri"/>
        <family val="2"/>
        <scheme val="minor"/>
      </rPr>
      <t xml:space="preserve">POR INCREMENTO DE PISOS POR SUELO CREADO (Exoneración b = COD 0% + 10% VIVIENDA VIP - AIVA 2210) </t>
    </r>
  </si>
  <si>
    <t>La fórmula de la Concesión Onerosa de Derechos (COD) por suelo creado, determina que por cada metro cuadrado (m2) de área útil autorizado por sobre lo establecido en el PUOS (COS Total), lo cual se calcula: ÁREA DE TERRENO X AIVA X AREA INCREMENTO / COS TOTAL PUOS. En la celda marcada, se propone exonerar el valor de COD, a cambio del 10% de Vivienda de Interés Público en la nueva edificación.</t>
  </si>
  <si>
    <t>La celda resaltada calcula la relación del 10% de área útil VIP, con el área útil total, seguido por el cálculo del precio total del 10% VIP mencionado por un valor de $980 el m2 de construcción.</t>
  </si>
  <si>
    <t>La celda resaltada calcula la relación del 90% de área útil restante, seguido por el cálculo del precio total, del 90% de área restante por el valor del mercado del m2 de construcción.</t>
  </si>
  <si>
    <t>La celda resaltada suma el precio total del 10% de vivienda VIP con el precio total de mercado del 90% restante. La presente suma permite tener el precio total de todos los m2 vendibles del proyecto.</t>
  </si>
  <si>
    <t>La celda resaltada divide el precio total de todos los m2 vendibles del proyecto, para el área total vendible. El objetivo del cálculo es tener el promedio del costo por m2 de todo el edificio, entre área VIP y Residencia comercial.</t>
  </si>
  <si>
    <r>
      <t xml:space="preserve">ANALISIS DE  INCIDENCIA DEL COBRO DE COD </t>
    </r>
    <r>
      <rPr>
        <b/>
        <sz val="16"/>
        <color theme="1"/>
        <rFont val="Calibri"/>
        <family val="2"/>
        <scheme val="minor"/>
      </rPr>
      <t xml:space="preserve">POR INCREMENTO DE PISOS POR SUELO CREADO (Exoneración b + Incentivo a = COD 0% + 10% VIVIENDA VIP + 50% AREAS COMUNALES - AIVA 2210) </t>
    </r>
  </si>
  <si>
    <t>Porcentaje Utilidad - EXONERACION B + INCENTIVO A</t>
  </si>
  <si>
    <t>PLUSVALIA.COM</t>
  </si>
  <si>
    <t>COSTO M2 TERRENO - DATO PLUSVALIA.COM</t>
  </si>
  <si>
    <t>COSTO TOTAL TERRENO - DATO PLUSVALIA.COM</t>
  </si>
  <si>
    <t>Costo del terreno por m2, dato tomado por la fuente www.plusvalia.com.</t>
  </si>
  <si>
    <t>Costo total del terreno, dato tomado por la fuente www.plusvalia.com.</t>
  </si>
  <si>
    <t>ANALISIS DE  INCIDENCIA DEL COBRO DE COD POR INCREMENTO DE PISOS POR SUELO CREADO       (CASO 2 - COD 50%  - AIVA 480 )</t>
  </si>
  <si>
    <t>ANALISIS DE  INCIDENCIA DEL COBRO DE COD POR INCREMENTO DE PISOS POR SUELO CREADO (CASO 2 - COD 0% + 10% VIVIENDA VIP - AIVA 480 )</t>
  </si>
  <si>
    <t>ANALISIS DE  INCIDENCIA DEL COBRO DE COD POR INCREMENTO DE EDIFICABILIDAD (CASO 3 - AIVA 240)</t>
  </si>
  <si>
    <t>Costos Indirectos ($/m2)</t>
  </si>
  <si>
    <t>($/m2)</t>
  </si>
  <si>
    <t>Costo construcción $/ m2</t>
  </si>
  <si>
    <t xml:space="preserve">Incidencia del terreno en área vendible </t>
  </si>
  <si>
    <t>Costos Indirectos Total (CI)</t>
  </si>
  <si>
    <t>Costos Indirectos Total / Área bruta cubierta</t>
  </si>
  <si>
    <t>TOTAL PRECIO VENTAS  X 5%</t>
  </si>
  <si>
    <t>ANALISIS DE  INCIDENCIA DEL COBRO DE COD POR INCREMENTO DE PISOS POR SUELO CREADO                 CASO AIVA $2210 EL M2</t>
  </si>
  <si>
    <t>ANALISIS DE  INCIDENCIA DEL COBRO DE COD POR INCREMENTO DE PISOS POR SUELO CREADO (INCENTIVO A - MITAD AREAS COMUNALES RECREATIVAS)</t>
  </si>
  <si>
    <t>ANALISIS DE  INCIDENCIA DEL COBRO DE COD POR INCREMENTO DE PISO POR SUELO CREADO (INCENTIVO A - MITAD AREAS COMUNALES RECREATIVAS - AIVA 2210)</t>
  </si>
  <si>
    <t>ANALISIS DE  INCIDENCIA DEL COBRO DE COD POR INCREMENTO DE PISOS POR SUELO CREADO          (Caso 1 - AIVA 580 )</t>
  </si>
  <si>
    <t>ANALISIS DE  INCIDENCIA DEL COBRO DE COD POR INCREMENTO DE PISOS POR SUELO CREADO             (CASO 1 - MITAD AREAS COMUNALES RECREATIVAS - AIVA 580 )</t>
  </si>
  <si>
    <t>ANALISIS DE  INCIDENCIA DEL COBRO DE COD POR INCREMENTO DE EDIFICABILIDAD (CASO 2 - AIVA 480)</t>
  </si>
  <si>
    <t>ANALISIS DE  INCIDENCIA DEL COBRO DE COD POR INCREMENTO DE PISOS POR SUELO CREADO (CASO 2 - MITAD AREAS COMUNALES RECREATIVAS - AIVA 480 )</t>
  </si>
  <si>
    <t>ANALISIS DE  INCIDENCIA DEL COBRO POR INCREMENTO DE PISOS POR SUELO CREADO                              ( CASO 3 - MITAD AREAS COMUNALES RECREATIVAS - AIVA 240 )</t>
  </si>
  <si>
    <t>ANALISIS DE  INCIDENCIA DEL COBRO DE COD POR INCREMENTO DE PISOS POR SUELO CREADO     (CASO 1 -COD 50% - AIVA 580 )</t>
  </si>
  <si>
    <t>ANALISIS DE  INCIDENCIA DEL COBRO DE COD POR INCREMENTO DE PISOS POR SUELO CREADO                                      ( CASO 3 - COD 50% - AIVA 240 )</t>
  </si>
  <si>
    <t>ANALISIS DE  INCIDENCIA DEL COBRO POR INCREMENTO DE PISOS POR SUELO CREADO                                            (CASO 1 - COD 0% + 10% VIVIENDA VIP - AIVA 580 )</t>
  </si>
  <si>
    <r>
      <t>ANALISIS DE  INCIDENCIA DEL COBRO POR INCREMENTO DE PISOS POR SUELO CREADO                                                   ( CASO 3 - COD 0% + 10</t>
    </r>
    <r>
      <rPr>
        <b/>
        <strike/>
        <sz val="16"/>
        <color theme="1"/>
        <rFont val="Calibri"/>
        <family val="2"/>
        <scheme val="minor"/>
      </rPr>
      <t xml:space="preserve"> VIP</t>
    </r>
    <r>
      <rPr>
        <b/>
        <sz val="16"/>
        <color theme="1"/>
        <rFont val="Calibri"/>
        <scheme val="minor"/>
      </rPr>
      <t xml:space="preserve"> - AIVA 240 )</t>
    </r>
  </si>
  <si>
    <t>90% comercial + 10 VIP</t>
  </si>
  <si>
    <t>Diferencia de ingreso</t>
  </si>
  <si>
    <t>Ingreso comercial total</t>
  </si>
  <si>
    <t>Ingreso Comercial 90%</t>
  </si>
  <si>
    <t>Ingreso 10% VIP</t>
  </si>
  <si>
    <t xml:space="preserve">Perdida </t>
  </si>
  <si>
    <t>Perdida/Ganancia</t>
  </si>
  <si>
    <t>Diferencia adicional  por m2 no VIP</t>
  </si>
  <si>
    <t>Impacto de COD por m2 vendible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</si>
</sst>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Red]&quot;$&quot;\-#,##0.00"/>
    <numFmt numFmtId="44" formatCode="_ &quot;$&quot;* #,##0.00_ ;_ &quot;$&quot;* \-#,##0.00_ ;_ &quot;$&quot;* &quot;-&quot;??_ ;_ @_ "/>
    <numFmt numFmtId="43" formatCode="_ * #,##0.00_ ;_ * \-#,##0.00_ ;_ * &quot;-&quot;??_ ;_ @_ "/>
    <numFmt numFmtId="164" formatCode="_(&quot;$&quot;\ * #,##0.00_);_(&quot;$&quot;\ * \(#,##0.00\);_(&quot;$&quot;\ * &quot;-&quot;??_);_(@_)"/>
    <numFmt numFmtId="165" formatCode="_(* #,##0.00_);_(* \(#,##0.00\);_(* &quot;-&quot;??_);_(@_)"/>
    <numFmt numFmtId="166" formatCode="_-&quot;$&quot;* #,##0.00_-;\-&quot;$&quot;* #,##0.00_-;_-&quot;$&quot;* &quot;-&quot;??_-;_-@_-"/>
    <numFmt numFmtId="167" formatCode="&quot;$&quot;#,##0.00"/>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color theme="0"/>
      <name val="Calibri"/>
      <family val="2"/>
      <scheme val="minor"/>
    </font>
    <font>
      <b/>
      <sz val="14"/>
      <color theme="1"/>
      <name val="Calibri"/>
      <family val="2"/>
      <scheme val="minor"/>
    </font>
    <font>
      <b/>
      <sz val="12"/>
      <color theme="0"/>
      <name val="Calibri"/>
      <family val="2"/>
      <scheme val="minor"/>
    </font>
    <font>
      <sz val="11"/>
      <color theme="1" tint="4.9989318521683403E-2"/>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sz val="10"/>
      <color rgb="FF000000"/>
      <name val="Calibri"/>
      <family val="2"/>
      <scheme val="minor"/>
    </font>
    <font>
      <sz val="11"/>
      <color rgb="FF000000"/>
      <name val="Calibri"/>
      <family val="2"/>
      <scheme val="minor"/>
    </font>
    <font>
      <sz val="11"/>
      <color indexed="205"/>
      <name val="Calibri"/>
      <family val="2"/>
    </font>
    <font>
      <b/>
      <sz val="16"/>
      <color theme="1"/>
      <name val="Calibri"/>
      <scheme val="minor"/>
    </font>
    <font>
      <sz val="16"/>
      <color theme="1"/>
      <name val="Calibri"/>
      <scheme val="minor"/>
    </font>
    <font>
      <b/>
      <sz val="16"/>
      <color theme="1"/>
      <name val="Calibri"/>
      <family val="2"/>
      <scheme val="minor"/>
    </font>
    <font>
      <sz val="16"/>
      <color theme="1"/>
      <name val="Calibri"/>
      <family val="2"/>
      <scheme val="minor"/>
    </font>
    <font>
      <b/>
      <strike/>
      <sz val="16"/>
      <color theme="1"/>
      <name val="Calibri"/>
      <family val="2"/>
      <scheme val="minor"/>
    </font>
    <font>
      <sz val="11"/>
      <color theme="0"/>
      <name val="Calibri"/>
      <family val="2"/>
      <scheme val="minor"/>
    </font>
    <font>
      <b/>
      <sz val="24"/>
      <color theme="1"/>
      <name val="Calibri"/>
      <family val="2"/>
      <scheme val="minor"/>
    </font>
    <font>
      <b/>
      <sz val="11"/>
      <name val="Calibri"/>
      <family val="2"/>
      <scheme val="minor"/>
    </font>
    <font>
      <sz val="11"/>
      <color theme="1"/>
      <name val="Calibri"/>
      <family val="2"/>
    </font>
    <font>
      <sz val="11"/>
      <color rgb="FF000000"/>
      <name val="Calibri"/>
      <family val="2"/>
    </font>
    <font>
      <b/>
      <sz val="12"/>
      <color rgb="FF000000"/>
      <name val="Calibri"/>
      <family val="2"/>
      <scheme val="minor"/>
    </font>
    <font>
      <b/>
      <sz val="11"/>
      <color indexed="205"/>
      <name val="Calibri"/>
      <family val="2"/>
    </font>
    <font>
      <sz val="8"/>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00B0F0"/>
        <bgColor indexed="64"/>
      </patternFill>
    </fill>
    <fill>
      <patternFill patternType="solid">
        <fgColor rgb="FF7030A0"/>
        <bgColor indexed="64"/>
      </patternFill>
    </fill>
    <fill>
      <patternFill patternType="solid">
        <fgColor theme="7" tint="0.39997558519241921"/>
        <bgColor indexed="64"/>
      </patternFill>
    </fill>
    <fill>
      <patternFill patternType="solid">
        <fgColor rgb="FFFF9933"/>
        <bgColor indexed="64"/>
      </patternFill>
    </fill>
    <fill>
      <patternFill patternType="solid">
        <fgColor rgb="FFCB59AA"/>
        <bgColor indexed="64"/>
      </patternFill>
    </fill>
    <fill>
      <patternFill patternType="solid">
        <fgColor rgb="FF880028"/>
        <bgColor indexed="64"/>
      </patternFill>
    </fill>
    <fill>
      <patternFill patternType="solid">
        <fgColor rgb="FFCD0006"/>
        <bgColor indexed="64"/>
      </patternFill>
    </fill>
    <fill>
      <patternFill patternType="solid">
        <fgColor rgb="FFFC3925"/>
        <bgColor indexed="64"/>
      </patternFill>
    </fill>
    <fill>
      <patternFill patternType="solid">
        <fgColor rgb="FFFD8585"/>
        <bgColor indexed="64"/>
      </patternFill>
    </fill>
    <fill>
      <patternFill patternType="solid">
        <fgColor rgb="FFBD3E9A"/>
        <bgColor indexed="64"/>
      </patternFill>
    </fill>
    <fill>
      <patternFill patternType="solid">
        <fgColor rgb="FFAD2388"/>
        <bgColor indexed="64"/>
      </patternFill>
    </fill>
    <fill>
      <patternFill patternType="solid">
        <fgColor theme="5" tint="0.79998168889431442"/>
        <bgColor indexed="64"/>
      </patternFill>
    </fill>
    <fill>
      <patternFill patternType="solid">
        <fgColor rgb="FFFF0000"/>
        <bgColor indexed="64"/>
      </patternFill>
    </fill>
    <fill>
      <patternFill patternType="solid">
        <fgColor theme="9" tint="-0.249977111117893"/>
        <bgColor indexed="64"/>
      </patternFill>
    </fill>
  </fills>
  <borders count="6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medium">
        <color auto="1"/>
      </top>
      <bottom style="medium">
        <color auto="1"/>
      </bottom>
      <diagonal/>
    </border>
    <border>
      <left/>
      <right/>
      <top style="thin">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style="medium">
        <color auto="1"/>
      </right>
      <top/>
      <bottom style="medium">
        <color auto="1"/>
      </bottom>
      <diagonal/>
    </border>
    <border>
      <left style="medium">
        <color auto="1"/>
      </left>
      <right/>
      <top style="thin">
        <color auto="1"/>
      </top>
      <bottom style="medium">
        <color auto="1"/>
      </bottom>
      <diagonal/>
    </border>
    <border>
      <left style="medium">
        <color auto="1"/>
      </left>
      <right/>
      <top style="medium">
        <color auto="1"/>
      </top>
      <bottom/>
      <diagonal/>
    </border>
    <border>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medium">
        <color auto="1"/>
      </left>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medium">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316">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667">
    <xf numFmtId="0" fontId="0" fillId="0" borderId="0" xfId="0"/>
    <xf numFmtId="0" fontId="0" fillId="0" borderId="0" xfId="0" applyFill="1" applyBorder="1" applyAlignment="1">
      <alignment horizontal="right"/>
    </xf>
    <xf numFmtId="0" fontId="0" fillId="0" borderId="0" xfId="0" applyFill="1" applyBorder="1" applyAlignment="1">
      <alignment horizontal="center"/>
    </xf>
    <xf numFmtId="165" fontId="0" fillId="0" borderId="0" xfId="0" applyNumberFormat="1"/>
    <xf numFmtId="166" fontId="0" fillId="0" borderId="0" xfId="0" applyNumberFormat="1" applyBorder="1"/>
    <xf numFmtId="164" fontId="0" fillId="0" borderId="0" xfId="0" applyNumberFormat="1"/>
    <xf numFmtId="0" fontId="0" fillId="2" borderId="19" xfId="0" applyFill="1" applyBorder="1" applyAlignment="1">
      <alignment horizontal="left"/>
    </xf>
    <xf numFmtId="0" fontId="0" fillId="2" borderId="8" xfId="0" applyFill="1" applyBorder="1" applyAlignment="1">
      <alignment horizontal="left"/>
    </xf>
    <xf numFmtId="0" fontId="0" fillId="2" borderId="10" xfId="0" applyFill="1" applyBorder="1" applyAlignment="1">
      <alignment horizontal="left"/>
    </xf>
    <xf numFmtId="0" fontId="0" fillId="2" borderId="8" xfId="0" applyFill="1" applyBorder="1"/>
    <xf numFmtId="0" fontId="0" fillId="3" borderId="10" xfId="0" applyFill="1" applyBorder="1" applyAlignment="1">
      <alignment horizontal="left"/>
    </xf>
    <xf numFmtId="0" fontId="6" fillId="4" borderId="23" xfId="0" applyFont="1" applyFill="1" applyBorder="1"/>
    <xf numFmtId="0" fontId="2" fillId="5" borderId="0" xfId="0" applyFont="1" applyFill="1" applyAlignment="1">
      <alignment horizontal="left"/>
    </xf>
    <xf numFmtId="0" fontId="0" fillId="5" borderId="0" xfId="0" applyFill="1" applyAlignment="1">
      <alignment horizontal="left"/>
    </xf>
    <xf numFmtId="164" fontId="0" fillId="5" borderId="22" xfId="2" applyFont="1" applyFill="1" applyBorder="1" applyAlignment="1">
      <alignment horizontal="left"/>
    </xf>
    <xf numFmtId="0" fontId="0" fillId="2" borderId="10" xfId="0" applyFill="1" applyBorder="1"/>
    <xf numFmtId="0" fontId="0" fillId="0" borderId="26" xfId="0" applyBorder="1" applyAlignment="1">
      <alignment horizontal="center"/>
    </xf>
    <xf numFmtId="0" fontId="0" fillId="0" borderId="3" xfId="0" applyBorder="1" applyAlignment="1">
      <alignment horizontal="center"/>
    </xf>
    <xf numFmtId="0" fontId="0" fillId="0" borderId="27" xfId="0" applyBorder="1" applyAlignment="1">
      <alignment horizontal="center"/>
    </xf>
    <xf numFmtId="0" fontId="7" fillId="6" borderId="28" xfId="0" applyFont="1" applyFill="1" applyBorder="1" applyAlignment="1">
      <alignment horizontal="center"/>
    </xf>
    <xf numFmtId="165" fontId="0" fillId="0" borderId="29" xfId="1" applyFont="1" applyBorder="1" applyAlignment="1">
      <alignment horizontal="right"/>
    </xf>
    <xf numFmtId="9" fontId="0" fillId="0" borderId="30" xfId="0" applyNumberFormat="1" applyBorder="1" applyAlignment="1">
      <alignment horizontal="right"/>
    </xf>
    <xf numFmtId="165" fontId="0" fillId="0" borderId="30" xfId="1" applyFont="1" applyBorder="1" applyAlignment="1">
      <alignment horizontal="right"/>
    </xf>
    <xf numFmtId="9" fontId="0" fillId="0" borderId="30" xfId="3" applyFont="1" applyBorder="1" applyAlignment="1">
      <alignment horizontal="right"/>
    </xf>
    <xf numFmtId="164" fontId="3" fillId="0" borderId="30" xfId="2" applyFont="1" applyBorder="1" applyAlignment="1">
      <alignment horizontal="right"/>
    </xf>
    <xf numFmtId="0" fontId="0" fillId="0" borderId="3" xfId="0" applyFill="1" applyBorder="1" applyAlignment="1">
      <alignment horizontal="left"/>
    </xf>
    <xf numFmtId="0" fontId="0" fillId="3" borderId="27" xfId="0" applyFill="1" applyBorder="1" applyAlignment="1">
      <alignment horizontal="left"/>
    </xf>
    <xf numFmtId="164" fontId="0" fillId="0" borderId="29" xfId="2" applyFont="1" applyBorder="1" applyAlignment="1">
      <alignment horizontal="left"/>
    </xf>
    <xf numFmtId="164" fontId="0" fillId="3" borderId="28" xfId="2" applyFont="1" applyFill="1" applyBorder="1" applyAlignment="1">
      <alignment horizontal="left"/>
    </xf>
    <xf numFmtId="9" fontId="0" fillId="0" borderId="3" xfId="0" applyNumberFormat="1" applyBorder="1"/>
    <xf numFmtId="0" fontId="0" fillId="3" borderId="27" xfId="0" applyFill="1" applyBorder="1"/>
    <xf numFmtId="164" fontId="0" fillId="0" borderId="29" xfId="2" applyFont="1" applyBorder="1"/>
    <xf numFmtId="164" fontId="0" fillId="0" borderId="30" xfId="2" applyFont="1" applyBorder="1"/>
    <xf numFmtId="164" fontId="0" fillId="3" borderId="28" xfId="2" applyFont="1" applyFill="1" applyBorder="1"/>
    <xf numFmtId="0" fontId="0" fillId="0" borderId="3" xfId="0" applyBorder="1" applyAlignment="1">
      <alignment horizontal="left"/>
    </xf>
    <xf numFmtId="0" fontId="0" fillId="0" borderId="27" xfId="0" applyBorder="1" applyAlignment="1">
      <alignment horizontal="left"/>
    </xf>
    <xf numFmtId="165" fontId="0" fillId="0" borderId="28" xfId="1" applyFont="1" applyBorder="1" applyAlignment="1">
      <alignment horizontal="left"/>
    </xf>
    <xf numFmtId="0" fontId="0" fillId="0" borderId="3" xfId="0" applyBorder="1"/>
    <xf numFmtId="0" fontId="6" fillId="4" borderId="31" xfId="0" applyFont="1" applyFill="1" applyBorder="1"/>
    <xf numFmtId="10" fontId="6" fillId="4" borderId="2" xfId="3" applyNumberFormat="1" applyFont="1" applyFill="1" applyBorder="1"/>
    <xf numFmtId="0" fontId="7" fillId="6" borderId="32" xfId="0" applyFont="1" applyFill="1" applyBorder="1" applyAlignment="1">
      <alignment horizontal="center"/>
    </xf>
    <xf numFmtId="9" fontId="0" fillId="0" borderId="4" xfId="0" applyNumberFormat="1" applyBorder="1" applyAlignment="1">
      <alignment horizontal="right"/>
    </xf>
    <xf numFmtId="165" fontId="0" fillId="0" borderId="4" xfId="1" applyFont="1" applyBorder="1" applyAlignment="1">
      <alignment horizontal="right"/>
    </xf>
    <xf numFmtId="9" fontId="0" fillId="0" borderId="4" xfId="3" applyFont="1" applyBorder="1" applyAlignment="1">
      <alignment horizontal="right"/>
    </xf>
    <xf numFmtId="164" fontId="0" fillId="3" borderId="32" xfId="2" applyFont="1" applyFill="1" applyBorder="1" applyAlignment="1">
      <alignment horizontal="left"/>
    </xf>
    <xf numFmtId="164" fontId="0" fillId="0" borderId="4" xfId="2" applyFont="1" applyBorder="1"/>
    <xf numFmtId="164" fontId="0" fillId="3" borderId="32" xfId="2" applyFont="1" applyFill="1" applyBorder="1"/>
    <xf numFmtId="165" fontId="0" fillId="0" borderId="32" xfId="1" applyFont="1" applyBorder="1" applyAlignment="1">
      <alignment horizontal="left"/>
    </xf>
    <xf numFmtId="164" fontId="0" fillId="5" borderId="0" xfId="2" applyFont="1" applyFill="1" applyBorder="1" applyAlignment="1">
      <alignment horizontal="left"/>
    </xf>
    <xf numFmtId="10" fontId="6" fillId="4" borderId="33" xfId="3" applyNumberFormat="1" applyFont="1" applyFill="1" applyBorder="1"/>
    <xf numFmtId="0" fontId="7" fillId="6" borderId="22" xfId="0" applyFont="1" applyFill="1" applyBorder="1" applyAlignment="1">
      <alignment horizontal="center"/>
    </xf>
    <xf numFmtId="0" fontId="7" fillId="6" borderId="0" xfId="0" applyFont="1" applyFill="1" applyBorder="1" applyAlignment="1">
      <alignment horizontal="center"/>
    </xf>
    <xf numFmtId="0" fontId="2" fillId="0" borderId="8" xfId="0" applyFont="1" applyBorder="1"/>
    <xf numFmtId="0" fontId="2" fillId="0" borderId="10" xfId="0" applyFont="1" applyBorder="1"/>
    <xf numFmtId="164" fontId="3" fillId="3" borderId="28" xfId="2" applyFont="1" applyFill="1" applyBorder="1" applyAlignment="1">
      <alignment horizontal="right"/>
    </xf>
    <xf numFmtId="164" fontId="3" fillId="3" borderId="32" xfId="2" applyFont="1" applyFill="1" applyBorder="1" applyAlignment="1">
      <alignment horizontal="right"/>
    </xf>
    <xf numFmtId="0" fontId="0" fillId="0" borderId="0" xfId="0" applyFill="1"/>
    <xf numFmtId="164" fontId="0" fillId="0" borderId="3" xfId="2" applyFont="1" applyFill="1" applyBorder="1" applyAlignment="1">
      <alignment horizontal="center"/>
    </xf>
    <xf numFmtId="164" fontId="3" fillId="0" borderId="30" xfId="2" applyFont="1" applyFill="1" applyBorder="1" applyAlignment="1">
      <alignment horizontal="right"/>
    </xf>
    <xf numFmtId="9" fontId="0" fillId="0" borderId="0" xfId="3" applyFont="1" applyAlignment="1">
      <alignment horizontal="center" vertical="center"/>
    </xf>
    <xf numFmtId="164" fontId="0" fillId="8" borderId="30" xfId="2" applyFont="1" applyFill="1" applyBorder="1"/>
    <xf numFmtId="164" fontId="0" fillId="8" borderId="4" xfId="2" applyFont="1" applyFill="1" applyBorder="1"/>
    <xf numFmtId="164" fontId="0" fillId="7" borderId="4" xfId="2" applyFont="1" applyFill="1" applyBorder="1" applyAlignment="1">
      <alignment horizontal="left"/>
    </xf>
    <xf numFmtId="0" fontId="8" fillId="8" borderId="27" xfId="0" applyFont="1" applyFill="1" applyBorder="1"/>
    <xf numFmtId="164" fontId="8" fillId="8" borderId="28" xfId="2" applyFont="1" applyFill="1" applyBorder="1"/>
    <xf numFmtId="164" fontId="8" fillId="8" borderId="32" xfId="2" applyFont="1" applyFill="1" applyBorder="1"/>
    <xf numFmtId="0" fontId="0" fillId="8" borderId="3" xfId="0" applyFill="1" applyBorder="1"/>
    <xf numFmtId="0" fontId="0" fillId="8" borderId="27" xfId="0" applyFill="1" applyBorder="1"/>
    <xf numFmtId="164" fontId="0" fillId="8" borderId="28" xfId="2" applyFont="1" applyFill="1" applyBorder="1"/>
    <xf numFmtId="164" fontId="0" fillId="8" borderId="32" xfId="2" applyFont="1" applyFill="1" applyBorder="1"/>
    <xf numFmtId="164" fontId="0" fillId="3" borderId="36" xfId="2" applyFont="1" applyFill="1" applyBorder="1"/>
    <xf numFmtId="164" fontId="8" fillId="3" borderId="28" xfId="2" applyFont="1" applyFill="1" applyBorder="1"/>
    <xf numFmtId="164" fontId="8" fillId="0" borderId="6" xfId="2" applyFont="1" applyBorder="1"/>
    <xf numFmtId="164" fontId="8" fillId="0" borderId="35" xfId="2" applyFont="1" applyBorder="1"/>
    <xf numFmtId="164" fontId="0" fillId="0" borderId="1" xfId="2" applyFont="1" applyBorder="1"/>
    <xf numFmtId="165" fontId="0" fillId="9" borderId="30" xfId="1" applyFont="1" applyFill="1" applyBorder="1" applyAlignment="1">
      <alignment horizontal="right"/>
    </xf>
    <xf numFmtId="9" fontId="0" fillId="0" borderId="30" xfId="3" applyFont="1" applyFill="1" applyBorder="1" applyAlignment="1">
      <alignment horizontal="right"/>
    </xf>
    <xf numFmtId="9" fontId="0" fillId="9" borderId="30" xfId="3" applyFont="1" applyFill="1" applyBorder="1" applyAlignment="1">
      <alignment horizontal="right"/>
    </xf>
    <xf numFmtId="164" fontId="0" fillId="0" borderId="30" xfId="2" applyFont="1" applyFill="1" applyBorder="1"/>
    <xf numFmtId="164" fontId="0" fillId="0" borderId="4" xfId="2" applyFont="1" applyFill="1" applyBorder="1"/>
    <xf numFmtId="164" fontId="0" fillId="0" borderId="35" xfId="2" applyFont="1" applyFill="1" applyBorder="1"/>
    <xf numFmtId="0" fontId="0" fillId="0" borderId="3" xfId="0" applyFill="1" applyBorder="1"/>
    <xf numFmtId="164" fontId="4" fillId="0" borderId="35" xfId="2" applyFont="1" applyBorder="1" applyAlignment="1">
      <alignment horizontal="right"/>
    </xf>
    <xf numFmtId="164" fontId="3" fillId="3" borderId="37" xfId="2" applyFont="1" applyFill="1" applyBorder="1" applyAlignment="1">
      <alignment horizontal="right"/>
    </xf>
    <xf numFmtId="164" fontId="0" fillId="0" borderId="29" xfId="2" applyFont="1" applyFill="1" applyBorder="1"/>
    <xf numFmtId="164" fontId="8" fillId="0" borderId="35" xfId="2" applyFont="1" applyFill="1" applyBorder="1"/>
    <xf numFmtId="164" fontId="0" fillId="0" borderId="28" xfId="2" applyFont="1" applyFill="1" applyBorder="1"/>
    <xf numFmtId="9" fontId="0" fillId="8" borderId="30" xfId="3" applyFont="1" applyFill="1" applyBorder="1" applyAlignment="1">
      <alignment horizontal="right"/>
    </xf>
    <xf numFmtId="164" fontId="0" fillId="8" borderId="3" xfId="2" applyFont="1" applyFill="1" applyBorder="1" applyAlignment="1">
      <alignment horizontal="center"/>
    </xf>
    <xf numFmtId="164" fontId="3" fillId="8" borderId="30" xfId="2" applyFont="1" applyFill="1" applyBorder="1" applyAlignment="1">
      <alignment horizontal="right"/>
    </xf>
    <xf numFmtId="164" fontId="0" fillId="8" borderId="35" xfId="2" applyFont="1" applyFill="1" applyBorder="1"/>
    <xf numFmtId="164" fontId="0" fillId="8" borderId="29" xfId="2" applyFont="1" applyFill="1" applyBorder="1"/>
    <xf numFmtId="0" fontId="0" fillId="8" borderId="3" xfId="0" applyFill="1" applyBorder="1" applyAlignment="1">
      <alignment horizontal="center"/>
    </xf>
    <xf numFmtId="164" fontId="8" fillId="8" borderId="35" xfId="2" applyFont="1" applyFill="1" applyBorder="1"/>
    <xf numFmtId="164" fontId="0" fillId="8" borderId="1" xfId="2" applyFont="1" applyFill="1" applyBorder="1"/>
    <xf numFmtId="164" fontId="8" fillId="8" borderId="30" xfId="2" applyFont="1" applyFill="1" applyBorder="1"/>
    <xf numFmtId="164" fontId="8" fillId="8" borderId="4" xfId="2" applyFont="1" applyFill="1" applyBorder="1" applyAlignment="1">
      <alignment horizontal="right"/>
    </xf>
    <xf numFmtId="164" fontId="8" fillId="8" borderId="30" xfId="2" applyFont="1" applyFill="1" applyBorder="1" applyAlignment="1">
      <alignment horizontal="right"/>
    </xf>
    <xf numFmtId="164" fontId="8" fillId="8" borderId="3" xfId="2" applyFont="1" applyFill="1" applyBorder="1" applyAlignment="1">
      <alignment horizontal="center"/>
    </xf>
    <xf numFmtId="9" fontId="0" fillId="8" borderId="3" xfId="0" applyNumberFormat="1" applyFill="1" applyBorder="1"/>
    <xf numFmtId="164" fontId="8" fillId="8" borderId="6" xfId="2" applyFont="1" applyFill="1" applyBorder="1"/>
    <xf numFmtId="43" fontId="0" fillId="0" borderId="29" xfId="0" applyNumberFormat="1" applyBorder="1"/>
    <xf numFmtId="9" fontId="0" fillId="0" borderId="0" xfId="3" applyFont="1"/>
    <xf numFmtId="0" fontId="9" fillId="4" borderId="23" xfId="0" applyFont="1" applyFill="1" applyBorder="1" applyAlignment="1">
      <alignment horizontal="left"/>
    </xf>
    <xf numFmtId="0" fontId="0" fillId="2" borderId="5" xfId="0" applyFill="1" applyBorder="1" applyAlignment="1">
      <alignment horizontal="left"/>
    </xf>
    <xf numFmtId="0" fontId="0" fillId="2" borderId="45" xfId="0" applyFill="1" applyBorder="1" applyAlignment="1">
      <alignment horizontal="left"/>
    </xf>
    <xf numFmtId="0" fontId="0" fillId="0" borderId="3" xfId="0" applyBorder="1" applyAlignment="1">
      <alignment horizontal="center"/>
    </xf>
    <xf numFmtId="0" fontId="0" fillId="0" borderId="27" xfId="0" applyBorder="1" applyAlignment="1">
      <alignment horizontal="center"/>
    </xf>
    <xf numFmtId="164" fontId="8" fillId="3" borderId="37" xfId="2" applyFont="1" applyFill="1" applyBorder="1"/>
    <xf numFmtId="0" fontId="0" fillId="0" borderId="3" xfId="0" applyBorder="1" applyAlignment="1">
      <alignment horizontal="center"/>
    </xf>
    <xf numFmtId="0" fontId="0" fillId="0" borderId="27" xfId="0" applyBorder="1" applyAlignment="1">
      <alignment horizontal="center"/>
    </xf>
    <xf numFmtId="164" fontId="8" fillId="8" borderId="35" xfId="2" applyFont="1" applyFill="1" applyBorder="1" applyAlignment="1">
      <alignment horizontal="right"/>
    </xf>
    <xf numFmtId="164" fontId="3" fillId="8" borderId="35" xfId="2" applyFont="1" applyFill="1" applyBorder="1" applyAlignment="1">
      <alignment horizontal="right"/>
    </xf>
    <xf numFmtId="164" fontId="3" fillId="0" borderId="35" xfId="2" applyFont="1" applyFill="1" applyBorder="1" applyAlignment="1">
      <alignment horizontal="right"/>
    </xf>
    <xf numFmtId="43" fontId="0" fillId="12" borderId="29" xfId="0" applyNumberFormat="1" applyFill="1" applyBorder="1"/>
    <xf numFmtId="164" fontId="0" fillId="0" borderId="0" xfId="2" applyFont="1"/>
    <xf numFmtId="0" fontId="0" fillId="0" borderId="27" xfId="0" applyBorder="1" applyAlignment="1">
      <alignment horizontal="center"/>
    </xf>
    <xf numFmtId="43" fontId="13" fillId="0" borderId="0" xfId="0" applyNumberFormat="1" applyFont="1" applyBorder="1"/>
    <xf numFmtId="0" fontId="0" fillId="0" borderId="0" xfId="0" applyBorder="1"/>
    <xf numFmtId="164" fontId="4" fillId="0" borderId="30" xfId="2" applyFont="1" applyBorder="1" applyAlignment="1">
      <alignment horizontal="right"/>
    </xf>
    <xf numFmtId="0" fontId="0" fillId="0" borderId="17" xfId="0" applyFill="1" applyBorder="1" applyAlignment="1">
      <alignment horizontal="right"/>
    </xf>
    <xf numFmtId="166" fontId="0" fillId="0" borderId="18" xfId="0" applyNumberFormat="1" applyBorder="1"/>
    <xf numFmtId="0" fontId="2" fillId="5" borderId="17" xfId="0" applyFont="1" applyFill="1" applyBorder="1" applyAlignment="1">
      <alignment horizontal="left"/>
    </xf>
    <xf numFmtId="0" fontId="0" fillId="5" borderId="0" xfId="0" applyFill="1" applyBorder="1" applyAlignment="1">
      <alignment horizontal="left"/>
    </xf>
    <xf numFmtId="164" fontId="0" fillId="3" borderId="37" xfId="2" applyFont="1" applyFill="1" applyBorder="1" applyAlignment="1">
      <alignment horizontal="left"/>
    </xf>
    <xf numFmtId="164" fontId="0" fillId="0" borderId="6" xfId="2" applyFont="1" applyBorder="1"/>
    <xf numFmtId="164" fontId="0" fillId="0" borderId="35" xfId="2" applyFont="1" applyBorder="1"/>
    <xf numFmtId="164" fontId="14" fillId="0" borderId="29" xfId="0" applyNumberFormat="1" applyFont="1" applyBorder="1" applyAlignment="1">
      <alignment horizontal="left"/>
    </xf>
    <xf numFmtId="165" fontId="0" fillId="0" borderId="37" xfId="1" applyFont="1" applyBorder="1" applyAlignment="1">
      <alignment horizontal="left"/>
    </xf>
    <xf numFmtId="43" fontId="0" fillId="12" borderId="29" xfId="0" applyNumberFormat="1" applyFill="1" applyBorder="1" applyAlignment="1">
      <alignment horizontal="center"/>
    </xf>
    <xf numFmtId="0" fontId="0" fillId="0" borderId="0" xfId="0" applyAlignment="1">
      <alignment horizontal="center"/>
    </xf>
    <xf numFmtId="43" fontId="10" fillId="0" borderId="0" xfId="0" applyNumberFormat="1" applyFont="1" applyBorder="1"/>
    <xf numFmtId="43" fontId="10" fillId="13" borderId="29" xfId="0" applyNumberFormat="1" applyFont="1" applyFill="1" applyBorder="1"/>
    <xf numFmtId="43" fontId="10" fillId="0" borderId="28" xfId="0" applyNumberFormat="1" applyFont="1" applyBorder="1"/>
    <xf numFmtId="43" fontId="10" fillId="13" borderId="29" xfId="0" applyNumberFormat="1" applyFont="1" applyFill="1" applyBorder="1" applyAlignment="1">
      <alignment horizontal="center" vertical="center"/>
    </xf>
    <xf numFmtId="43" fontId="10" fillId="0" borderId="28" xfId="0" applyNumberFormat="1" applyFont="1" applyBorder="1" applyAlignment="1">
      <alignment horizontal="center" vertical="center"/>
    </xf>
    <xf numFmtId="43" fontId="10" fillId="13" borderId="42" xfId="0" applyNumberFormat="1" applyFont="1" applyFill="1" applyBorder="1"/>
    <xf numFmtId="0" fontId="0" fillId="0" borderId="3" xfId="0" applyBorder="1" applyAlignment="1">
      <alignment horizontal="center"/>
    </xf>
    <xf numFmtId="0" fontId="0" fillId="0" borderId="27" xfId="0" applyBorder="1" applyAlignment="1">
      <alignment horizontal="center"/>
    </xf>
    <xf numFmtId="43" fontId="0" fillId="0" borderId="0" xfId="0" applyNumberFormat="1" applyBorder="1"/>
    <xf numFmtId="165" fontId="0" fillId="0" borderId="29" xfId="1" applyFont="1" applyBorder="1" applyAlignment="1">
      <alignment horizontal="center" vertical="center"/>
    </xf>
    <xf numFmtId="9" fontId="0" fillId="0" borderId="30" xfId="0" applyNumberFormat="1" applyBorder="1" applyAlignment="1">
      <alignment horizontal="center" vertical="center"/>
    </xf>
    <xf numFmtId="9" fontId="0" fillId="0" borderId="30" xfId="0" applyNumberFormat="1" applyBorder="1" applyAlignment="1">
      <alignment horizontal="center" vertical="center" wrapText="1"/>
    </xf>
    <xf numFmtId="165" fontId="0" fillId="0" borderId="30" xfId="1" applyFont="1" applyBorder="1" applyAlignment="1">
      <alignment horizontal="center" vertical="center" wrapText="1"/>
    </xf>
    <xf numFmtId="0" fontId="0" fillId="0" borderId="26" xfId="0" applyBorder="1" applyAlignment="1">
      <alignment horizontal="center" vertical="center"/>
    </xf>
    <xf numFmtId="0" fontId="0" fillId="0" borderId="3" xfId="0" applyBorder="1" applyAlignment="1">
      <alignment horizontal="center" vertical="center"/>
    </xf>
    <xf numFmtId="164" fontId="0" fillId="8" borderId="3" xfId="2" applyFont="1" applyFill="1" applyBorder="1" applyAlignment="1">
      <alignment horizontal="center" wrapText="1"/>
    </xf>
    <xf numFmtId="9" fontId="0" fillId="0" borderId="3" xfId="0" applyNumberFormat="1" applyBorder="1" applyAlignment="1">
      <alignment horizontal="center" vertical="center" wrapText="1"/>
    </xf>
    <xf numFmtId="164" fontId="3" fillId="3" borderId="28" xfId="2" applyFont="1" applyFill="1" applyBorder="1" applyAlignment="1">
      <alignment horizontal="center" vertical="center" wrapText="1"/>
    </xf>
    <xf numFmtId="9" fontId="0" fillId="0" borderId="30" xfId="3" applyFont="1" applyBorder="1" applyAlignment="1">
      <alignment horizontal="center"/>
    </xf>
    <xf numFmtId="164" fontId="3" fillId="0" borderId="30" xfId="2" applyFont="1" applyBorder="1" applyAlignment="1">
      <alignment horizontal="center"/>
    </xf>
    <xf numFmtId="165" fontId="0" fillId="0" borderId="42" xfId="1" applyFont="1" applyBorder="1" applyAlignment="1">
      <alignment horizontal="center" vertical="center"/>
    </xf>
    <xf numFmtId="9" fontId="0" fillId="0" borderId="41" xfId="0" applyNumberFormat="1" applyBorder="1" applyAlignment="1">
      <alignment horizontal="center" vertical="center" wrapText="1"/>
    </xf>
    <xf numFmtId="165" fontId="0" fillId="0" borderId="41" xfId="1" applyFont="1" applyBorder="1" applyAlignment="1">
      <alignment horizontal="center" vertical="center" wrapText="1"/>
    </xf>
    <xf numFmtId="9" fontId="0" fillId="0" borderId="41" xfId="3" applyFont="1" applyBorder="1" applyAlignment="1">
      <alignment horizontal="center"/>
    </xf>
    <xf numFmtId="164" fontId="3" fillId="3" borderId="40" xfId="2" applyFont="1" applyFill="1" applyBorder="1" applyAlignment="1">
      <alignment horizontal="center" vertical="center" wrapText="1"/>
    </xf>
    <xf numFmtId="164" fontId="0" fillId="8" borderId="30" xfId="2" applyFont="1" applyFill="1" applyBorder="1" applyAlignment="1">
      <alignment horizontal="center" wrapText="1"/>
    </xf>
    <xf numFmtId="0" fontId="0" fillId="0" borderId="30" xfId="0" applyBorder="1" applyAlignment="1">
      <alignment horizontal="center" vertical="center" wrapText="1"/>
    </xf>
    <xf numFmtId="164" fontId="0" fillId="0" borderId="29" xfId="2" applyFont="1" applyBorder="1" applyAlignment="1">
      <alignment horizontal="center" vertical="center" wrapText="1"/>
    </xf>
    <xf numFmtId="164" fontId="0" fillId="3" borderId="28" xfId="2" applyFont="1" applyFill="1" applyBorder="1" applyAlignment="1">
      <alignment horizontal="center"/>
    </xf>
    <xf numFmtId="43" fontId="0" fillId="13" borderId="28" xfId="0" applyNumberFormat="1" applyFill="1" applyBorder="1" applyAlignment="1">
      <alignment horizontal="center" vertical="center" wrapText="1"/>
    </xf>
    <xf numFmtId="164" fontId="0" fillId="0" borderId="29" xfId="2" applyFont="1" applyBorder="1" applyAlignment="1">
      <alignment horizontal="center" vertical="center"/>
    </xf>
    <xf numFmtId="164" fontId="0" fillId="0" borderId="30" xfId="2" applyFont="1" applyBorder="1" applyAlignment="1">
      <alignment horizontal="center" vertical="center"/>
    </xf>
    <xf numFmtId="164" fontId="0" fillId="0" borderId="30" xfId="2" applyFont="1" applyBorder="1" applyAlignment="1">
      <alignment horizontal="center" vertical="center" wrapText="1"/>
    </xf>
    <xf numFmtId="164" fontId="0" fillId="3" borderId="28" xfId="2" applyFont="1" applyFill="1" applyBorder="1" applyAlignment="1">
      <alignment horizontal="center" vertical="center" wrapText="1"/>
    </xf>
    <xf numFmtId="165" fontId="0" fillId="0" borderId="28" xfId="1" applyFont="1" applyBorder="1" applyAlignment="1">
      <alignment horizontal="center" vertical="center"/>
    </xf>
    <xf numFmtId="164" fontId="14" fillId="0" borderId="30" xfId="0" applyNumberFormat="1" applyFont="1" applyBorder="1" applyAlignment="1">
      <alignment horizontal="center" vertical="center" wrapText="1"/>
    </xf>
    <xf numFmtId="164" fontId="0" fillId="5" borderId="30" xfId="2" applyFont="1" applyFill="1" applyBorder="1" applyAlignment="1">
      <alignment horizontal="center" vertical="center" wrapText="1"/>
    </xf>
    <xf numFmtId="10" fontId="6" fillId="4" borderId="2" xfId="3" applyNumberFormat="1" applyFont="1" applyFill="1"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xf>
    <xf numFmtId="43" fontId="0" fillId="0" borderId="29" xfId="0" applyNumberFormat="1" applyBorder="1" applyAlignment="1">
      <alignment horizontal="center"/>
    </xf>
    <xf numFmtId="0" fontId="0" fillId="0" borderId="3" xfId="0" applyFill="1" applyBorder="1" applyAlignment="1">
      <alignment horizontal="center"/>
    </xf>
    <xf numFmtId="0" fontId="0" fillId="3" borderId="27" xfId="0" applyFill="1" applyBorder="1" applyAlignment="1">
      <alignment horizontal="center"/>
    </xf>
    <xf numFmtId="166" fontId="0" fillId="0" borderId="0" xfId="0" applyNumberFormat="1" applyBorder="1" applyAlignment="1">
      <alignment horizontal="center"/>
    </xf>
    <xf numFmtId="9" fontId="0" fillId="0" borderId="3" xfId="0" applyNumberFormat="1" applyBorder="1" applyAlignment="1">
      <alignment horizontal="center"/>
    </xf>
    <xf numFmtId="0" fontId="6" fillId="4" borderId="31" xfId="0" applyFont="1" applyFill="1" applyBorder="1" applyAlignment="1">
      <alignment horizontal="center"/>
    </xf>
    <xf numFmtId="164" fontId="0" fillId="0" borderId="6" xfId="2" applyFont="1" applyBorder="1" applyAlignment="1">
      <alignment horizontal="center" vertical="center"/>
    </xf>
    <xf numFmtId="164" fontId="0" fillId="0" borderId="35" xfId="2" applyFont="1" applyBorder="1" applyAlignment="1">
      <alignment horizontal="center" vertical="center"/>
    </xf>
    <xf numFmtId="164" fontId="0" fillId="0" borderId="35" xfId="2" applyFont="1" applyBorder="1" applyAlignment="1">
      <alignment horizontal="center" vertical="center" wrapText="1"/>
    </xf>
    <xf numFmtId="164" fontId="0" fillId="3" borderId="37" xfId="2" applyFont="1" applyFill="1" applyBorder="1" applyAlignment="1">
      <alignment horizontal="center" vertical="center" wrapText="1"/>
    </xf>
    <xf numFmtId="0" fontId="8" fillId="8" borderId="48" xfId="0" applyFont="1" applyFill="1" applyBorder="1" applyAlignment="1">
      <alignment horizontal="center"/>
    </xf>
    <xf numFmtId="164" fontId="14" fillId="0" borderId="49" xfId="0" applyNumberFormat="1" applyFont="1" applyBorder="1" applyAlignment="1">
      <alignment horizontal="center" vertical="center" wrapText="1"/>
    </xf>
    <xf numFmtId="0" fontId="2" fillId="5" borderId="43" xfId="0" applyFont="1" applyFill="1" applyBorder="1" applyAlignment="1">
      <alignment horizontal="center" vertical="center"/>
    </xf>
    <xf numFmtId="0" fontId="0" fillId="5" borderId="33" xfId="0" applyFill="1" applyBorder="1" applyAlignment="1">
      <alignment horizontal="center"/>
    </xf>
    <xf numFmtId="164" fontId="0" fillId="8" borderId="30" xfId="2" applyFont="1" applyFill="1" applyBorder="1" applyAlignment="1">
      <alignment horizontal="center" vertical="center" wrapText="1"/>
    </xf>
    <xf numFmtId="9" fontId="0" fillId="8" borderId="30" xfId="0" applyNumberFormat="1" applyFill="1" applyBorder="1" applyAlignment="1">
      <alignment horizontal="center" vertical="center"/>
    </xf>
    <xf numFmtId="9" fontId="0" fillId="8" borderId="30" xfId="0" applyNumberFormat="1" applyFill="1" applyBorder="1" applyAlignment="1">
      <alignment horizontal="center" vertical="center" wrapText="1"/>
    </xf>
    <xf numFmtId="9" fontId="0" fillId="8" borderId="41" xfId="0" applyNumberFormat="1" applyFill="1" applyBorder="1" applyAlignment="1">
      <alignment horizontal="center" vertical="center" wrapText="1"/>
    </xf>
    <xf numFmtId="165" fontId="0" fillId="8" borderId="30" xfId="1" applyFont="1" applyFill="1" applyBorder="1" applyAlignment="1">
      <alignment horizontal="center" vertical="center" wrapText="1"/>
    </xf>
    <xf numFmtId="165" fontId="0" fillId="8" borderId="41" xfId="1" applyFont="1" applyFill="1" applyBorder="1" applyAlignment="1">
      <alignment horizontal="center" vertical="center" wrapText="1"/>
    </xf>
    <xf numFmtId="9" fontId="0" fillId="8" borderId="30" xfId="3" applyFont="1" applyFill="1" applyBorder="1" applyAlignment="1">
      <alignment horizontal="center"/>
    </xf>
    <xf numFmtId="9" fontId="0" fillId="8" borderId="41" xfId="3" applyFont="1" applyFill="1" applyBorder="1" applyAlignment="1">
      <alignment horizontal="center"/>
    </xf>
    <xf numFmtId="164" fontId="0" fillId="8" borderId="29" xfId="2" applyFont="1" applyFill="1" applyBorder="1" applyAlignment="1">
      <alignment horizontal="center" vertical="center" wrapText="1"/>
    </xf>
    <xf numFmtId="164" fontId="0" fillId="8" borderId="29" xfId="2" applyFont="1" applyFill="1" applyBorder="1" applyAlignment="1">
      <alignment horizontal="center" vertical="center"/>
    </xf>
    <xf numFmtId="165" fontId="0" fillId="0" borderId="28" xfId="1" applyFont="1" applyBorder="1" applyAlignment="1">
      <alignment horizontal="center" vertical="center" wrapText="1"/>
    </xf>
    <xf numFmtId="0" fontId="17" fillId="0" borderId="0" xfId="0" applyFont="1" applyAlignment="1">
      <alignment vertical="center"/>
    </xf>
    <xf numFmtId="164" fontId="0" fillId="0" borderId="29" xfId="2" applyFont="1" applyFill="1" applyBorder="1" applyAlignment="1">
      <alignment horizontal="left"/>
    </xf>
    <xf numFmtId="164" fontId="0" fillId="8" borderId="29" xfId="2" applyFont="1" applyFill="1" applyBorder="1" applyAlignment="1">
      <alignment horizontal="left"/>
    </xf>
    <xf numFmtId="0" fontId="0" fillId="8" borderId="0" xfId="0" applyFill="1" applyBorder="1"/>
    <xf numFmtId="9" fontId="0" fillId="8" borderId="0" xfId="3" applyFont="1" applyFill="1" applyBorder="1" applyAlignment="1">
      <alignment horizontal="center" vertical="center"/>
    </xf>
    <xf numFmtId="164" fontId="0" fillId="8" borderId="0" xfId="0" applyNumberFormat="1" applyFill="1" applyBorder="1"/>
    <xf numFmtId="0" fontId="17" fillId="8" borderId="0" xfId="0" applyFont="1" applyFill="1" applyAlignment="1">
      <alignment vertical="center"/>
    </xf>
    <xf numFmtId="0" fontId="0" fillId="8" borderId="0" xfId="0" applyFill="1"/>
    <xf numFmtId="165" fontId="0" fillId="8" borderId="0" xfId="0" applyNumberFormat="1" applyFill="1"/>
    <xf numFmtId="164" fontId="0" fillId="8" borderId="41" xfId="2" applyFont="1" applyFill="1" applyBorder="1" applyAlignment="1">
      <alignment horizontal="center" wrapText="1"/>
    </xf>
    <xf numFmtId="0" fontId="0" fillId="0" borderId="41" xfId="0" applyBorder="1" applyAlignment="1">
      <alignment horizontal="center" vertical="center" wrapText="1"/>
    </xf>
    <xf numFmtId="0" fontId="2" fillId="5" borderId="17" xfId="0" applyFont="1" applyFill="1" applyBorder="1" applyAlignment="1">
      <alignment horizontal="center" vertical="center"/>
    </xf>
    <xf numFmtId="9" fontId="0" fillId="8" borderId="0" xfId="3" applyFont="1" applyFill="1" applyAlignment="1">
      <alignment horizontal="center" vertical="center"/>
    </xf>
    <xf numFmtId="164" fontId="0" fillId="8" borderId="0" xfId="0" applyNumberFormat="1" applyFill="1"/>
    <xf numFmtId="0" fontId="0" fillId="0" borderId="3" xfId="0" applyBorder="1" applyAlignment="1">
      <alignment horizontal="center"/>
    </xf>
    <xf numFmtId="0" fontId="0" fillId="0" borderId="27" xfId="0" applyBorder="1" applyAlignment="1">
      <alignment horizontal="center"/>
    </xf>
    <xf numFmtId="164" fontId="0" fillId="3" borderId="28" xfId="2" applyFont="1" applyFill="1" applyBorder="1" applyAlignment="1">
      <alignment horizontal="center" wrapText="1"/>
    </xf>
    <xf numFmtId="164" fontId="0" fillId="3" borderId="28" xfId="2" applyFont="1" applyFill="1" applyBorder="1" applyAlignment="1">
      <alignment horizontal="center" vertical="center"/>
    </xf>
    <xf numFmtId="0" fontId="0" fillId="8" borderId="0" xfId="0" applyFill="1" applyAlignment="1">
      <alignment horizontal="center"/>
    </xf>
    <xf numFmtId="164" fontId="0" fillId="8" borderId="0" xfId="0" applyNumberFormat="1" applyFill="1" applyAlignment="1">
      <alignment horizontal="center"/>
    </xf>
    <xf numFmtId="0" fontId="16" fillId="8" borderId="0" xfId="0" applyFont="1" applyFill="1" applyBorder="1" applyAlignment="1">
      <alignment horizontal="center" vertical="center"/>
    </xf>
    <xf numFmtId="165" fontId="0" fillId="8" borderId="0" xfId="0" applyNumberFormat="1" applyFill="1" applyAlignment="1">
      <alignment horizontal="center"/>
    </xf>
    <xf numFmtId="0" fontId="9" fillId="2" borderId="19"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8" xfId="0" applyFont="1" applyFill="1" applyBorder="1" applyAlignment="1">
      <alignment horizontal="center"/>
    </xf>
    <xf numFmtId="0" fontId="9" fillId="2" borderId="10" xfId="0" applyFont="1" applyFill="1" applyBorder="1" applyAlignment="1">
      <alignment horizontal="center"/>
    </xf>
    <xf numFmtId="0" fontId="9" fillId="2" borderId="8" xfId="0" applyFont="1" applyFill="1" applyBorder="1" applyAlignment="1">
      <alignment horizontal="left" vertical="center" wrapText="1"/>
    </xf>
    <xf numFmtId="0" fontId="9" fillId="2" borderId="10" xfId="0" applyFont="1" applyFill="1" applyBorder="1" applyAlignment="1">
      <alignment horizontal="center" vertical="center"/>
    </xf>
    <xf numFmtId="0" fontId="9" fillId="3" borderId="10" xfId="0" applyFont="1" applyFill="1" applyBorder="1" applyAlignment="1">
      <alignment horizontal="center" vertical="center"/>
    </xf>
    <xf numFmtId="0" fontId="9" fillId="2" borderId="47" xfId="0" applyFont="1" applyFill="1" applyBorder="1" applyAlignment="1">
      <alignment horizontal="center" vertical="center"/>
    </xf>
    <xf numFmtId="0" fontId="9" fillId="5" borderId="43" xfId="0" applyFont="1" applyFill="1" applyBorder="1" applyAlignment="1">
      <alignment horizontal="center" vertical="center"/>
    </xf>
    <xf numFmtId="164" fontId="0" fillId="8" borderId="0" xfId="2" applyFont="1" applyFill="1" applyBorder="1" applyAlignment="1">
      <alignment horizontal="left"/>
    </xf>
    <xf numFmtId="166" fontId="0" fillId="8" borderId="0" xfId="0" applyNumberFormat="1" applyFill="1" applyBorder="1"/>
    <xf numFmtId="0" fontId="5" fillId="8" borderId="0" xfId="0" applyFont="1" applyFill="1" applyBorder="1" applyAlignment="1">
      <alignment horizontal="center"/>
    </xf>
    <xf numFmtId="2" fontId="0" fillId="8" borderId="0" xfId="3" applyNumberFormat="1" applyFont="1" applyFill="1" applyBorder="1"/>
    <xf numFmtId="9" fontId="0" fillId="8" borderId="0" xfId="3" applyFont="1" applyFill="1" applyBorder="1"/>
    <xf numFmtId="164" fontId="0" fillId="8" borderId="0" xfId="2" applyFont="1" applyFill="1" applyBorder="1"/>
    <xf numFmtId="164" fontId="2" fillId="8" borderId="0" xfId="2" applyFont="1" applyFill="1" applyBorder="1" applyAlignment="1">
      <alignment horizontal="left"/>
    </xf>
    <xf numFmtId="165" fontId="0" fillId="8" borderId="0" xfId="1" applyFont="1" applyFill="1" applyBorder="1" applyAlignment="1">
      <alignment horizontal="left"/>
    </xf>
    <xf numFmtId="10" fontId="6" fillId="8" borderId="0" xfId="3" applyNumberFormat="1" applyFont="1" applyFill="1" applyBorder="1"/>
    <xf numFmtId="0" fontId="0" fillId="8" borderId="0" xfId="0" applyFill="1" applyBorder="1" applyAlignment="1">
      <alignment horizontal="center"/>
    </xf>
    <xf numFmtId="0" fontId="7" fillId="8" borderId="0" xfId="0" applyFont="1" applyFill="1" applyBorder="1" applyAlignment="1">
      <alignment horizontal="center"/>
    </xf>
    <xf numFmtId="43" fontId="13" fillId="13" borderId="0" xfId="0" applyNumberFormat="1" applyFont="1" applyFill="1" applyBorder="1"/>
    <xf numFmtId="43" fontId="0" fillId="13" borderId="0" xfId="0" applyNumberFormat="1" applyFill="1" applyBorder="1"/>
    <xf numFmtId="9" fontId="0" fillId="0" borderId="4" xfId="3" applyFont="1" applyFill="1" applyBorder="1" applyAlignment="1">
      <alignment horizontal="right"/>
    </xf>
    <xf numFmtId="0" fontId="6" fillId="8" borderId="0" xfId="0" applyFont="1" applyFill="1" applyBorder="1" applyAlignment="1">
      <alignment horizontal="center"/>
    </xf>
    <xf numFmtId="0" fontId="0" fillId="0" borderId="3" xfId="0" applyBorder="1" applyAlignment="1">
      <alignment horizontal="center"/>
    </xf>
    <xf numFmtId="0" fontId="0" fillId="0" borderId="27" xfId="0" applyBorder="1" applyAlignment="1">
      <alignment horizontal="center"/>
    </xf>
    <xf numFmtId="0" fontId="2" fillId="2" borderId="8" xfId="0" applyFont="1" applyFill="1" applyBorder="1" applyAlignment="1">
      <alignment horizontal="center" wrapText="1"/>
    </xf>
    <xf numFmtId="0" fontId="9" fillId="2" borderId="8" xfId="0" applyFont="1" applyFill="1" applyBorder="1" applyAlignment="1">
      <alignment horizontal="center" wrapText="1"/>
    </xf>
    <xf numFmtId="0" fontId="9" fillId="2" borderId="1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wrapText="1"/>
    </xf>
    <xf numFmtId="0" fontId="2" fillId="2"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2" borderId="10" xfId="0" applyFont="1" applyFill="1" applyBorder="1" applyAlignment="1">
      <alignment horizontal="center" wrapText="1"/>
    </xf>
    <xf numFmtId="0" fontId="9" fillId="0" borderId="26"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xf>
    <xf numFmtId="164" fontId="2" fillId="8" borderId="3" xfId="2" applyFont="1" applyFill="1" applyBorder="1" applyAlignment="1">
      <alignment horizontal="center" vertical="center" wrapText="1"/>
    </xf>
    <xf numFmtId="9" fontId="2" fillId="0" borderId="3" xfId="0" applyNumberFormat="1" applyFont="1" applyBorder="1" applyAlignment="1">
      <alignment horizontal="center" vertical="center" wrapText="1"/>
    </xf>
    <xf numFmtId="0" fontId="9" fillId="0" borderId="27" xfId="0" applyFont="1" applyBorder="1" applyAlignment="1">
      <alignment horizontal="center" vertical="center"/>
    </xf>
    <xf numFmtId="9" fontId="2" fillId="0" borderId="3" xfId="0" applyNumberFormat="1" applyFont="1" applyBorder="1" applyAlignment="1">
      <alignment horizontal="center"/>
    </xf>
    <xf numFmtId="0" fontId="9" fillId="0" borderId="2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wrapText="1"/>
    </xf>
    <xf numFmtId="0" fontId="9" fillId="2" borderId="10" xfId="0" applyFont="1" applyFill="1" applyBorder="1" applyAlignment="1">
      <alignment horizontal="center" vertical="center" wrapText="1"/>
    </xf>
    <xf numFmtId="0" fontId="9" fillId="0" borderId="27" xfId="0" applyFont="1" applyBorder="1" applyAlignment="1">
      <alignment horizontal="center" vertical="center" wrapText="1"/>
    </xf>
    <xf numFmtId="0" fontId="2" fillId="3" borderId="10" xfId="0" applyFont="1" applyFill="1" applyBorder="1" applyAlignment="1">
      <alignment horizontal="center" wrapText="1"/>
    </xf>
    <xf numFmtId="0" fontId="2" fillId="2" borderId="47" xfId="0" applyFont="1" applyFill="1"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165" fontId="0" fillId="8" borderId="0" xfId="0" applyNumberFormat="1" applyFill="1" applyBorder="1"/>
    <xf numFmtId="0" fontId="2" fillId="8" borderId="0" xfId="0" applyFont="1" applyFill="1" applyBorder="1"/>
    <xf numFmtId="9" fontId="2" fillId="8" borderId="0" xfId="3" applyFont="1" applyFill="1" applyBorder="1" applyAlignment="1">
      <alignment horizontal="center" vertical="center"/>
    </xf>
    <xf numFmtId="164" fontId="2" fillId="8" borderId="0" xfId="0" applyNumberFormat="1" applyFont="1" applyFill="1" applyBorder="1"/>
    <xf numFmtId="0" fontId="16" fillId="8" borderId="0" xfId="0" applyFont="1" applyFill="1" applyBorder="1" applyAlignment="1">
      <alignment horizontal="center" vertical="center" wrapText="1"/>
    </xf>
    <xf numFmtId="0" fontId="0" fillId="0" borderId="4" xfId="0" applyBorder="1" applyAlignment="1">
      <alignment horizontal="center"/>
    </xf>
    <xf numFmtId="0" fontId="17" fillId="0" borderId="18" xfId="0" applyFont="1" applyBorder="1" applyAlignment="1">
      <alignment vertical="center"/>
    </xf>
    <xf numFmtId="0" fontId="22" fillId="0" borderId="0" xfId="0" applyFont="1" applyAlignment="1">
      <alignment vertical="center"/>
    </xf>
    <xf numFmtId="43" fontId="10" fillId="13" borderId="0" xfId="0" applyNumberFormat="1" applyFont="1" applyFill="1" applyBorder="1" applyAlignment="1">
      <alignment horizontal="center" vertical="center"/>
    </xf>
    <xf numFmtId="43" fontId="0" fillId="13" borderId="0" xfId="0" applyNumberFormat="1" applyFill="1" applyBorder="1" applyAlignment="1">
      <alignment horizontal="center" vertical="center" wrapText="1"/>
    </xf>
    <xf numFmtId="43" fontId="0" fillId="0" borderId="0" xfId="0" applyNumberFormat="1" applyBorder="1" applyAlignment="1">
      <alignment horizontal="center" wrapText="1"/>
    </xf>
    <xf numFmtId="43" fontId="10" fillId="0" borderId="0" xfId="0" applyNumberFormat="1" applyFont="1" applyBorder="1" applyAlignment="1">
      <alignment horizontal="center" vertical="center"/>
    </xf>
    <xf numFmtId="43" fontId="0" fillId="0" borderId="0" xfId="0" applyNumberFormat="1" applyBorder="1" applyAlignment="1">
      <alignment horizontal="center"/>
    </xf>
    <xf numFmtId="43" fontId="0" fillId="0" borderId="0" xfId="0" applyNumberFormat="1" applyBorder="1" applyAlignment="1">
      <alignment horizontal="center" vertical="center"/>
    </xf>
    <xf numFmtId="43" fontId="13" fillId="0" borderId="0" xfId="0" applyNumberFormat="1" applyFont="1" applyBorder="1" applyAlignment="1">
      <alignment horizontal="center" vertical="center"/>
    </xf>
    <xf numFmtId="164" fontId="0" fillId="3" borderId="36" xfId="2" applyFont="1" applyFill="1" applyBorder="1" applyAlignment="1">
      <alignment horizontal="center" wrapText="1"/>
    </xf>
    <xf numFmtId="164" fontId="9" fillId="14" borderId="2" xfId="2" applyFont="1" applyFill="1" applyBorder="1" applyAlignment="1">
      <alignment horizontal="center" vertical="center" wrapText="1"/>
    </xf>
    <xf numFmtId="43" fontId="13" fillId="8" borderId="0" xfId="0" applyNumberFormat="1" applyFont="1" applyFill="1" applyBorder="1" applyAlignment="1">
      <alignment horizontal="center" vertical="center"/>
    </xf>
    <xf numFmtId="43" fontId="0" fillId="8" borderId="0" xfId="0" applyNumberFormat="1" applyFill="1" applyBorder="1"/>
    <xf numFmtId="43" fontId="10" fillId="8" borderId="0" xfId="0" applyNumberFormat="1" applyFont="1" applyFill="1" applyBorder="1" applyAlignment="1">
      <alignment horizontal="center" vertical="center"/>
    </xf>
    <xf numFmtId="43" fontId="0" fillId="8" borderId="0" xfId="0" applyNumberFormat="1" applyFill="1" applyBorder="1" applyAlignment="1">
      <alignment horizontal="center" vertical="center" wrapText="1"/>
    </xf>
    <xf numFmtId="0" fontId="7" fillId="6" borderId="49" xfId="0" applyFont="1" applyFill="1" applyBorder="1" applyAlignment="1">
      <alignment horizontal="center"/>
    </xf>
    <xf numFmtId="43" fontId="0" fillId="0" borderId="30" xfId="0" applyNumberFormat="1" applyBorder="1" applyAlignment="1">
      <alignment horizontal="center" wrapText="1"/>
    </xf>
    <xf numFmtId="9" fontId="0" fillId="0" borderId="35" xfId="3" applyFont="1" applyBorder="1" applyAlignment="1">
      <alignment horizontal="right"/>
    </xf>
    <xf numFmtId="2" fontId="0" fillId="0" borderId="30" xfId="3" applyNumberFormat="1" applyFont="1" applyBorder="1" applyAlignment="1">
      <alignment horizontal="right"/>
    </xf>
    <xf numFmtId="0" fontId="0" fillId="2" borderId="47" xfId="0" applyFill="1" applyBorder="1" applyAlignment="1">
      <alignment horizontal="left"/>
    </xf>
    <xf numFmtId="0" fontId="0" fillId="0" borderId="48" xfId="0" applyBorder="1" applyAlignment="1">
      <alignment horizontal="center"/>
    </xf>
    <xf numFmtId="9" fontId="0" fillId="0" borderId="49" xfId="0" applyNumberFormat="1" applyBorder="1" applyAlignment="1">
      <alignment horizontal="right"/>
    </xf>
    <xf numFmtId="0" fontId="0" fillId="2" borderId="51" xfId="0" applyFill="1" applyBorder="1" applyAlignment="1">
      <alignment horizontal="left"/>
    </xf>
    <xf numFmtId="0" fontId="0" fillId="0" borderId="52" xfId="0" applyBorder="1" applyAlignment="1">
      <alignment horizontal="center"/>
    </xf>
    <xf numFmtId="165" fontId="0" fillId="0" borderId="46" xfId="1" applyFont="1" applyBorder="1" applyAlignment="1">
      <alignment horizontal="right"/>
    </xf>
    <xf numFmtId="0" fontId="7" fillId="6" borderId="53" xfId="0" applyFont="1" applyFill="1" applyBorder="1" applyAlignment="1">
      <alignment horizontal="center"/>
    </xf>
    <xf numFmtId="165" fontId="0" fillId="0" borderId="6" xfId="1" applyFont="1" applyBorder="1" applyAlignment="1">
      <alignment horizontal="right"/>
    </xf>
    <xf numFmtId="43" fontId="0" fillId="8" borderId="35" xfId="0" applyNumberFormat="1" applyFill="1" applyBorder="1"/>
    <xf numFmtId="9" fontId="0" fillId="0" borderId="54" xfId="0" applyNumberFormat="1" applyBorder="1" applyAlignment="1">
      <alignment horizontal="right"/>
    </xf>
    <xf numFmtId="165" fontId="0" fillId="0" borderId="13" xfId="1" applyFont="1" applyBorder="1" applyAlignment="1">
      <alignment horizontal="right"/>
    </xf>
    <xf numFmtId="0" fontId="0" fillId="12" borderId="26" xfId="0" applyFill="1" applyBorder="1" applyAlignment="1">
      <alignment horizontal="center"/>
    </xf>
    <xf numFmtId="43" fontId="0" fillId="12" borderId="29" xfId="0" applyNumberFormat="1" applyFill="1" applyBorder="1" applyAlignment="1">
      <alignment horizontal="center" vertical="center"/>
    </xf>
    <xf numFmtId="43" fontId="0" fillId="12" borderId="6" xfId="0" applyNumberFormat="1" applyFill="1" applyBorder="1" applyAlignment="1">
      <alignment horizontal="center" vertical="center"/>
    </xf>
    <xf numFmtId="0" fontId="0" fillId="12" borderId="27" xfId="0" applyFill="1" applyBorder="1" applyAlignment="1">
      <alignment horizontal="center"/>
    </xf>
    <xf numFmtId="165" fontId="0" fillId="12" borderId="28" xfId="1" applyFont="1" applyFill="1" applyBorder="1" applyAlignment="1">
      <alignment horizontal="right"/>
    </xf>
    <xf numFmtId="165" fontId="0" fillId="12" borderId="37" xfId="1" applyFont="1" applyFill="1" applyBorder="1" applyAlignment="1">
      <alignment horizontal="right"/>
    </xf>
    <xf numFmtId="0" fontId="0" fillId="14" borderId="2" xfId="0" applyFill="1" applyBorder="1"/>
    <xf numFmtId="164" fontId="0" fillId="3" borderId="25" xfId="2" applyFont="1" applyFill="1" applyBorder="1" applyAlignment="1">
      <alignment horizontal="left"/>
    </xf>
    <xf numFmtId="164" fontId="0" fillId="14" borderId="2" xfId="2" applyFont="1" applyFill="1" applyBorder="1" applyAlignment="1">
      <alignment horizontal="left"/>
    </xf>
    <xf numFmtId="165" fontId="0" fillId="0" borderId="6" xfId="1" applyFont="1" applyBorder="1" applyAlignment="1">
      <alignment horizontal="center" vertical="center"/>
    </xf>
    <xf numFmtId="9" fontId="0" fillId="0" borderId="35" xfId="0" applyNumberFormat="1" applyBorder="1" applyAlignment="1">
      <alignment horizontal="center" vertical="center"/>
    </xf>
    <xf numFmtId="43" fontId="0" fillId="0" borderId="35" xfId="0" applyNumberFormat="1" applyBorder="1" applyAlignment="1">
      <alignment horizontal="center" wrapText="1"/>
    </xf>
    <xf numFmtId="165" fontId="0" fillId="0" borderId="35" xfId="1" applyFont="1" applyBorder="1" applyAlignment="1">
      <alignment horizontal="center" vertical="center" wrapText="1"/>
    </xf>
    <xf numFmtId="9" fontId="0" fillId="0" borderId="35" xfId="3" applyFont="1" applyBorder="1" applyAlignment="1">
      <alignment horizontal="center"/>
    </xf>
    <xf numFmtId="164" fontId="0" fillId="8" borderId="35" xfId="2" applyFont="1" applyFill="1" applyBorder="1" applyAlignment="1">
      <alignment horizontal="center" vertical="center" wrapText="1"/>
    </xf>
    <xf numFmtId="164" fontId="3" fillId="0" borderId="35" xfId="2" applyFont="1" applyBorder="1" applyAlignment="1">
      <alignment horizontal="center"/>
    </xf>
    <xf numFmtId="164" fontId="3" fillId="3" borderId="37" xfId="2" applyFont="1" applyFill="1" applyBorder="1" applyAlignment="1">
      <alignment horizontal="center" vertical="center" wrapText="1"/>
    </xf>
    <xf numFmtId="0" fontId="13" fillId="0" borderId="22" xfId="0" applyFont="1" applyBorder="1" applyAlignment="1">
      <alignment horizontal="center" vertical="center" wrapText="1"/>
    </xf>
    <xf numFmtId="0" fontId="3" fillId="3" borderId="28" xfId="2" applyNumberFormat="1" applyFont="1" applyFill="1" applyBorder="1" applyAlignment="1">
      <alignment horizontal="center" vertical="center" wrapText="1"/>
    </xf>
    <xf numFmtId="0" fontId="7" fillId="16" borderId="8" xfId="0" applyFont="1" applyFill="1" applyBorder="1" applyAlignment="1">
      <alignment horizontal="center" vertical="center"/>
    </xf>
    <xf numFmtId="9" fontId="1" fillId="8" borderId="35" xfId="3" applyFont="1" applyFill="1" applyBorder="1" applyAlignment="1">
      <alignment horizontal="center"/>
    </xf>
    <xf numFmtId="9" fontId="1" fillId="8" borderId="30" xfId="3" applyFont="1" applyFill="1" applyBorder="1" applyAlignment="1">
      <alignment horizontal="center"/>
    </xf>
    <xf numFmtId="0" fontId="21" fillId="16" borderId="2" xfId="0" applyFont="1" applyFill="1" applyBorder="1"/>
    <xf numFmtId="0" fontId="0" fillId="15" borderId="19" xfId="0" applyFill="1" applyBorder="1" applyAlignment="1">
      <alignment horizontal="left"/>
    </xf>
    <xf numFmtId="0" fontId="0" fillId="15" borderId="10" xfId="0" applyFill="1" applyBorder="1" applyAlignment="1">
      <alignment horizontal="left"/>
    </xf>
    <xf numFmtId="0" fontId="0" fillId="15" borderId="2" xfId="0" applyFill="1" applyBorder="1"/>
    <xf numFmtId="0" fontId="9" fillId="15" borderId="8" xfId="0" applyFont="1" applyFill="1" applyBorder="1" applyAlignment="1">
      <alignment horizontal="center" vertical="center"/>
    </xf>
    <xf numFmtId="0" fontId="0" fillId="2" borderId="55" xfId="0" applyFill="1" applyBorder="1" applyAlignment="1">
      <alignment horizontal="left"/>
    </xf>
    <xf numFmtId="0" fontId="21" fillId="16" borderId="2" xfId="0" applyFont="1" applyFill="1" applyBorder="1" applyAlignment="1">
      <alignment horizontal="left"/>
    </xf>
    <xf numFmtId="0" fontId="2" fillId="0" borderId="0" xfId="0" applyFont="1" applyAlignment="1">
      <alignment horizontal="center"/>
    </xf>
    <xf numFmtId="0" fontId="0" fillId="0" borderId="4" xfId="0" applyBorder="1" applyAlignment="1">
      <alignment horizontal="center"/>
    </xf>
    <xf numFmtId="0" fontId="9" fillId="2" borderId="35" xfId="0" applyFont="1" applyFill="1" applyBorder="1" applyAlignment="1">
      <alignment horizontal="center" vertical="center" wrapText="1"/>
    </xf>
    <xf numFmtId="0" fontId="9" fillId="0" borderId="48" xfId="0" applyFont="1" applyBorder="1" applyAlignment="1">
      <alignment horizontal="center"/>
    </xf>
    <xf numFmtId="9" fontId="2" fillId="0" borderId="52" xfId="0" applyNumberFormat="1" applyFont="1" applyBorder="1" applyAlignment="1">
      <alignment horizontal="center" vertical="center" wrapText="1"/>
    </xf>
    <xf numFmtId="164" fontId="3" fillId="0" borderId="46" xfId="2" applyFont="1" applyBorder="1" applyAlignment="1">
      <alignment horizontal="center"/>
    </xf>
    <xf numFmtId="0" fontId="0" fillId="8" borderId="46" xfId="0" applyFill="1" applyBorder="1" applyAlignment="1">
      <alignment horizontal="center" vertical="center" wrapText="1"/>
    </xf>
    <xf numFmtId="43" fontId="0" fillId="8" borderId="28" xfId="0" applyNumberFormat="1" applyFill="1" applyBorder="1"/>
    <xf numFmtId="0" fontId="0" fillId="2" borderId="1" xfId="0" applyFill="1" applyBorder="1" applyAlignment="1">
      <alignment horizontal="left"/>
    </xf>
    <xf numFmtId="0" fontId="9" fillId="2" borderId="1" xfId="0" applyFont="1" applyFill="1" applyBorder="1" applyAlignment="1">
      <alignment horizontal="left" vertical="center" wrapText="1"/>
    </xf>
    <xf numFmtId="0" fontId="7" fillId="6" borderId="50" xfId="0" applyFont="1" applyFill="1" applyBorder="1" applyAlignment="1">
      <alignment horizontal="center"/>
    </xf>
    <xf numFmtId="0" fontId="0" fillId="2" borderId="56" xfId="0" applyFill="1" applyBorder="1" applyAlignment="1">
      <alignment horizontal="left"/>
    </xf>
    <xf numFmtId="9" fontId="0" fillId="0" borderId="53" xfId="0" applyNumberFormat="1" applyBorder="1" applyAlignment="1">
      <alignment horizontal="right"/>
    </xf>
    <xf numFmtId="0" fontId="0" fillId="2" borderId="57" xfId="0" applyFill="1" applyBorder="1" applyAlignment="1">
      <alignment horizontal="left"/>
    </xf>
    <xf numFmtId="43" fontId="0" fillId="12" borderId="7" xfId="0" applyNumberFormat="1" applyFill="1" applyBorder="1"/>
    <xf numFmtId="165" fontId="0" fillId="9" borderId="32" xfId="1" applyFont="1" applyFill="1" applyBorder="1" applyAlignment="1">
      <alignment horizontal="right"/>
    </xf>
    <xf numFmtId="165" fontId="0" fillId="9" borderId="14" xfId="1" applyFont="1" applyFill="1" applyBorder="1" applyAlignment="1">
      <alignment horizontal="right"/>
    </xf>
    <xf numFmtId="9" fontId="0" fillId="9" borderId="4" xfId="3" applyFont="1" applyFill="1" applyBorder="1" applyAlignment="1">
      <alignment horizontal="right"/>
    </xf>
    <xf numFmtId="0" fontId="0" fillId="2" borderId="3" xfId="0" applyFill="1" applyBorder="1" applyAlignment="1">
      <alignment horizontal="left"/>
    </xf>
    <xf numFmtId="9" fontId="0" fillId="0" borderId="49" xfId="3" applyFont="1" applyBorder="1" applyAlignment="1">
      <alignment horizontal="right"/>
    </xf>
    <xf numFmtId="43" fontId="0" fillId="9" borderId="53" xfId="0" applyNumberFormat="1" applyFill="1" applyBorder="1"/>
    <xf numFmtId="0" fontId="0" fillId="8" borderId="52" xfId="0" applyFill="1" applyBorder="1" applyAlignment="1">
      <alignment horizontal="center"/>
    </xf>
    <xf numFmtId="164" fontId="3" fillId="0" borderId="46" xfId="2" applyFont="1" applyBorder="1" applyAlignment="1">
      <alignment horizontal="right"/>
    </xf>
    <xf numFmtId="164" fontId="1" fillId="8" borderId="14" xfId="2" applyFont="1" applyFill="1" applyBorder="1" applyAlignment="1">
      <alignment horizontal="right"/>
    </xf>
    <xf numFmtId="164" fontId="1" fillId="8" borderId="46" xfId="2" applyFont="1" applyFill="1" applyBorder="1" applyAlignment="1">
      <alignment horizontal="right"/>
    </xf>
    <xf numFmtId="164" fontId="3" fillId="18" borderId="2" xfId="2" applyFont="1" applyFill="1" applyBorder="1" applyAlignment="1">
      <alignment horizontal="right"/>
    </xf>
    <xf numFmtId="164" fontId="3" fillId="18" borderId="33" xfId="2" applyFont="1" applyFill="1" applyBorder="1" applyAlignment="1">
      <alignment horizontal="right"/>
    </xf>
    <xf numFmtId="0" fontId="0" fillId="2" borderId="58" xfId="0" applyFill="1" applyBorder="1" applyAlignment="1">
      <alignment horizontal="left"/>
    </xf>
    <xf numFmtId="0" fontId="7" fillId="16" borderId="8" xfId="0" applyFont="1" applyFill="1" applyBorder="1" applyAlignment="1">
      <alignment horizontal="center" vertical="center" wrapText="1"/>
    </xf>
    <xf numFmtId="165" fontId="9" fillId="9" borderId="29" xfId="1" applyFont="1" applyFill="1" applyBorder="1" applyAlignment="1">
      <alignment horizontal="center" vertical="center" wrapText="1"/>
    </xf>
    <xf numFmtId="9" fontId="9" fillId="9" borderId="30" xfId="3" applyFont="1" applyFill="1" applyBorder="1" applyAlignment="1">
      <alignment horizontal="center"/>
    </xf>
    <xf numFmtId="0" fontId="26" fillId="9" borderId="22" xfId="0" applyFont="1" applyFill="1" applyBorder="1" applyAlignment="1">
      <alignment horizontal="center" vertical="center" wrapText="1"/>
    </xf>
    <xf numFmtId="164" fontId="2" fillId="18" borderId="2" xfId="2" applyFont="1" applyFill="1" applyBorder="1" applyAlignment="1">
      <alignment horizontal="center" vertical="center" wrapText="1"/>
    </xf>
    <xf numFmtId="164" fontId="2" fillId="17" borderId="43" xfId="2" applyFont="1" applyFill="1" applyBorder="1" applyAlignment="1">
      <alignment horizontal="center" vertical="center" wrapText="1"/>
    </xf>
    <xf numFmtId="9" fontId="0" fillId="0" borderId="49" xfId="3" applyFont="1" applyBorder="1" applyAlignment="1">
      <alignment horizontal="center"/>
    </xf>
    <xf numFmtId="0" fontId="2" fillId="9" borderId="2" xfId="0" applyFont="1" applyFill="1" applyBorder="1" applyAlignment="1">
      <alignment horizontal="center"/>
    </xf>
    <xf numFmtId="0" fontId="0" fillId="18" borderId="2" xfId="0" applyFill="1" applyBorder="1"/>
    <xf numFmtId="164" fontId="0" fillId="17" borderId="43" xfId="2" applyFont="1" applyFill="1" applyBorder="1" applyAlignment="1">
      <alignment horizontal="center"/>
    </xf>
    <xf numFmtId="0" fontId="0" fillId="17" borderId="2" xfId="0" applyFill="1" applyBorder="1"/>
    <xf numFmtId="0" fontId="5" fillId="16" borderId="2" xfId="0" applyFont="1" applyFill="1" applyBorder="1" applyAlignment="1">
      <alignment horizontal="center"/>
    </xf>
    <xf numFmtId="165" fontId="2" fillId="9" borderId="49" xfId="1" applyFont="1" applyFill="1" applyBorder="1" applyAlignment="1">
      <alignment horizontal="center" vertical="center" wrapText="1"/>
    </xf>
    <xf numFmtId="164" fontId="3" fillId="3" borderId="36" xfId="2" applyFont="1" applyFill="1" applyBorder="1" applyAlignment="1">
      <alignment horizontal="center" vertical="center" wrapText="1"/>
    </xf>
    <xf numFmtId="164" fontId="3" fillId="3" borderId="39" xfId="2"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2" borderId="8" xfId="0" applyFont="1" applyFill="1" applyBorder="1" applyAlignment="1">
      <alignment horizontal="center"/>
    </xf>
    <xf numFmtId="0" fontId="2" fillId="3" borderId="10" xfId="0" applyFont="1" applyFill="1" applyBorder="1" applyAlignment="1">
      <alignment horizontal="center"/>
    </xf>
    <xf numFmtId="0" fontId="2" fillId="3" borderId="27" xfId="0" applyFont="1" applyFill="1" applyBorder="1" applyAlignment="1">
      <alignment horizontal="center"/>
    </xf>
    <xf numFmtId="0" fontId="2" fillId="2" borderId="10" xfId="0" applyFont="1" applyFill="1" applyBorder="1" applyAlignment="1">
      <alignment horizontal="center"/>
    </xf>
    <xf numFmtId="0" fontId="2" fillId="2" borderId="47" xfId="0" applyFont="1" applyFill="1" applyBorder="1" applyAlignment="1">
      <alignment horizontal="center"/>
    </xf>
    <xf numFmtId="164" fontId="3" fillId="3" borderId="25" xfId="2" applyFont="1" applyFill="1" applyBorder="1" applyAlignment="1">
      <alignment horizontal="right"/>
    </xf>
    <xf numFmtId="164" fontId="3" fillId="3" borderId="36" xfId="2" applyFont="1" applyFill="1" applyBorder="1" applyAlignment="1">
      <alignment horizontal="right"/>
    </xf>
    <xf numFmtId="164" fontId="2" fillId="19" borderId="43" xfId="2" applyFont="1" applyFill="1" applyBorder="1" applyAlignment="1">
      <alignment horizontal="right"/>
    </xf>
    <xf numFmtId="164" fontId="2" fillId="19" borderId="2" xfId="2" applyFont="1" applyFill="1" applyBorder="1" applyAlignment="1">
      <alignment horizontal="right"/>
    </xf>
    <xf numFmtId="0" fontId="2" fillId="19" borderId="2" xfId="0" applyFont="1" applyFill="1" applyBorder="1" applyAlignment="1">
      <alignment horizontal="center"/>
    </xf>
    <xf numFmtId="0" fontId="0" fillId="0" borderId="4" xfId="0" applyBorder="1" applyAlignment="1">
      <alignment horizontal="center"/>
    </xf>
    <xf numFmtId="43" fontId="0" fillId="0" borderId="30" xfId="0" applyNumberFormat="1" applyBorder="1" applyAlignment="1">
      <alignment horizontal="center" vertical="center" wrapText="1"/>
    </xf>
    <xf numFmtId="0" fontId="5" fillId="20" borderId="29" xfId="0" applyFont="1" applyFill="1" applyBorder="1" applyAlignment="1">
      <alignment horizontal="center" vertical="center"/>
    </xf>
    <xf numFmtId="0" fontId="5" fillId="21" borderId="29" xfId="0" applyFont="1" applyFill="1" applyBorder="1" applyAlignment="1">
      <alignment horizontal="center" vertical="center"/>
    </xf>
    <xf numFmtId="164" fontId="5" fillId="22" borderId="29" xfId="0" applyNumberFormat="1" applyFont="1" applyFill="1" applyBorder="1" applyAlignment="1">
      <alignment horizontal="center" vertical="center"/>
    </xf>
    <xf numFmtId="0" fontId="2" fillId="23" borderId="50" xfId="0" applyFont="1" applyFill="1" applyBorder="1" applyAlignment="1">
      <alignment horizontal="center" vertical="center"/>
    </xf>
    <xf numFmtId="165" fontId="0" fillId="0" borderId="36" xfId="1" applyFont="1" applyBorder="1" applyAlignment="1">
      <alignment horizontal="center" vertical="center"/>
    </xf>
    <xf numFmtId="164" fontId="2" fillId="23" borderId="2" xfId="2" applyFont="1" applyFill="1" applyBorder="1" applyAlignment="1">
      <alignment horizontal="center" vertical="center" wrapText="1"/>
    </xf>
    <xf numFmtId="0" fontId="0" fillId="0" borderId="7" xfId="0" applyBorder="1" applyAlignment="1">
      <alignment horizontal="center"/>
    </xf>
    <xf numFmtId="0" fontId="0" fillId="2" borderId="29" xfId="0" applyFill="1" applyBorder="1" applyAlignment="1">
      <alignment horizontal="left"/>
    </xf>
    <xf numFmtId="0" fontId="0" fillId="2" borderId="30" xfId="0" applyFill="1" applyBorder="1" applyAlignment="1">
      <alignment horizontal="left"/>
    </xf>
    <xf numFmtId="0" fontId="9" fillId="2" borderId="30" xfId="0" applyFont="1" applyFill="1" applyBorder="1" applyAlignment="1">
      <alignment horizontal="left" vertical="center" wrapText="1"/>
    </xf>
    <xf numFmtId="0" fontId="0" fillId="2" borderId="28" xfId="0" applyFill="1" applyBorder="1" applyAlignment="1">
      <alignment horizontal="left"/>
    </xf>
    <xf numFmtId="164" fontId="2" fillId="8" borderId="48" xfId="2" applyFont="1" applyFill="1" applyBorder="1" applyAlignment="1">
      <alignment horizontal="center" vertical="center" wrapText="1"/>
    </xf>
    <xf numFmtId="0" fontId="9" fillId="0" borderId="59" xfId="0" applyFont="1" applyBorder="1" applyAlignment="1">
      <alignment horizontal="center" vertical="center" wrapText="1"/>
    </xf>
    <xf numFmtId="9" fontId="0" fillId="0" borderId="35" xfId="0" applyNumberFormat="1" applyBorder="1" applyAlignment="1">
      <alignment horizontal="right"/>
    </xf>
    <xf numFmtId="43" fontId="0" fillId="0" borderId="35" xfId="0" applyNumberFormat="1" applyBorder="1" applyAlignment="1">
      <alignment horizontal="center"/>
    </xf>
    <xf numFmtId="165" fontId="0" fillId="0" borderId="35" xfId="1" applyFont="1" applyBorder="1" applyAlignment="1">
      <alignment horizontal="right"/>
    </xf>
    <xf numFmtId="43" fontId="0" fillId="0" borderId="30" xfId="0" applyNumberFormat="1" applyBorder="1"/>
    <xf numFmtId="43" fontId="0" fillId="0" borderId="35" xfId="0" applyNumberFormat="1" applyBorder="1"/>
    <xf numFmtId="165" fontId="0" fillId="8" borderId="35" xfId="1" applyFont="1" applyFill="1" applyBorder="1" applyAlignment="1">
      <alignment horizontal="right"/>
    </xf>
    <xf numFmtId="9" fontId="0" fillId="8" borderId="35" xfId="3" applyFont="1" applyFill="1" applyBorder="1" applyAlignment="1">
      <alignment horizontal="right"/>
    </xf>
    <xf numFmtId="164" fontId="2" fillId="14" borderId="2" xfId="2" applyFont="1" applyFill="1" applyBorder="1" applyAlignment="1">
      <alignment horizontal="left"/>
    </xf>
    <xf numFmtId="164" fontId="21" fillId="0" borderId="35" xfId="2" applyFont="1" applyBorder="1" applyAlignment="1">
      <alignment horizontal="right"/>
    </xf>
    <xf numFmtId="9" fontId="5" fillId="24" borderId="2" xfId="0" applyNumberFormat="1" applyFont="1" applyFill="1" applyBorder="1" applyAlignment="1">
      <alignment horizontal="center" vertical="center" wrapText="1"/>
    </xf>
    <xf numFmtId="164" fontId="21" fillId="0" borderId="30" xfId="2" applyFont="1" applyBorder="1" applyAlignment="1">
      <alignment horizontal="center"/>
    </xf>
    <xf numFmtId="0" fontId="5" fillId="25" borderId="2" xfId="0" applyFont="1" applyFill="1" applyBorder="1" applyAlignment="1">
      <alignment horizontal="center" vertical="center" wrapText="1"/>
    </xf>
    <xf numFmtId="164" fontId="21" fillId="20" borderId="28" xfId="2" applyFont="1" applyFill="1" applyBorder="1" applyAlignment="1">
      <alignment horizontal="center"/>
    </xf>
    <xf numFmtId="165" fontId="21" fillId="20" borderId="28" xfId="0" applyNumberFormat="1" applyFont="1" applyFill="1" applyBorder="1" applyAlignment="1">
      <alignment horizontal="center"/>
    </xf>
    <xf numFmtId="0" fontId="5" fillId="20" borderId="29" xfId="0" applyFont="1" applyFill="1" applyBorder="1" applyAlignment="1">
      <alignment horizontal="center"/>
    </xf>
    <xf numFmtId="0" fontId="5" fillId="21" borderId="30" xfId="0" applyFont="1" applyFill="1" applyBorder="1" applyAlignment="1">
      <alignment horizontal="center"/>
    </xf>
    <xf numFmtId="165" fontId="5" fillId="21" borderId="30" xfId="0" applyNumberFormat="1" applyFont="1" applyFill="1" applyBorder="1" applyAlignment="1">
      <alignment horizontal="center"/>
    </xf>
    <xf numFmtId="164" fontId="5" fillId="21" borderId="28" xfId="2" applyFont="1" applyFill="1" applyBorder="1" applyAlignment="1">
      <alignment horizontal="center"/>
    </xf>
    <xf numFmtId="164" fontId="5" fillId="22" borderId="28" xfId="0" applyNumberFormat="1" applyFont="1" applyFill="1" applyBorder="1" applyAlignment="1">
      <alignment horizontal="center"/>
    </xf>
    <xf numFmtId="164" fontId="2" fillId="23" borderId="28" xfId="2" applyFont="1" applyFill="1" applyBorder="1" applyAlignment="1">
      <alignment horizontal="center"/>
    </xf>
    <xf numFmtId="165" fontId="0" fillId="0" borderId="25" xfId="1" applyFont="1" applyBorder="1" applyAlignment="1">
      <alignment horizontal="left"/>
    </xf>
    <xf numFmtId="165" fontId="0" fillId="0" borderId="36" xfId="1" applyFont="1" applyBorder="1" applyAlignment="1">
      <alignment horizontal="left"/>
    </xf>
    <xf numFmtId="164" fontId="2" fillId="23" borderId="2" xfId="2" applyFont="1" applyFill="1" applyBorder="1" applyAlignment="1">
      <alignment horizontal="left"/>
    </xf>
    <xf numFmtId="164" fontId="3" fillId="0" borderId="54" xfId="2" applyFont="1" applyFill="1" applyBorder="1" applyAlignment="1">
      <alignment horizontal="right"/>
    </xf>
    <xf numFmtId="164" fontId="3" fillId="0" borderId="49" xfId="2" applyFont="1" applyFill="1" applyBorder="1" applyAlignment="1">
      <alignment horizontal="right"/>
    </xf>
    <xf numFmtId="164" fontId="3" fillId="3" borderId="24" xfId="2" applyFont="1" applyFill="1" applyBorder="1" applyAlignment="1">
      <alignment horizontal="right"/>
    </xf>
    <xf numFmtId="164" fontId="21" fillId="25" borderId="43" xfId="2" applyFont="1" applyFill="1" applyBorder="1" applyAlignment="1">
      <alignment horizontal="right"/>
    </xf>
    <xf numFmtId="164" fontId="21" fillId="25" borderId="2" xfId="2" applyFont="1" applyFill="1" applyBorder="1" applyAlignment="1">
      <alignment horizontal="right"/>
    </xf>
    <xf numFmtId="164" fontId="0" fillId="0" borderId="53" xfId="2" applyFont="1" applyFill="1" applyBorder="1" applyAlignment="1">
      <alignment horizontal="center"/>
    </xf>
    <xf numFmtId="0" fontId="0" fillId="0" borderId="25" xfId="0" applyBorder="1" applyAlignment="1">
      <alignment horizontal="center"/>
    </xf>
    <xf numFmtId="0" fontId="21" fillId="25" borderId="2" xfId="0" applyFont="1" applyFill="1" applyBorder="1" applyAlignment="1">
      <alignment horizontal="center"/>
    </xf>
    <xf numFmtId="0" fontId="0" fillId="8" borderId="0" xfId="0" applyFill="1" applyAlignment="1">
      <alignment horizontal="center" vertical="center"/>
    </xf>
    <xf numFmtId="164" fontId="5" fillId="22" borderId="28" xfId="0" applyNumberFormat="1" applyFont="1" applyFill="1" applyBorder="1" applyAlignment="1">
      <alignment horizontal="center" vertical="center" wrapText="1"/>
    </xf>
    <xf numFmtId="8" fontId="0" fillId="0" borderId="0" xfId="0" applyNumberFormat="1"/>
    <xf numFmtId="0" fontId="2" fillId="0" borderId="0" xfId="0" applyFont="1" applyAlignment="1">
      <alignment horizontal="center"/>
    </xf>
    <xf numFmtId="0" fontId="0" fillId="0" borderId="27" xfId="0" applyBorder="1" applyAlignment="1">
      <alignment horizontal="center"/>
    </xf>
    <xf numFmtId="0" fontId="0" fillId="0" borderId="3" xfId="0" applyBorder="1" applyAlignment="1">
      <alignment horizontal="center"/>
    </xf>
    <xf numFmtId="0" fontId="5" fillId="20" borderId="29" xfId="0" applyFont="1" applyFill="1" applyBorder="1" applyAlignment="1">
      <alignment horizontal="center" vertical="center" wrapText="1"/>
    </xf>
    <xf numFmtId="165" fontId="5" fillId="20" borderId="28" xfId="0" applyNumberFormat="1" applyFont="1" applyFill="1" applyBorder="1" applyAlignment="1">
      <alignment horizontal="center" vertical="center" wrapText="1"/>
    </xf>
    <xf numFmtId="164" fontId="5" fillId="20" borderId="28" xfId="2" applyFont="1" applyFill="1" applyBorder="1" applyAlignment="1">
      <alignment horizontal="center" vertical="center" wrapText="1"/>
    </xf>
    <xf numFmtId="9" fontId="0" fillId="0" borderId="0" xfId="3" applyFont="1" applyFill="1" applyAlignment="1">
      <alignment horizontal="center" vertical="center" wrapText="1"/>
    </xf>
    <xf numFmtId="0" fontId="5" fillId="21" borderId="29" xfId="0" applyFont="1" applyFill="1" applyBorder="1" applyAlignment="1">
      <alignment horizontal="center" vertical="center" wrapText="1"/>
    </xf>
    <xf numFmtId="165" fontId="5" fillId="21" borderId="28" xfId="0" applyNumberFormat="1" applyFont="1" applyFill="1" applyBorder="1" applyAlignment="1">
      <alignment horizontal="center" vertical="center" wrapText="1"/>
    </xf>
    <xf numFmtId="164" fontId="5" fillId="21" borderId="28" xfId="2" applyFont="1" applyFill="1" applyBorder="1" applyAlignment="1">
      <alignment horizontal="center" vertical="center" wrapText="1"/>
    </xf>
    <xf numFmtId="0" fontId="0" fillId="0" borderId="0" xfId="0" applyFill="1" applyAlignment="1">
      <alignment horizontal="center" vertical="center" wrapText="1"/>
    </xf>
    <xf numFmtId="164" fontId="5" fillId="22" borderId="29" xfId="0" applyNumberFormat="1" applyFont="1" applyFill="1" applyBorder="1" applyAlignment="1">
      <alignment horizontal="center" vertical="center" wrapText="1"/>
    </xf>
    <xf numFmtId="0" fontId="2" fillId="23" borderId="50" xfId="0" applyFont="1" applyFill="1" applyBorder="1" applyAlignment="1">
      <alignment horizontal="center" vertical="center" wrapText="1"/>
    </xf>
    <xf numFmtId="164" fontId="0" fillId="8" borderId="0" xfId="2" applyFont="1" applyFill="1" applyBorder="1" applyAlignment="1">
      <alignment horizontal="center"/>
    </xf>
    <xf numFmtId="43" fontId="0" fillId="0" borderId="54" xfId="0" applyNumberFormat="1" applyBorder="1"/>
    <xf numFmtId="164" fontId="3" fillId="0" borderId="17" xfId="2" applyFont="1" applyFill="1" applyBorder="1" applyAlignment="1">
      <alignment horizontal="right"/>
    </xf>
    <xf numFmtId="165" fontId="0" fillId="9" borderId="29" xfId="1" applyFont="1" applyFill="1" applyBorder="1" applyAlignment="1">
      <alignment horizontal="right"/>
    </xf>
    <xf numFmtId="43" fontId="0" fillId="9" borderId="28" xfId="0" applyNumberFormat="1" applyFill="1" applyBorder="1"/>
    <xf numFmtId="164" fontId="8" fillId="8" borderId="1" xfId="2" applyFont="1" applyFill="1" applyBorder="1" applyAlignment="1">
      <alignment horizontal="right"/>
    </xf>
    <xf numFmtId="164" fontId="3" fillId="3" borderId="1" xfId="2" applyFont="1" applyFill="1" applyBorder="1" applyAlignment="1">
      <alignment horizontal="right"/>
    </xf>
    <xf numFmtId="43" fontId="0" fillId="8" borderId="30" xfId="0" applyNumberFormat="1" applyFill="1" applyBorder="1"/>
    <xf numFmtId="164" fontId="4" fillId="8" borderId="35" xfId="2" applyFont="1" applyFill="1" applyBorder="1" applyAlignment="1">
      <alignment horizontal="right"/>
    </xf>
    <xf numFmtId="165" fontId="0" fillId="0" borderId="37" xfId="1" applyFont="1" applyBorder="1" applyAlignment="1">
      <alignment horizontal="right"/>
    </xf>
    <xf numFmtId="165" fontId="0" fillId="0" borderId="28" xfId="1" applyFont="1" applyBorder="1" applyAlignment="1">
      <alignment horizontal="right"/>
    </xf>
    <xf numFmtId="164" fontId="0" fillId="14" borderId="4" xfId="2" applyFont="1" applyFill="1" applyBorder="1" applyAlignment="1">
      <alignment horizontal="left"/>
    </xf>
    <xf numFmtId="43" fontId="13" fillId="11" borderId="0" xfId="0" applyNumberFormat="1" applyFont="1" applyFill="1" applyBorder="1" applyAlignment="1">
      <alignment horizontal="center"/>
    </xf>
    <xf numFmtId="43" fontId="0" fillId="10" borderId="0" xfId="0" applyNumberFormat="1" applyFill="1" applyBorder="1"/>
    <xf numFmtId="43" fontId="13" fillId="10" borderId="0" xfId="0" applyNumberFormat="1" applyFont="1" applyFill="1" applyBorder="1" applyAlignment="1">
      <alignment horizontal="center" vertical="center"/>
    </xf>
    <xf numFmtId="43" fontId="13" fillId="13" borderId="0" xfId="0" applyNumberFormat="1" applyFont="1" applyFill="1" applyBorder="1" applyAlignment="1">
      <alignment horizontal="center"/>
    </xf>
    <xf numFmtId="43" fontId="0" fillId="12" borderId="0" xfId="0" applyNumberFormat="1" applyFill="1" applyBorder="1"/>
    <xf numFmtId="43" fontId="13" fillId="12" borderId="0" xfId="0" applyNumberFormat="1" applyFont="1" applyFill="1" applyBorder="1" applyAlignment="1">
      <alignment horizontal="center" vertical="center"/>
    </xf>
    <xf numFmtId="0" fontId="0" fillId="15" borderId="6" xfId="0" applyFill="1" applyBorder="1" applyAlignment="1">
      <alignment horizontal="left"/>
    </xf>
    <xf numFmtId="0" fontId="0" fillId="15" borderId="37" xfId="0" applyFill="1" applyBorder="1" applyAlignment="1">
      <alignment horizontal="left"/>
    </xf>
    <xf numFmtId="165" fontId="0" fillId="8" borderId="46" xfId="1" applyFont="1" applyFill="1" applyBorder="1" applyAlignment="1">
      <alignment horizontal="right"/>
    </xf>
    <xf numFmtId="165" fontId="0" fillId="9" borderId="46" xfId="1" applyFont="1" applyFill="1" applyBorder="1" applyAlignment="1">
      <alignment horizontal="right"/>
    </xf>
    <xf numFmtId="0" fontId="0" fillId="12" borderId="6" xfId="0" applyFill="1" applyBorder="1" applyAlignment="1">
      <alignment horizontal="center"/>
    </xf>
    <xf numFmtId="0" fontId="0" fillId="12" borderId="37" xfId="0" applyFill="1" applyBorder="1" applyAlignment="1">
      <alignment horizontal="center"/>
    </xf>
    <xf numFmtId="165" fontId="0" fillId="9" borderId="28" xfId="1" applyFont="1" applyFill="1" applyBorder="1" applyAlignment="1">
      <alignment horizontal="right"/>
    </xf>
    <xf numFmtId="43" fontId="0" fillId="12" borderId="6" xfId="0" applyNumberFormat="1" applyFill="1" applyBorder="1"/>
    <xf numFmtId="165" fontId="0" fillId="9" borderId="37" xfId="1" applyFont="1" applyFill="1" applyBorder="1" applyAlignment="1">
      <alignment horizontal="right"/>
    </xf>
    <xf numFmtId="165" fontId="0" fillId="9" borderId="13" xfId="1" applyFont="1" applyFill="1" applyBorder="1" applyAlignment="1">
      <alignment horizontal="right"/>
    </xf>
    <xf numFmtId="9" fontId="0" fillId="9" borderId="35" xfId="3" applyFont="1" applyFill="1" applyBorder="1" applyAlignment="1">
      <alignment horizontal="right"/>
    </xf>
    <xf numFmtId="43" fontId="0" fillId="9" borderId="37" xfId="0" applyNumberFormat="1" applyFill="1" applyBorder="1"/>
    <xf numFmtId="164" fontId="0" fillId="17" borderId="2" xfId="2" applyFont="1" applyFill="1" applyBorder="1"/>
    <xf numFmtId="164" fontId="0" fillId="18" borderId="2" xfId="2" applyFont="1" applyFill="1" applyBorder="1"/>
    <xf numFmtId="0" fontId="0" fillId="2" borderId="6" xfId="0" applyFill="1" applyBorder="1" applyAlignment="1">
      <alignment horizontal="left"/>
    </xf>
    <xf numFmtId="0" fontId="0" fillId="2" borderId="37" xfId="0" applyFill="1" applyBorder="1" applyAlignment="1">
      <alignment horizontal="left"/>
    </xf>
    <xf numFmtId="167" fontId="0" fillId="17" borderId="2" xfId="0" applyNumberFormat="1" applyFill="1" applyBorder="1"/>
    <xf numFmtId="167" fontId="0" fillId="18" borderId="2" xfId="0" applyNumberFormat="1" applyFill="1" applyBorder="1"/>
    <xf numFmtId="43" fontId="0" fillId="8" borderId="37" xfId="0" applyNumberFormat="1" applyFill="1" applyBorder="1"/>
    <xf numFmtId="167" fontId="2" fillId="19" borderId="2" xfId="0" applyNumberFormat="1" applyFont="1" applyFill="1" applyBorder="1" applyAlignment="1">
      <alignment horizontal="right"/>
    </xf>
    <xf numFmtId="43" fontId="13" fillId="8" borderId="0" xfId="0" applyNumberFormat="1" applyFont="1" applyFill="1" applyBorder="1" applyAlignment="1">
      <alignment horizontal="center"/>
    </xf>
    <xf numFmtId="164" fontId="5" fillId="20" borderId="29" xfId="2" applyFont="1" applyFill="1" applyBorder="1" applyAlignment="1">
      <alignment horizontal="center" vertical="center"/>
    </xf>
    <xf numFmtId="164" fontId="2" fillId="23" borderId="50" xfId="2" applyFont="1" applyFill="1" applyBorder="1" applyAlignment="1">
      <alignment horizontal="center" vertical="center"/>
    </xf>
    <xf numFmtId="43" fontId="0" fillId="12" borderId="6" xfId="0" applyNumberFormat="1" applyFill="1" applyBorder="1" applyAlignment="1">
      <alignment horizontal="center"/>
    </xf>
    <xf numFmtId="0" fontId="21" fillId="25" borderId="36" xfId="0" applyFont="1" applyFill="1" applyBorder="1" applyAlignment="1">
      <alignment horizontal="center"/>
    </xf>
    <xf numFmtId="164" fontId="3" fillId="0" borderId="35" xfId="2" applyFont="1" applyBorder="1" applyAlignment="1">
      <alignment horizontal="right"/>
    </xf>
    <xf numFmtId="164" fontId="2" fillId="23" borderId="2" xfId="2" applyFont="1" applyFill="1" applyBorder="1" applyAlignment="1">
      <alignment horizontal="center" vertical="center"/>
    </xf>
    <xf numFmtId="165" fontId="0" fillId="8" borderId="13" xfId="1" applyFont="1" applyFill="1" applyBorder="1" applyAlignment="1">
      <alignment horizontal="right"/>
    </xf>
    <xf numFmtId="0" fontId="0" fillId="0" borderId="6" xfId="0" applyBorder="1" applyAlignment="1">
      <alignment horizontal="center"/>
    </xf>
    <xf numFmtId="0" fontId="0" fillId="0" borderId="37" xfId="0" applyBorder="1" applyAlignment="1">
      <alignment horizontal="center"/>
    </xf>
    <xf numFmtId="2" fontId="5" fillId="21" borderId="28" xfId="2" applyNumberFormat="1" applyFont="1" applyFill="1" applyBorder="1" applyAlignment="1">
      <alignment horizontal="center"/>
    </xf>
    <xf numFmtId="2" fontId="5" fillId="20" borderId="29" xfId="0" applyNumberFormat="1" applyFont="1" applyFill="1" applyBorder="1" applyAlignment="1">
      <alignment horizontal="center" vertical="center"/>
    </xf>
    <xf numFmtId="164" fontId="2" fillId="19" borderId="2" xfId="2" applyFont="1" applyFill="1" applyBorder="1" applyAlignment="1">
      <alignment horizontal="center"/>
    </xf>
    <xf numFmtId="165" fontId="0" fillId="0" borderId="49" xfId="1" applyFont="1" applyBorder="1" applyAlignment="1">
      <alignment horizontal="right"/>
    </xf>
    <xf numFmtId="165" fontId="0" fillId="8" borderId="29" xfId="1" applyFont="1" applyFill="1" applyBorder="1" applyAlignment="1">
      <alignment horizontal="right"/>
    </xf>
    <xf numFmtId="9" fontId="0" fillId="0" borderId="35" xfId="3" applyFont="1" applyFill="1" applyBorder="1" applyAlignment="1">
      <alignment horizontal="right"/>
    </xf>
    <xf numFmtId="43" fontId="10" fillId="13" borderId="0" xfId="0" applyNumberFormat="1" applyFont="1" applyFill="1" applyBorder="1"/>
    <xf numFmtId="43" fontId="0" fillId="13" borderId="0" xfId="0" applyNumberFormat="1" applyFill="1" applyBorder="1" applyAlignment="1">
      <alignment horizontal="center" vertical="center"/>
    </xf>
    <xf numFmtId="165" fontId="0" fillId="12" borderId="49" xfId="1" applyFont="1" applyFill="1" applyBorder="1" applyAlignment="1">
      <alignment horizontal="right"/>
    </xf>
    <xf numFmtId="43" fontId="0" fillId="0" borderId="6" xfId="0" applyNumberFormat="1" applyBorder="1" applyAlignment="1">
      <alignment horizontal="center" vertical="center"/>
    </xf>
    <xf numFmtId="43" fontId="10" fillId="13" borderId="42" xfId="0" applyNumberFormat="1" applyFont="1" applyFill="1" applyBorder="1" applyAlignment="1">
      <alignment horizontal="center" vertical="center"/>
    </xf>
    <xf numFmtId="9" fontId="0" fillId="9" borderId="1" xfId="3" applyFont="1" applyFill="1" applyBorder="1" applyAlignment="1">
      <alignment horizontal="right"/>
    </xf>
    <xf numFmtId="9" fontId="0" fillId="0" borderId="1" xfId="3" applyFont="1" applyFill="1" applyBorder="1" applyAlignment="1">
      <alignment horizontal="right"/>
    </xf>
    <xf numFmtId="43" fontId="0" fillId="9" borderId="1" xfId="0" applyNumberFormat="1" applyFill="1" applyBorder="1" applyAlignment="1">
      <alignment horizontal="center" vertical="center"/>
    </xf>
    <xf numFmtId="165" fontId="0" fillId="0" borderId="13" xfId="1" applyFont="1" applyFill="1" applyBorder="1" applyAlignment="1">
      <alignment horizontal="right"/>
    </xf>
    <xf numFmtId="165" fontId="0" fillId="9" borderId="57" xfId="1" applyFont="1" applyFill="1" applyBorder="1" applyAlignment="1">
      <alignment horizontal="right"/>
    </xf>
    <xf numFmtId="165" fontId="0" fillId="0" borderId="57" xfId="1" applyFont="1" applyFill="1" applyBorder="1" applyAlignment="1">
      <alignment horizontal="right"/>
    </xf>
    <xf numFmtId="43" fontId="0" fillId="0" borderId="60" xfId="0" applyNumberFormat="1" applyBorder="1" applyAlignment="1">
      <alignment horizontal="center" vertical="center"/>
    </xf>
    <xf numFmtId="43" fontId="0" fillId="0" borderId="61" xfId="0" applyNumberFormat="1" applyBorder="1" applyAlignment="1">
      <alignment horizontal="center" vertical="center"/>
    </xf>
    <xf numFmtId="165" fontId="0" fillId="9" borderId="11" xfId="1" applyFont="1" applyFill="1" applyBorder="1" applyAlignment="1">
      <alignment horizontal="right"/>
    </xf>
    <xf numFmtId="165" fontId="0" fillId="0" borderId="12" xfId="1" applyFont="1" applyBorder="1" applyAlignment="1">
      <alignment horizontal="right"/>
    </xf>
    <xf numFmtId="43" fontId="0" fillId="8" borderId="1" xfId="0" applyNumberFormat="1" applyFill="1" applyBorder="1" applyAlignment="1">
      <alignment horizontal="center" vertical="center"/>
    </xf>
    <xf numFmtId="9" fontId="2" fillId="19" borderId="3" xfId="0" applyNumberFormat="1" applyFont="1" applyFill="1" applyBorder="1" applyAlignment="1">
      <alignment horizontal="center" vertical="center" wrapText="1"/>
    </xf>
    <xf numFmtId="43" fontId="10" fillId="8" borderId="0" xfId="0" applyNumberFormat="1" applyFont="1" applyFill="1" applyBorder="1" applyAlignment="1">
      <alignment horizontal="center"/>
    </xf>
    <xf numFmtId="43" fontId="0" fillId="8" borderId="30" xfId="0" applyNumberFormat="1" applyFill="1" applyBorder="1" applyAlignment="1">
      <alignment horizontal="center"/>
    </xf>
    <xf numFmtId="164" fontId="8" fillId="19" borderId="30" xfId="2" applyFont="1" applyFill="1" applyBorder="1" applyAlignment="1">
      <alignment horizontal="right"/>
    </xf>
    <xf numFmtId="165" fontId="0" fillId="0" borderId="46" xfId="1" applyFont="1" applyFill="1" applyBorder="1" applyAlignment="1">
      <alignment horizontal="right"/>
    </xf>
    <xf numFmtId="43" fontId="0" fillId="0" borderId="6" xfId="0" applyNumberFormat="1" applyBorder="1" applyAlignment="1">
      <alignment horizontal="center"/>
    </xf>
    <xf numFmtId="0" fontId="2" fillId="26" borderId="19" xfId="0" applyFont="1" applyFill="1" applyBorder="1" applyAlignment="1">
      <alignment horizontal="left"/>
    </xf>
    <xf numFmtId="0" fontId="0" fillId="26" borderId="26" xfId="0" applyFill="1" applyBorder="1" applyAlignment="1">
      <alignment horizontal="left"/>
    </xf>
    <xf numFmtId="164" fontId="0" fillId="26" borderId="29" xfId="2" applyFont="1" applyFill="1" applyBorder="1" applyAlignment="1">
      <alignment horizontal="left"/>
    </xf>
    <xf numFmtId="164" fontId="0" fillId="26" borderId="7" xfId="2" applyFont="1" applyFill="1" applyBorder="1" applyAlignment="1">
      <alignment horizontal="left"/>
    </xf>
    <xf numFmtId="0" fontId="2" fillId="26" borderId="10" xfId="0" applyFont="1" applyFill="1" applyBorder="1" applyAlignment="1">
      <alignment horizontal="left"/>
    </xf>
    <xf numFmtId="0" fontId="2" fillId="26" borderId="27" xfId="0" applyFont="1" applyFill="1" applyBorder="1" applyAlignment="1">
      <alignment horizontal="left"/>
    </xf>
    <xf numFmtId="164" fontId="2" fillId="26" borderId="28" xfId="2" applyFont="1" applyFill="1" applyBorder="1" applyAlignment="1">
      <alignment horizontal="left"/>
    </xf>
    <xf numFmtId="164" fontId="2" fillId="26" borderId="32" xfId="2" applyFont="1" applyFill="1" applyBorder="1" applyAlignment="1">
      <alignment horizontal="left"/>
    </xf>
    <xf numFmtId="0" fontId="2" fillId="26" borderId="19" xfId="0" applyFont="1" applyFill="1" applyBorder="1" applyAlignment="1">
      <alignment horizontal="center" vertical="center" wrapText="1"/>
    </xf>
    <xf numFmtId="164" fontId="0" fillId="26" borderId="46" xfId="2" applyFont="1" applyFill="1" applyBorder="1" applyAlignment="1">
      <alignment horizontal="center" vertical="center" wrapText="1"/>
    </xf>
    <xf numFmtId="0" fontId="2" fillId="26" borderId="10" xfId="0" applyFont="1" applyFill="1" applyBorder="1" applyAlignment="1">
      <alignment horizontal="center" vertical="center" wrapText="1"/>
    </xf>
    <xf numFmtId="164" fontId="2" fillId="26" borderId="28" xfId="2" applyFont="1" applyFill="1" applyBorder="1" applyAlignment="1">
      <alignment horizontal="center" vertical="center"/>
    </xf>
    <xf numFmtId="0" fontId="9" fillId="26" borderId="19" xfId="0" applyFont="1" applyFill="1" applyBorder="1" applyAlignment="1">
      <alignment horizontal="center" vertical="center"/>
    </xf>
    <xf numFmtId="0" fontId="0" fillId="26" borderId="26" xfId="0" applyFill="1" applyBorder="1" applyAlignment="1">
      <alignment horizontal="center"/>
    </xf>
    <xf numFmtId="0" fontId="9" fillId="26" borderId="10" xfId="0" applyFont="1" applyFill="1" applyBorder="1" applyAlignment="1">
      <alignment horizontal="center" vertical="center"/>
    </xf>
    <xf numFmtId="0" fontId="2" fillId="26" borderId="27" xfId="0" applyFont="1" applyFill="1" applyBorder="1" applyAlignment="1">
      <alignment horizontal="center"/>
    </xf>
    <xf numFmtId="0" fontId="2" fillId="26" borderId="19" xfId="0" applyFont="1" applyFill="1" applyBorder="1" applyAlignment="1">
      <alignment horizontal="center"/>
    </xf>
    <xf numFmtId="0" fontId="2" fillId="26" borderId="10" xfId="0" applyFont="1" applyFill="1" applyBorder="1" applyAlignment="1">
      <alignment horizontal="center"/>
    </xf>
    <xf numFmtId="0" fontId="2" fillId="26" borderId="19" xfId="0" applyFont="1" applyFill="1" applyBorder="1" applyAlignment="1">
      <alignment horizontal="center" wrapText="1"/>
    </xf>
    <xf numFmtId="0" fontId="2" fillId="26" borderId="10" xfId="0" applyFont="1" applyFill="1" applyBorder="1" applyAlignment="1">
      <alignment horizontal="center" wrapText="1"/>
    </xf>
    <xf numFmtId="0" fontId="2" fillId="26" borderId="26" xfId="0" applyFont="1" applyFill="1" applyBorder="1" applyAlignment="1">
      <alignment horizontal="center"/>
    </xf>
    <xf numFmtId="164" fontId="2" fillId="26" borderId="37" xfId="2" applyFont="1" applyFill="1" applyBorder="1" applyAlignment="1">
      <alignment horizontal="left"/>
    </xf>
    <xf numFmtId="0" fontId="0" fillId="0" borderId="27" xfId="0" applyBorder="1" applyAlignment="1">
      <alignment horizontal="center"/>
    </xf>
    <xf numFmtId="0" fontId="0" fillId="0" borderId="3" xfId="0" applyBorder="1" applyAlignment="1">
      <alignment horizontal="center"/>
    </xf>
    <xf numFmtId="9" fontId="0" fillId="0" borderId="48" xfId="0" applyNumberFormat="1" applyBorder="1"/>
    <xf numFmtId="164" fontId="0" fillId="0" borderId="49" xfId="2" applyFont="1" applyFill="1" applyBorder="1"/>
    <xf numFmtId="9" fontId="0" fillId="0" borderId="48" xfId="0" applyNumberFormat="1" applyBorder="1" applyAlignment="1">
      <alignment horizontal="center"/>
    </xf>
    <xf numFmtId="0" fontId="2" fillId="2" borderId="47" xfId="0" applyFont="1" applyFill="1" applyBorder="1" applyAlignment="1">
      <alignment horizontal="center" vertical="center" wrapText="1"/>
    </xf>
    <xf numFmtId="164" fontId="0" fillId="0" borderId="49" xfId="2" applyFont="1" applyBorder="1" applyAlignment="1">
      <alignment horizontal="center" vertical="center" wrapText="1"/>
    </xf>
    <xf numFmtId="164" fontId="0" fillId="0" borderId="54" xfId="2" applyFont="1" applyBorder="1" applyAlignment="1">
      <alignment horizontal="center" vertical="center" wrapText="1"/>
    </xf>
    <xf numFmtId="0" fontId="2" fillId="2" borderId="10" xfId="0" applyFont="1" applyFill="1" applyBorder="1" applyAlignment="1">
      <alignment horizontal="center" vertical="center"/>
    </xf>
    <xf numFmtId="9" fontId="0" fillId="0" borderId="48" xfId="0" applyNumberFormat="1" applyFont="1" applyBorder="1" applyAlignment="1">
      <alignment horizontal="center" vertical="center"/>
    </xf>
    <xf numFmtId="164" fontId="5" fillId="8" borderId="0" xfId="2" applyFont="1" applyFill="1" applyBorder="1" applyAlignment="1">
      <alignment horizontal="center" vertical="center" wrapText="1"/>
    </xf>
    <xf numFmtId="164" fontId="5" fillId="8" borderId="0" xfId="2" applyFont="1" applyFill="1" applyBorder="1" applyAlignment="1">
      <alignment horizontal="center"/>
    </xf>
    <xf numFmtId="0" fontId="2" fillId="2" borderId="51" xfId="0" applyFont="1" applyFill="1" applyBorder="1" applyAlignment="1">
      <alignment horizontal="center" wrapText="1"/>
    </xf>
    <xf numFmtId="164" fontId="0" fillId="8" borderId="46" xfId="2" applyFont="1" applyFill="1" applyBorder="1" applyAlignment="1">
      <alignment horizontal="center" vertical="center"/>
    </xf>
    <xf numFmtId="9" fontId="0" fillId="0" borderId="28" xfId="3" applyFont="1" applyBorder="1" applyAlignment="1">
      <alignment horizontal="right"/>
    </xf>
    <xf numFmtId="165" fontId="0" fillId="0" borderId="7" xfId="1" applyFont="1" applyBorder="1" applyAlignment="1">
      <alignment horizontal="right"/>
    </xf>
    <xf numFmtId="43" fontId="0" fillId="0" borderId="4" xfId="0" applyNumberFormat="1" applyBorder="1"/>
    <xf numFmtId="165" fontId="0" fillId="0" borderId="4" xfId="1" applyFont="1" applyFill="1" applyBorder="1" applyAlignment="1">
      <alignment horizontal="right"/>
    </xf>
    <xf numFmtId="43" fontId="0" fillId="8" borderId="32" xfId="0" applyNumberFormat="1" applyFill="1" applyBorder="1"/>
    <xf numFmtId="164" fontId="4" fillId="8" borderId="30" xfId="2" applyFont="1" applyFill="1" applyBorder="1" applyAlignment="1">
      <alignment horizontal="right"/>
    </xf>
    <xf numFmtId="164" fontId="0" fillId="0" borderId="54" xfId="2" applyFont="1" applyFill="1" applyBorder="1"/>
    <xf numFmtId="164" fontId="0" fillId="26" borderId="46" xfId="2" applyFont="1" applyFill="1" applyBorder="1" applyAlignment="1">
      <alignment horizontal="left"/>
    </xf>
    <xf numFmtId="44" fontId="0" fillId="0" borderId="0" xfId="0" applyNumberFormat="1"/>
    <xf numFmtId="0" fontId="5" fillId="0" borderId="0" xfId="0" applyFont="1" applyFill="1" applyBorder="1" applyAlignment="1">
      <alignment horizontal="center" vertical="center"/>
    </xf>
    <xf numFmtId="164" fontId="5" fillId="0" borderId="0" xfId="2" applyFont="1" applyFill="1" applyBorder="1" applyAlignment="1">
      <alignment horizontal="center" vertical="center"/>
    </xf>
    <xf numFmtId="9" fontId="0" fillId="0" borderId="0" xfId="3" applyFont="1" applyFill="1" applyAlignment="1">
      <alignment horizontal="center" vertical="center"/>
    </xf>
    <xf numFmtId="164" fontId="5" fillId="0" borderId="0" xfId="2" applyFont="1" applyFill="1" applyBorder="1" applyAlignment="1">
      <alignment horizontal="center"/>
    </xf>
    <xf numFmtId="2" fontId="5" fillId="0" borderId="0" xfId="2" applyNumberFormat="1" applyFont="1" applyFill="1" applyBorder="1" applyAlignment="1">
      <alignment horizontal="center"/>
    </xf>
    <xf numFmtId="0" fontId="0" fillId="0" borderId="0" xfId="0" applyFill="1" applyAlignment="1">
      <alignment horizontal="center"/>
    </xf>
    <xf numFmtId="164" fontId="5"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64" fontId="2" fillId="0" borderId="0" xfId="2" applyFont="1" applyFill="1" applyBorder="1" applyAlignment="1">
      <alignment horizontal="center" vertical="center"/>
    </xf>
    <xf numFmtId="0" fontId="2" fillId="0" borderId="1" xfId="0" applyFont="1" applyBorder="1"/>
    <xf numFmtId="44" fontId="5" fillId="27" borderId="1" xfId="0" applyNumberFormat="1" applyFont="1" applyFill="1" applyBorder="1"/>
    <xf numFmtId="0" fontId="0" fillId="0" borderId="1" xfId="0" applyBorder="1"/>
    <xf numFmtId="164" fontId="0" fillId="0" borderId="1" xfId="0" applyNumberFormat="1" applyBorder="1"/>
    <xf numFmtId="44" fontId="0" fillId="0" borderId="1" xfId="0" applyNumberFormat="1" applyBorder="1"/>
    <xf numFmtId="44" fontId="5" fillId="28" borderId="1" xfId="0" applyNumberFormat="1" applyFont="1" applyFill="1" applyBorder="1"/>
    <xf numFmtId="164" fontId="2" fillId="0" borderId="1" xfId="2" applyFont="1" applyBorder="1"/>
    <xf numFmtId="0" fontId="2" fillId="0" borderId="1" xfId="0" applyFont="1" applyFill="1" applyBorder="1"/>
    <xf numFmtId="0" fontId="0" fillId="0" borderId="43" xfId="0" applyBorder="1" applyAlignment="1">
      <alignment horizontal="left" wrapText="1"/>
    </xf>
    <xf numFmtId="0" fontId="0" fillId="0" borderId="33" xfId="0" applyBorder="1" applyAlignment="1">
      <alignment horizontal="left" wrapText="1"/>
    </xf>
    <xf numFmtId="0" fontId="0" fillId="0" borderId="44" xfId="0" applyBorder="1" applyAlignment="1">
      <alignment horizontal="left" wrapText="1"/>
    </xf>
    <xf numFmtId="0" fontId="2" fillId="0" borderId="0" xfId="0" applyFont="1" applyAlignment="1">
      <alignment horizontal="center"/>
    </xf>
    <xf numFmtId="0" fontId="24" fillId="0" borderId="43" xfId="0" applyFont="1" applyBorder="1" applyAlignment="1">
      <alignment horizontal="left" vertical="center" wrapText="1"/>
    </xf>
    <xf numFmtId="0" fontId="24" fillId="0" borderId="33" xfId="0" applyFont="1" applyBorder="1" applyAlignment="1">
      <alignment horizontal="left" vertical="center" wrapText="1"/>
    </xf>
    <xf numFmtId="0" fontId="24" fillId="0" borderId="44" xfId="0" applyFont="1" applyBorder="1" applyAlignment="1">
      <alignment horizontal="left" vertical="center" wrapText="1"/>
    </xf>
    <xf numFmtId="0" fontId="0" fillId="0" borderId="43" xfId="0" applyNumberFormat="1" applyBorder="1" applyAlignment="1">
      <alignment horizontal="left" vertical="top" wrapText="1"/>
    </xf>
    <xf numFmtId="0" fontId="0" fillId="0" borderId="33" xfId="0" applyNumberFormat="1" applyBorder="1" applyAlignment="1">
      <alignment horizontal="left" vertical="top" wrapText="1"/>
    </xf>
    <xf numFmtId="0" fontId="0" fillId="0" borderId="44" xfId="0" applyNumberFormat="1" applyBorder="1" applyAlignment="1">
      <alignment horizontal="left" vertical="top" wrapText="1"/>
    </xf>
    <xf numFmtId="0" fontId="22" fillId="0" borderId="50" xfId="0" applyFont="1" applyBorder="1" applyAlignment="1">
      <alignment horizontal="center" vertical="center"/>
    </xf>
    <xf numFmtId="0" fontId="22" fillId="0" borderId="36" xfId="0" applyFont="1" applyBorder="1" applyAlignment="1">
      <alignment horizontal="center" vertical="center"/>
    </xf>
    <xf numFmtId="0" fontId="22" fillId="0" borderId="22" xfId="0" applyFont="1" applyBorder="1" applyAlignment="1">
      <alignment horizontal="center" vertical="center"/>
    </xf>
    <xf numFmtId="0" fontId="22" fillId="0" borderId="15" xfId="0" applyFont="1" applyBorder="1" applyAlignment="1">
      <alignment horizontal="center" vertical="center"/>
    </xf>
    <xf numFmtId="165" fontId="22" fillId="0" borderId="50" xfId="0" applyNumberFormat="1" applyFont="1" applyBorder="1" applyAlignment="1">
      <alignment horizontal="center" vertical="center"/>
    </xf>
    <xf numFmtId="165" fontId="22" fillId="0" borderId="22" xfId="0" applyNumberFormat="1" applyFont="1" applyBorder="1" applyAlignment="1">
      <alignment horizontal="center" vertical="center"/>
    </xf>
    <xf numFmtId="165" fontId="22" fillId="0" borderId="36" xfId="0" applyNumberFormat="1" applyFont="1" applyBorder="1" applyAlignment="1">
      <alignment horizontal="center" vertical="center"/>
    </xf>
    <xf numFmtId="0" fontId="5" fillId="6" borderId="17" xfId="0" applyFont="1" applyFill="1" applyBorder="1" applyAlignment="1">
      <alignment horizontal="center"/>
    </xf>
    <xf numFmtId="0" fontId="5" fillId="6" borderId="0" xfId="0" applyFont="1" applyFill="1" applyBorder="1" applyAlignment="1">
      <alignment horizontal="center"/>
    </xf>
    <xf numFmtId="0" fontId="5" fillId="6" borderId="18" xfId="0" applyFont="1" applyFill="1" applyBorder="1" applyAlignment="1">
      <alignment horizontal="center"/>
    </xf>
    <xf numFmtId="0" fontId="5" fillId="6" borderId="43" xfId="0" applyFont="1" applyFill="1" applyBorder="1" applyAlignment="1">
      <alignment horizontal="center"/>
    </xf>
    <xf numFmtId="0" fontId="5" fillId="6" borderId="33" xfId="0" applyFont="1" applyFill="1" applyBorder="1" applyAlignment="1">
      <alignment horizontal="center"/>
    </xf>
    <xf numFmtId="0" fontId="5" fillId="6" borderId="44" xfId="0" applyFont="1" applyFill="1" applyBorder="1" applyAlignment="1">
      <alignment horizontal="center"/>
    </xf>
    <xf numFmtId="0" fontId="19" fillId="0" borderId="11" xfId="0" applyFont="1" applyBorder="1" applyAlignment="1">
      <alignment horizontal="center"/>
    </xf>
    <xf numFmtId="0" fontId="19" fillId="0" borderId="12"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18" fillId="0" borderId="34"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8"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2" xfId="0" applyFont="1" applyBorder="1" applyAlignment="1">
      <alignment horizontal="center" vertical="center" wrapText="1"/>
    </xf>
    <xf numFmtId="0" fontId="0" fillId="0" borderId="1" xfId="0" applyBorder="1" applyAlignment="1">
      <alignment horizontal="center"/>
    </xf>
    <xf numFmtId="0" fontId="0" fillId="0" borderId="9" xfId="0" applyBorder="1" applyAlignment="1">
      <alignment horizontal="center"/>
    </xf>
    <xf numFmtId="0" fontId="16" fillId="0" borderId="6" xfId="0" applyFont="1" applyBorder="1" applyAlignment="1">
      <alignment horizontal="center" vertical="center" wrapText="1"/>
    </xf>
    <xf numFmtId="0" fontId="7" fillId="6" borderId="17"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24" xfId="0" applyFont="1" applyFill="1" applyBorder="1" applyAlignment="1">
      <alignment horizontal="center" vertical="center"/>
    </xf>
    <xf numFmtId="0" fontId="7" fillId="6" borderId="25" xfId="0" applyFont="1" applyFill="1" applyBorder="1" applyAlignment="1">
      <alignment horizontal="center" vertical="center"/>
    </xf>
    <xf numFmtId="0" fontId="5" fillId="6" borderId="38"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3" xfId="0" applyFont="1" applyFill="1" applyBorder="1" applyAlignment="1">
      <alignment horizontal="center"/>
    </xf>
    <xf numFmtId="0" fontId="5" fillId="6" borderId="14" xfId="0" applyFont="1" applyFill="1" applyBorder="1" applyAlignment="1">
      <alignment horizontal="center"/>
    </xf>
    <xf numFmtId="0" fontId="0" fillId="0" borderId="43" xfId="0" applyBorder="1" applyAlignment="1">
      <alignment horizontal="left"/>
    </xf>
    <xf numFmtId="0" fontId="0" fillId="0" borderId="33" xfId="0" applyBorder="1" applyAlignment="1">
      <alignment horizontal="left"/>
    </xf>
    <xf numFmtId="0" fontId="0" fillId="0" borderId="44" xfId="0" applyBorder="1" applyAlignment="1">
      <alignment horizontal="left"/>
    </xf>
    <xf numFmtId="0" fontId="5" fillId="6" borderId="6" xfId="0" applyFont="1" applyFill="1" applyBorder="1" applyAlignment="1">
      <alignment horizontal="center"/>
    </xf>
    <xf numFmtId="0" fontId="5" fillId="6" borderId="7" xfId="0" applyFont="1" applyFill="1" applyBorder="1" applyAlignment="1">
      <alignment horizontal="center"/>
    </xf>
    <xf numFmtId="0" fontId="5" fillId="6" borderId="15" xfId="0" applyFont="1" applyFill="1" applyBorder="1" applyAlignment="1">
      <alignment horizontal="center"/>
    </xf>
    <xf numFmtId="0" fontId="5" fillId="6" borderId="16" xfId="0" applyFont="1" applyFill="1" applyBorder="1" applyAlignment="1">
      <alignment horizontal="center"/>
    </xf>
    <xf numFmtId="0" fontId="18" fillId="0" borderId="34"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22" fillId="0" borderId="17" xfId="0" applyFont="1" applyBorder="1" applyAlignment="1">
      <alignment horizontal="center" vertical="center"/>
    </xf>
    <xf numFmtId="0" fontId="16" fillId="0" borderId="34" xfId="0" applyFont="1" applyBorder="1" applyAlignment="1">
      <alignment horizontal="center" vertical="center"/>
    </xf>
    <xf numFmtId="0" fontId="5" fillId="6" borderId="38"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41" xfId="0" applyFont="1" applyBorder="1" applyAlignment="1">
      <alignment horizontal="center"/>
    </xf>
    <xf numFmtId="0" fontId="0" fillId="0" borderId="27" xfId="0" applyBorder="1" applyAlignment="1">
      <alignment horizontal="center"/>
    </xf>
    <xf numFmtId="0" fontId="0" fillId="0" borderId="32" xfId="0" applyBorder="1" applyAlignment="1">
      <alignment horizontal="center"/>
    </xf>
    <xf numFmtId="0" fontId="0" fillId="0" borderId="40" xfId="0" applyBorder="1" applyAlignment="1">
      <alignment horizontal="center"/>
    </xf>
    <xf numFmtId="0" fontId="7" fillId="6" borderId="38" xfId="0" applyFont="1" applyFill="1" applyBorder="1" applyAlignment="1">
      <alignment horizontal="center" vertical="center"/>
    </xf>
    <xf numFmtId="0" fontId="7" fillId="6" borderId="16" xfId="0" applyFont="1" applyFill="1" applyBorder="1" applyAlignment="1">
      <alignment horizontal="center" vertical="center"/>
    </xf>
    <xf numFmtId="0" fontId="7" fillId="6" borderId="39"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41" xfId="0" applyBorder="1" applyAlignment="1">
      <alignment horizontal="center"/>
    </xf>
    <xf numFmtId="0" fontId="18" fillId="0" borderId="3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34" xfId="0" applyFont="1" applyBorder="1" applyAlignment="1">
      <alignment horizontal="center" vertical="center" wrapText="1"/>
    </xf>
    <xf numFmtId="0" fontId="18" fillId="0" borderId="43" xfId="0" applyFont="1" applyBorder="1" applyAlignment="1">
      <alignment horizontal="center" vertical="center" wrapText="1"/>
    </xf>
  </cellXfs>
  <cellStyles count="316">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Millares" xfId="1" builtinId="3"/>
    <cellStyle name="Moneda" xfId="2" builtinId="4"/>
    <cellStyle name="Normal" xfId="0" builtinId="0"/>
    <cellStyle name="Porcentaje" xfId="3" builtinId="5"/>
  </cellStyles>
  <dxfs count="0"/>
  <tableStyles count="0" defaultTableStyle="TableStyleMedium2" defaultPivotStyle="PivotStyleLight16"/>
  <colors>
    <mruColors>
      <color rgb="FFCB59AA"/>
      <color rgb="FF7030A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K51"/>
  <sheetViews>
    <sheetView topLeftCell="A19" zoomScale="50" zoomScaleNormal="50" zoomScalePageLayoutView="57" workbookViewId="0">
      <selection activeCell="A10" sqref="A1:A1048576"/>
    </sheetView>
  </sheetViews>
  <sheetFormatPr baseColWidth="10" defaultRowHeight="15" x14ac:dyDescent="0.25"/>
  <cols>
    <col min="1" max="1" width="14.625" customWidth="1"/>
    <col min="2" max="2" width="5.125" customWidth="1"/>
    <col min="3" max="3" width="59.75" customWidth="1"/>
    <col min="4" max="4" width="26" customWidth="1"/>
    <col min="5" max="5" width="44.5" customWidth="1"/>
    <col min="6" max="6" width="43.125" customWidth="1"/>
    <col min="7" max="7" width="46.625" customWidth="1"/>
    <col min="8" max="9" width="20.5" style="56" customWidth="1"/>
    <col min="10" max="10" width="5.125" customWidth="1"/>
    <col min="11" max="11" width="55.75" customWidth="1"/>
    <col min="12" max="12" width="26.625" customWidth="1"/>
    <col min="13" max="13" width="45.75" customWidth="1"/>
    <col min="14" max="14" width="48.625" customWidth="1"/>
    <col min="15" max="15" width="47.75" customWidth="1"/>
    <col min="16" max="17" width="24.75" style="56" customWidth="1"/>
    <col min="18" max="18" width="5.125" customWidth="1"/>
    <col min="19" max="19" width="50.625" customWidth="1"/>
    <col min="20" max="20" width="27.75" customWidth="1"/>
    <col min="21" max="21" width="42.75" customWidth="1"/>
    <col min="22" max="22" width="41.625" customWidth="1"/>
    <col min="23" max="23" width="40.625" customWidth="1"/>
    <col min="24" max="25" width="22.625" style="56" customWidth="1"/>
    <col min="26" max="26" width="5.125" customWidth="1"/>
    <col min="27" max="27" width="47.5" customWidth="1"/>
    <col min="28" max="28" width="25.625" customWidth="1"/>
    <col min="29" max="29" width="42" customWidth="1"/>
    <col min="30" max="30" width="44.375" customWidth="1"/>
    <col min="31" max="31" width="41.75" customWidth="1"/>
    <col min="32" max="32" width="46.375" customWidth="1"/>
  </cols>
  <sheetData>
    <row r="2" spans="1:32" ht="15.75" thickBot="1" x14ac:dyDescent="0.3">
      <c r="P2" s="203"/>
      <c r="Q2" s="203"/>
    </row>
    <row r="3" spans="1:32" ht="21" customHeight="1" thickBot="1" x14ac:dyDescent="0.35">
      <c r="A3" s="196"/>
      <c r="B3" s="274"/>
      <c r="C3" s="614" t="s">
        <v>175</v>
      </c>
      <c r="D3" s="615"/>
      <c r="E3" s="615"/>
      <c r="F3" s="615"/>
      <c r="G3" s="616"/>
      <c r="H3" s="216"/>
      <c r="I3" s="216"/>
      <c r="J3" s="274"/>
      <c r="K3" s="622" t="s">
        <v>176</v>
      </c>
      <c r="L3" s="618"/>
      <c r="M3" s="618"/>
      <c r="N3" s="618"/>
      <c r="O3" s="619"/>
      <c r="P3" s="216"/>
      <c r="Q3" s="216"/>
      <c r="R3" s="274"/>
      <c r="S3" s="617" t="s">
        <v>235</v>
      </c>
      <c r="T3" s="618"/>
      <c r="U3" s="618"/>
      <c r="V3" s="618"/>
      <c r="W3" s="619"/>
      <c r="X3" s="216"/>
      <c r="Y3" s="216"/>
      <c r="Z3" s="274"/>
      <c r="AA3" s="617" t="s">
        <v>177</v>
      </c>
      <c r="AB3" s="618"/>
      <c r="AC3" s="618"/>
      <c r="AD3" s="618"/>
      <c r="AE3" s="619"/>
      <c r="AF3" s="241"/>
    </row>
    <row r="4" spans="1:32" ht="15" customHeight="1" x14ac:dyDescent="0.25">
      <c r="B4" s="597" t="s">
        <v>167</v>
      </c>
      <c r="C4" s="169" t="s">
        <v>0</v>
      </c>
      <c r="D4" s="620" t="s">
        <v>166</v>
      </c>
      <c r="E4" s="620"/>
      <c r="F4" s="620"/>
      <c r="G4" s="621"/>
      <c r="H4" s="214"/>
      <c r="I4" s="214"/>
      <c r="J4" s="597" t="s">
        <v>167</v>
      </c>
      <c r="K4" s="169" t="s">
        <v>0</v>
      </c>
      <c r="L4" s="620" t="s">
        <v>166</v>
      </c>
      <c r="M4" s="620"/>
      <c r="N4" s="620"/>
      <c r="O4" s="621"/>
      <c r="P4" s="214"/>
      <c r="Q4" s="214"/>
      <c r="R4" s="597" t="s">
        <v>167</v>
      </c>
      <c r="S4" s="169" t="s">
        <v>0</v>
      </c>
      <c r="T4" s="620" t="s">
        <v>166</v>
      </c>
      <c r="U4" s="620"/>
      <c r="V4" s="620"/>
      <c r="W4" s="621"/>
      <c r="X4" s="214"/>
      <c r="Y4" s="214"/>
      <c r="Z4" s="597" t="s">
        <v>167</v>
      </c>
      <c r="AA4" s="169" t="s">
        <v>0</v>
      </c>
      <c r="AB4" s="620" t="s">
        <v>166</v>
      </c>
      <c r="AC4" s="620"/>
      <c r="AD4" s="620"/>
      <c r="AE4" s="621"/>
      <c r="AF4" s="214"/>
    </row>
    <row r="5" spans="1:32" ht="21.75" customHeight="1" thickBot="1" x14ac:dyDescent="0.4">
      <c r="B5" s="599"/>
      <c r="C5" s="170" t="s">
        <v>1</v>
      </c>
      <c r="D5" s="610" t="s">
        <v>2</v>
      </c>
      <c r="E5" s="610"/>
      <c r="F5" s="610"/>
      <c r="G5" s="611"/>
      <c r="H5" s="214"/>
      <c r="I5" s="214"/>
      <c r="J5" s="599"/>
      <c r="K5" s="170" t="s">
        <v>1</v>
      </c>
      <c r="L5" s="612" t="s">
        <v>2</v>
      </c>
      <c r="M5" s="612"/>
      <c r="N5" s="612"/>
      <c r="O5" s="613"/>
      <c r="P5" s="214"/>
      <c r="Q5" s="214"/>
      <c r="R5" s="599"/>
      <c r="S5" s="170" t="s">
        <v>1</v>
      </c>
      <c r="T5" s="612" t="s">
        <v>2</v>
      </c>
      <c r="U5" s="612"/>
      <c r="V5" s="612"/>
      <c r="W5" s="613"/>
      <c r="X5" s="214"/>
      <c r="Y5" s="214"/>
      <c r="Z5" s="599"/>
      <c r="AA5" s="170" t="s">
        <v>1</v>
      </c>
      <c r="AB5" s="612" t="s">
        <v>2</v>
      </c>
      <c r="AC5" s="612"/>
      <c r="AD5" s="612"/>
      <c r="AE5" s="613"/>
      <c r="AF5" s="214"/>
    </row>
    <row r="6" spans="1:32" ht="15.75" customHeight="1" x14ac:dyDescent="0.25">
      <c r="B6" s="599"/>
      <c r="C6" s="623" t="s">
        <v>6</v>
      </c>
      <c r="D6" s="624"/>
      <c r="E6" s="50" t="s">
        <v>3</v>
      </c>
      <c r="F6" s="51" t="s">
        <v>4</v>
      </c>
      <c r="G6" s="50" t="s">
        <v>5</v>
      </c>
      <c r="H6" s="214"/>
      <c r="I6" s="214"/>
      <c r="J6" s="599"/>
      <c r="K6" s="623" t="s">
        <v>6</v>
      </c>
      <c r="L6" s="624"/>
      <c r="M6" s="50" t="s">
        <v>3</v>
      </c>
      <c r="N6" s="51" t="s">
        <v>4</v>
      </c>
      <c r="O6" s="50" t="s">
        <v>5</v>
      </c>
      <c r="P6" s="214"/>
      <c r="Q6" s="214"/>
      <c r="R6" s="599"/>
      <c r="S6" s="623" t="s">
        <v>6</v>
      </c>
      <c r="T6" s="624"/>
      <c r="U6" s="50" t="s">
        <v>3</v>
      </c>
      <c r="V6" s="51" t="s">
        <v>4</v>
      </c>
      <c r="W6" s="50" t="s">
        <v>5</v>
      </c>
      <c r="X6" s="214"/>
      <c r="Y6" s="214"/>
      <c r="Z6" s="599"/>
      <c r="AA6" s="623" t="s">
        <v>6</v>
      </c>
      <c r="AB6" s="624"/>
      <c r="AC6" s="50" t="s">
        <v>3</v>
      </c>
      <c r="AD6" s="51" t="s">
        <v>4</v>
      </c>
      <c r="AE6" s="50" t="s">
        <v>5</v>
      </c>
      <c r="AF6" s="214"/>
    </row>
    <row r="7" spans="1:32" ht="16.5" customHeight="1" thickBot="1" x14ac:dyDescent="0.3">
      <c r="B7" s="599"/>
      <c r="C7" s="625"/>
      <c r="D7" s="626"/>
      <c r="E7" s="289" t="s">
        <v>65</v>
      </c>
      <c r="F7" s="289" t="s">
        <v>65</v>
      </c>
      <c r="G7" s="289" t="s">
        <v>65</v>
      </c>
      <c r="H7" s="214"/>
      <c r="I7" s="214"/>
      <c r="J7" s="599"/>
      <c r="K7" s="625"/>
      <c r="L7" s="626"/>
      <c r="M7" s="19" t="s">
        <v>65</v>
      </c>
      <c r="N7" s="19" t="s">
        <v>65</v>
      </c>
      <c r="O7" s="19" t="s">
        <v>65</v>
      </c>
      <c r="P7" s="214"/>
      <c r="Q7" s="214"/>
      <c r="R7" s="599"/>
      <c r="S7" s="625"/>
      <c r="T7" s="626"/>
      <c r="U7" s="19" t="s">
        <v>65</v>
      </c>
      <c r="V7" s="19" t="s">
        <v>65</v>
      </c>
      <c r="W7" s="19" t="s">
        <v>65</v>
      </c>
      <c r="X7" s="214"/>
      <c r="Y7" s="214"/>
      <c r="Z7" s="599"/>
      <c r="AA7" s="625"/>
      <c r="AB7" s="626"/>
      <c r="AC7" s="19" t="s">
        <v>65</v>
      </c>
      <c r="AD7" s="19" t="s">
        <v>65</v>
      </c>
      <c r="AE7" s="19" t="s">
        <v>65</v>
      </c>
      <c r="AF7" s="214"/>
    </row>
    <row r="8" spans="1:32" ht="15.75" customHeight="1" x14ac:dyDescent="0.25">
      <c r="B8" s="599"/>
      <c r="C8" s="218" t="s">
        <v>29</v>
      </c>
      <c r="D8" s="252" t="s">
        <v>154</v>
      </c>
      <c r="E8" s="313" t="s">
        <v>198</v>
      </c>
      <c r="F8" s="313" t="s">
        <v>198</v>
      </c>
      <c r="G8" s="313" t="s">
        <v>198</v>
      </c>
      <c r="H8" s="214"/>
      <c r="I8" s="214"/>
      <c r="J8" s="599"/>
      <c r="K8" s="246" t="s">
        <v>29</v>
      </c>
      <c r="L8" s="259" t="s">
        <v>154</v>
      </c>
      <c r="M8" s="313" t="s">
        <v>198</v>
      </c>
      <c r="N8" s="313" t="s">
        <v>198</v>
      </c>
      <c r="O8" s="313" t="s">
        <v>198</v>
      </c>
      <c r="P8" s="214"/>
      <c r="Q8" s="214"/>
      <c r="R8" s="599"/>
      <c r="S8" s="246" t="s">
        <v>29</v>
      </c>
      <c r="T8" s="259" t="s">
        <v>154</v>
      </c>
      <c r="U8" s="140" t="s">
        <v>198</v>
      </c>
      <c r="V8" s="151" t="s">
        <v>198</v>
      </c>
      <c r="W8" s="151" t="s">
        <v>198</v>
      </c>
      <c r="X8" s="214"/>
      <c r="Y8" s="214"/>
      <c r="Z8" s="599"/>
      <c r="AA8" s="246" t="s">
        <v>29</v>
      </c>
      <c r="AB8" s="259" t="s">
        <v>154</v>
      </c>
      <c r="AC8" s="140" t="s">
        <v>198</v>
      </c>
      <c r="AD8" s="151" t="s">
        <v>198</v>
      </c>
      <c r="AE8" s="151" t="s">
        <v>198</v>
      </c>
      <c r="AF8" s="214"/>
    </row>
    <row r="9" spans="1:32" ht="15.75" customHeight="1" x14ac:dyDescent="0.25">
      <c r="B9" s="599"/>
      <c r="C9" s="219" t="s">
        <v>40</v>
      </c>
      <c r="D9" s="253" t="s">
        <v>155</v>
      </c>
      <c r="E9" s="314" t="s">
        <v>3</v>
      </c>
      <c r="F9" s="142" t="s">
        <v>61</v>
      </c>
      <c r="G9" s="142" t="s">
        <v>62</v>
      </c>
      <c r="H9" s="214"/>
      <c r="I9" s="214"/>
      <c r="J9" s="599"/>
      <c r="K9" s="247" t="s">
        <v>40</v>
      </c>
      <c r="L9" s="260" t="s">
        <v>155</v>
      </c>
      <c r="M9" s="186" t="s">
        <v>3</v>
      </c>
      <c r="N9" s="187" t="s">
        <v>61</v>
      </c>
      <c r="O9" s="188" t="s">
        <v>62</v>
      </c>
      <c r="P9" s="214"/>
      <c r="Q9" s="214"/>
      <c r="R9" s="599"/>
      <c r="S9" s="247" t="s">
        <v>40</v>
      </c>
      <c r="T9" s="260" t="s">
        <v>155</v>
      </c>
      <c r="U9" s="186" t="s">
        <v>3</v>
      </c>
      <c r="V9" s="187" t="s">
        <v>61</v>
      </c>
      <c r="W9" s="188" t="s">
        <v>62</v>
      </c>
      <c r="X9" s="214"/>
      <c r="Y9" s="214"/>
      <c r="Z9" s="599"/>
      <c r="AA9" s="247" t="s">
        <v>40</v>
      </c>
      <c r="AB9" s="260" t="s">
        <v>155</v>
      </c>
      <c r="AC9" s="186" t="s">
        <v>3</v>
      </c>
      <c r="AD9" s="187" t="s">
        <v>61</v>
      </c>
      <c r="AE9" s="188" t="s">
        <v>62</v>
      </c>
      <c r="AF9" s="214"/>
    </row>
    <row r="10" spans="1:32" ht="34.5" customHeight="1" x14ac:dyDescent="0.25">
      <c r="B10" s="599"/>
      <c r="C10" s="330" t="s">
        <v>193</v>
      </c>
      <c r="D10" s="253" t="s">
        <v>180</v>
      </c>
      <c r="E10" s="315" t="s">
        <v>80</v>
      </c>
      <c r="F10" s="290" t="s">
        <v>182</v>
      </c>
      <c r="G10" s="290" t="s">
        <v>183</v>
      </c>
      <c r="H10" s="214"/>
      <c r="I10" s="214"/>
      <c r="J10" s="599"/>
      <c r="K10" s="219" t="s">
        <v>199</v>
      </c>
      <c r="L10" s="253" t="s">
        <v>180</v>
      </c>
      <c r="M10" s="290" t="s">
        <v>80</v>
      </c>
      <c r="N10" s="290" t="s">
        <v>182</v>
      </c>
      <c r="O10" s="290" t="s">
        <v>183</v>
      </c>
      <c r="P10" s="214"/>
      <c r="Q10" s="214"/>
      <c r="R10" s="599"/>
      <c r="S10" s="219" t="s">
        <v>199</v>
      </c>
      <c r="T10" s="253" t="s">
        <v>180</v>
      </c>
      <c r="U10" s="290" t="s">
        <v>80</v>
      </c>
      <c r="V10" s="290" t="s">
        <v>182</v>
      </c>
      <c r="W10" s="290" t="s">
        <v>183</v>
      </c>
      <c r="X10" s="214"/>
      <c r="Y10" s="214"/>
      <c r="Z10" s="599"/>
      <c r="AA10" s="219" t="s">
        <v>199</v>
      </c>
      <c r="AB10" s="260"/>
      <c r="AC10" s="388" t="s">
        <v>80</v>
      </c>
      <c r="AD10" s="388" t="s">
        <v>182</v>
      </c>
      <c r="AE10" s="388" t="s">
        <v>183</v>
      </c>
      <c r="AF10" s="214"/>
    </row>
    <row r="11" spans="1:32" ht="48.75" customHeight="1" thickBot="1" x14ac:dyDescent="0.3">
      <c r="B11" s="599"/>
      <c r="C11" s="330" t="s">
        <v>30</v>
      </c>
      <c r="D11" s="253" t="s">
        <v>154</v>
      </c>
      <c r="E11" s="316" t="s">
        <v>60</v>
      </c>
      <c r="F11" s="143" t="s">
        <v>63</v>
      </c>
      <c r="G11" s="143" t="s">
        <v>64</v>
      </c>
      <c r="H11" s="217"/>
      <c r="I11" s="217"/>
      <c r="J11" s="599"/>
      <c r="K11" s="247" t="s">
        <v>30</v>
      </c>
      <c r="L11" s="260" t="s">
        <v>154</v>
      </c>
      <c r="M11" s="189" t="s">
        <v>60</v>
      </c>
      <c r="N11" s="189" t="s">
        <v>63</v>
      </c>
      <c r="O11" s="190" t="s">
        <v>64</v>
      </c>
      <c r="P11" s="217"/>
      <c r="Q11" s="217"/>
      <c r="R11" s="599"/>
      <c r="S11" s="247" t="s">
        <v>30</v>
      </c>
      <c r="T11" s="260" t="s">
        <v>154</v>
      </c>
      <c r="U11" s="189" t="s">
        <v>60</v>
      </c>
      <c r="V11" s="373" t="s">
        <v>204</v>
      </c>
      <c r="W11" s="190" t="s">
        <v>64</v>
      </c>
      <c r="X11" s="217"/>
      <c r="Y11" s="217"/>
      <c r="Z11" s="599"/>
      <c r="AA11" s="247" t="s">
        <v>30</v>
      </c>
      <c r="AB11" s="260" t="s">
        <v>154</v>
      </c>
      <c r="AC11" s="189" t="s">
        <v>60</v>
      </c>
      <c r="AD11" s="189" t="s">
        <v>63</v>
      </c>
      <c r="AE11" s="190" t="s">
        <v>64</v>
      </c>
      <c r="AF11" s="217"/>
    </row>
    <row r="12" spans="1:32" ht="64.5" customHeight="1" x14ac:dyDescent="0.25">
      <c r="B12" s="599"/>
      <c r="C12" s="247" t="s">
        <v>132</v>
      </c>
      <c r="D12" s="253" t="s">
        <v>154</v>
      </c>
      <c r="E12" s="316" t="s">
        <v>66</v>
      </c>
      <c r="F12" s="143" t="s">
        <v>68</v>
      </c>
      <c r="G12" s="143" t="s">
        <v>69</v>
      </c>
      <c r="H12" s="214"/>
      <c r="I12" s="214"/>
      <c r="J12" s="599"/>
      <c r="K12" s="222" t="s">
        <v>132</v>
      </c>
      <c r="L12" s="260" t="s">
        <v>154</v>
      </c>
      <c r="M12" s="189" t="s">
        <v>66</v>
      </c>
      <c r="N12" s="189" t="s">
        <v>68</v>
      </c>
      <c r="O12" s="190" t="s">
        <v>69</v>
      </c>
      <c r="P12" s="214"/>
      <c r="Q12" s="214"/>
      <c r="R12" s="599"/>
      <c r="S12" s="247" t="s">
        <v>132</v>
      </c>
      <c r="T12" s="260" t="s">
        <v>154</v>
      </c>
      <c r="U12" s="189" t="s">
        <v>66</v>
      </c>
      <c r="V12" s="362" t="s">
        <v>118</v>
      </c>
      <c r="W12" s="190" t="s">
        <v>69</v>
      </c>
      <c r="X12" s="214"/>
      <c r="Y12" s="214"/>
      <c r="Z12" s="599"/>
      <c r="AA12" s="247" t="s">
        <v>132</v>
      </c>
      <c r="AB12" s="260" t="s">
        <v>154</v>
      </c>
      <c r="AC12" s="189" t="s">
        <v>66</v>
      </c>
      <c r="AD12" s="189" t="s">
        <v>66</v>
      </c>
      <c r="AE12" s="190" t="s">
        <v>69</v>
      </c>
      <c r="AF12" s="214"/>
    </row>
    <row r="13" spans="1:32" ht="16.5" customHeight="1" x14ac:dyDescent="0.25">
      <c r="B13" s="599"/>
      <c r="C13" s="323" t="s">
        <v>190</v>
      </c>
      <c r="D13" s="254" t="s">
        <v>155</v>
      </c>
      <c r="E13" s="324" t="s">
        <v>178</v>
      </c>
      <c r="F13" s="325" t="s">
        <v>178</v>
      </c>
      <c r="G13" s="325" t="s">
        <v>178</v>
      </c>
      <c r="H13" s="130"/>
      <c r="I13" s="130"/>
      <c r="J13" s="599"/>
      <c r="K13" s="361" t="s">
        <v>191</v>
      </c>
      <c r="L13" s="261" t="s">
        <v>155</v>
      </c>
      <c r="M13" s="191" t="s">
        <v>67</v>
      </c>
      <c r="N13" s="191" t="s">
        <v>67</v>
      </c>
      <c r="O13" s="192" t="s">
        <v>67</v>
      </c>
      <c r="P13" s="214"/>
      <c r="Q13" s="214"/>
      <c r="R13" s="599"/>
      <c r="S13" s="361" t="s">
        <v>191</v>
      </c>
      <c r="T13" s="261" t="s">
        <v>155</v>
      </c>
      <c r="U13" s="191" t="s">
        <v>67</v>
      </c>
      <c r="V13" s="363">
        <v>1.7</v>
      </c>
      <c r="W13" s="192" t="s">
        <v>67</v>
      </c>
      <c r="X13" s="214"/>
      <c r="Y13" s="214"/>
      <c r="Z13" s="599"/>
      <c r="AA13" s="247" t="s">
        <v>32</v>
      </c>
      <c r="AB13" s="261" t="s">
        <v>155</v>
      </c>
      <c r="AC13" s="191" t="s">
        <v>67</v>
      </c>
      <c r="AD13" s="191">
        <v>1.86</v>
      </c>
      <c r="AE13" s="192" t="s">
        <v>67</v>
      </c>
      <c r="AF13" s="130"/>
    </row>
    <row r="14" spans="1:32" ht="33" customHeight="1" thickBot="1" x14ac:dyDescent="0.3">
      <c r="B14" s="599"/>
      <c r="C14" s="245" t="s">
        <v>189</v>
      </c>
      <c r="D14" s="254"/>
      <c r="E14" s="317"/>
      <c r="F14" s="321" t="s">
        <v>184</v>
      </c>
      <c r="G14" s="321" t="s">
        <v>184</v>
      </c>
      <c r="H14" s="130"/>
      <c r="I14" s="130"/>
      <c r="J14" s="599"/>
      <c r="K14" s="245" t="s">
        <v>189</v>
      </c>
      <c r="L14" s="254"/>
      <c r="M14" s="317"/>
      <c r="N14" s="321" t="s">
        <v>184</v>
      </c>
      <c r="O14" s="321" t="s">
        <v>184</v>
      </c>
      <c r="P14" s="214"/>
      <c r="Q14" s="214"/>
      <c r="R14" s="599"/>
      <c r="S14" s="245" t="s">
        <v>189</v>
      </c>
      <c r="T14" s="336"/>
      <c r="U14" s="367"/>
      <c r="V14" s="364" t="s">
        <v>184</v>
      </c>
      <c r="W14" s="321" t="s">
        <v>184</v>
      </c>
      <c r="X14" s="214"/>
      <c r="Y14" s="214"/>
      <c r="Z14" s="599"/>
      <c r="AA14" s="245" t="s">
        <v>189</v>
      </c>
      <c r="AB14" s="261"/>
      <c r="AC14" s="191"/>
      <c r="AD14" s="321" t="s">
        <v>184</v>
      </c>
      <c r="AE14" s="321" t="s">
        <v>184</v>
      </c>
      <c r="AF14" s="214"/>
    </row>
    <row r="15" spans="1:32" ht="30.75" customHeight="1" thickBot="1" x14ac:dyDescent="0.3">
      <c r="A15" s="3"/>
      <c r="B15" s="599"/>
      <c r="C15" s="219" t="s">
        <v>7</v>
      </c>
      <c r="D15" s="255" t="s">
        <v>142</v>
      </c>
      <c r="E15" s="318" t="s">
        <v>143</v>
      </c>
      <c r="F15" s="185" t="s">
        <v>143</v>
      </c>
      <c r="G15" s="185" t="s">
        <v>143</v>
      </c>
      <c r="H15" s="214"/>
      <c r="I15" s="287"/>
      <c r="J15" s="599"/>
      <c r="K15" s="247" t="s">
        <v>7</v>
      </c>
      <c r="L15" s="366" t="s">
        <v>200</v>
      </c>
      <c r="M15" s="365" t="s">
        <v>201</v>
      </c>
      <c r="N15" s="365" t="s">
        <v>143</v>
      </c>
      <c r="O15" s="365" t="s">
        <v>143</v>
      </c>
      <c r="P15" s="134"/>
      <c r="Q15" s="276"/>
      <c r="R15" s="599"/>
      <c r="S15" s="335" t="s">
        <v>7</v>
      </c>
      <c r="T15" s="366" t="s">
        <v>200</v>
      </c>
      <c r="U15" s="365" t="s">
        <v>201</v>
      </c>
      <c r="V15" s="365" t="s">
        <v>143</v>
      </c>
      <c r="W15" s="365" t="s">
        <v>143</v>
      </c>
      <c r="X15" s="134"/>
      <c r="Y15" s="276"/>
      <c r="Z15" s="599"/>
      <c r="AA15" s="247" t="s">
        <v>7</v>
      </c>
      <c r="AB15" s="400" t="s">
        <v>142</v>
      </c>
      <c r="AC15" s="185" t="s">
        <v>143</v>
      </c>
      <c r="AD15" s="185" t="s">
        <v>143</v>
      </c>
      <c r="AE15" s="185" t="s">
        <v>143</v>
      </c>
      <c r="AF15" s="203"/>
    </row>
    <row r="16" spans="1:32" ht="54" customHeight="1" thickBot="1" x14ac:dyDescent="0.3">
      <c r="A16" s="131"/>
      <c r="B16" s="599"/>
      <c r="C16" s="247" t="s">
        <v>153</v>
      </c>
      <c r="D16" s="256" t="s">
        <v>149</v>
      </c>
      <c r="E16" s="319"/>
      <c r="F16" s="157" t="s">
        <v>72</v>
      </c>
      <c r="G16" s="157" t="s">
        <v>72</v>
      </c>
      <c r="H16" s="214"/>
      <c r="I16" s="288"/>
      <c r="J16" s="599"/>
      <c r="K16" s="247" t="s">
        <v>153</v>
      </c>
      <c r="L16" s="256" t="s">
        <v>157</v>
      </c>
      <c r="M16" s="150"/>
      <c r="N16" s="376" t="s">
        <v>148</v>
      </c>
      <c r="O16" s="376" t="s">
        <v>148</v>
      </c>
      <c r="P16" s="160"/>
      <c r="Q16" s="277"/>
      <c r="R16" s="599"/>
      <c r="S16" s="247" t="s">
        <v>153</v>
      </c>
      <c r="T16" s="337" t="s">
        <v>165</v>
      </c>
      <c r="U16" s="338"/>
      <c r="V16" s="339" t="s">
        <v>145</v>
      </c>
      <c r="W16" s="339" t="s">
        <v>145</v>
      </c>
      <c r="X16" s="160"/>
      <c r="Y16" s="277"/>
      <c r="Z16" s="599"/>
      <c r="AA16" s="335" t="s">
        <v>153</v>
      </c>
      <c r="AB16" s="411" t="s">
        <v>150</v>
      </c>
      <c r="AC16" s="412"/>
      <c r="AD16" s="413" t="s">
        <v>210</v>
      </c>
      <c r="AE16" s="413" t="s">
        <v>210</v>
      </c>
      <c r="AF16" s="203"/>
    </row>
    <row r="17" spans="1:37" ht="48" customHeight="1" thickBot="1" x14ac:dyDescent="0.3">
      <c r="A17" s="131"/>
      <c r="B17" s="598"/>
      <c r="C17" s="223" t="s">
        <v>33</v>
      </c>
      <c r="D17" s="257" t="s">
        <v>155</v>
      </c>
      <c r="E17" s="320" t="s">
        <v>74</v>
      </c>
      <c r="F17" s="322" t="s">
        <v>188</v>
      </c>
      <c r="G17" s="322" t="s">
        <v>188</v>
      </c>
      <c r="H17" s="208"/>
      <c r="I17" s="278"/>
      <c r="J17" s="598"/>
      <c r="K17" s="262" t="s">
        <v>33</v>
      </c>
      <c r="L17" s="263" t="s">
        <v>155</v>
      </c>
      <c r="M17" s="148" t="s">
        <v>74</v>
      </c>
      <c r="N17" s="374" t="s">
        <v>75</v>
      </c>
      <c r="O17" s="375" t="s">
        <v>75</v>
      </c>
      <c r="P17" s="171"/>
      <c r="Q17" s="280"/>
      <c r="R17" s="598"/>
      <c r="S17" s="262" t="s">
        <v>33</v>
      </c>
      <c r="T17" s="263" t="s">
        <v>155</v>
      </c>
      <c r="U17" s="148" t="s">
        <v>74</v>
      </c>
      <c r="V17" s="148" t="s">
        <v>75</v>
      </c>
      <c r="W17" s="155" t="s">
        <v>75</v>
      </c>
      <c r="X17" s="171"/>
      <c r="Y17" s="280"/>
      <c r="Z17" s="598"/>
      <c r="AA17" s="262" t="s">
        <v>33</v>
      </c>
      <c r="AB17" s="401" t="s">
        <v>155</v>
      </c>
      <c r="AC17" s="148" t="s">
        <v>74</v>
      </c>
      <c r="AD17" s="148" t="s">
        <v>119</v>
      </c>
      <c r="AE17" s="148" t="s">
        <v>119</v>
      </c>
      <c r="AF17" s="203"/>
    </row>
    <row r="18" spans="1:37" ht="16.5" customHeight="1" thickBot="1" x14ac:dyDescent="0.3">
      <c r="A18" s="3"/>
      <c r="B18" s="601" t="s">
        <v>168</v>
      </c>
      <c r="C18" s="604" t="s">
        <v>8</v>
      </c>
      <c r="D18" s="605"/>
      <c r="E18" s="605"/>
      <c r="F18" s="605"/>
      <c r="G18" s="605"/>
      <c r="H18" s="208"/>
      <c r="I18" s="279"/>
      <c r="J18" s="601" t="s">
        <v>168</v>
      </c>
      <c r="K18" s="604" t="s">
        <v>8</v>
      </c>
      <c r="L18" s="605"/>
      <c r="M18" s="605"/>
      <c r="N18" s="605"/>
      <c r="O18" s="605"/>
      <c r="P18" s="135"/>
      <c r="Q18" s="279"/>
      <c r="R18" s="601" t="s">
        <v>168</v>
      </c>
      <c r="S18" s="604" t="s">
        <v>8</v>
      </c>
      <c r="T18" s="605"/>
      <c r="U18" s="605"/>
      <c r="V18" s="605"/>
      <c r="W18" s="605"/>
      <c r="X18" s="135"/>
      <c r="Y18" s="279"/>
      <c r="Z18" s="601" t="s">
        <v>168</v>
      </c>
      <c r="AA18" s="604" t="s">
        <v>8</v>
      </c>
      <c r="AB18" s="605"/>
      <c r="AC18" s="605"/>
      <c r="AD18" s="605"/>
      <c r="AE18" s="605"/>
      <c r="AF18" s="203"/>
    </row>
    <row r="19" spans="1:37" ht="64.5" customHeight="1" thickBot="1" x14ac:dyDescent="0.3">
      <c r="B19" s="602"/>
      <c r="C19" s="219" t="s">
        <v>174</v>
      </c>
      <c r="D19" s="172"/>
      <c r="E19" s="158" t="s">
        <v>120</v>
      </c>
      <c r="F19" s="284" t="s">
        <v>179</v>
      </c>
      <c r="G19" s="158" t="s">
        <v>121</v>
      </c>
      <c r="H19" s="208"/>
      <c r="I19" s="214"/>
      <c r="J19" s="602"/>
      <c r="K19" s="219" t="s">
        <v>174</v>
      </c>
      <c r="L19" s="172"/>
      <c r="M19" s="158" t="s">
        <v>120</v>
      </c>
      <c r="N19" s="284" t="s">
        <v>179</v>
      </c>
      <c r="O19" s="158" t="s">
        <v>120</v>
      </c>
      <c r="P19" s="214"/>
      <c r="Q19" s="214"/>
      <c r="R19" s="602"/>
      <c r="S19" s="245" t="s">
        <v>174</v>
      </c>
      <c r="T19" s="172"/>
      <c r="U19" s="158" t="s">
        <v>120</v>
      </c>
      <c r="V19" s="284" t="s">
        <v>179</v>
      </c>
      <c r="W19" s="158" t="s">
        <v>121</v>
      </c>
      <c r="X19" s="214"/>
      <c r="Y19" s="214"/>
      <c r="Z19" s="602"/>
      <c r="AA19" s="245" t="s">
        <v>174</v>
      </c>
      <c r="AB19" s="172"/>
      <c r="AC19" s="158" t="s">
        <v>120</v>
      </c>
      <c r="AD19" s="284" t="s">
        <v>179</v>
      </c>
      <c r="AE19" s="158" t="s">
        <v>120</v>
      </c>
      <c r="AF19" s="433"/>
    </row>
    <row r="20" spans="1:37" ht="18" customHeight="1" thickBot="1" x14ac:dyDescent="0.3">
      <c r="A20" s="3"/>
      <c r="B20" s="603"/>
      <c r="C20" s="224" t="s">
        <v>26</v>
      </c>
      <c r="D20" s="173"/>
      <c r="E20" s="159" t="s">
        <v>77</v>
      </c>
      <c r="F20" s="283" t="s">
        <v>78</v>
      </c>
      <c r="G20" s="213" t="s">
        <v>107</v>
      </c>
      <c r="H20" s="208"/>
      <c r="I20" s="214"/>
      <c r="J20" s="603"/>
      <c r="K20" s="378" t="s">
        <v>26</v>
      </c>
      <c r="L20" s="173"/>
      <c r="M20" s="159" t="s">
        <v>77</v>
      </c>
      <c r="N20" s="159" t="s">
        <v>78</v>
      </c>
      <c r="O20" s="159" t="s">
        <v>107</v>
      </c>
      <c r="P20" s="214"/>
      <c r="Q20" s="214"/>
      <c r="R20" s="603"/>
      <c r="S20" s="264" t="s">
        <v>26</v>
      </c>
      <c r="T20" s="173"/>
      <c r="U20" s="159" t="s">
        <v>77</v>
      </c>
      <c r="V20" s="283" t="s">
        <v>78</v>
      </c>
      <c r="W20" s="159" t="s">
        <v>107</v>
      </c>
      <c r="X20" s="214"/>
      <c r="Y20" s="214"/>
      <c r="Z20" s="603"/>
      <c r="AA20" s="264" t="s">
        <v>26</v>
      </c>
      <c r="AB20" s="173"/>
      <c r="AC20" s="159" t="s">
        <v>77</v>
      </c>
      <c r="AD20" s="212" t="s">
        <v>78</v>
      </c>
      <c r="AE20" s="159" t="s">
        <v>107</v>
      </c>
      <c r="AF20" s="439" t="s">
        <v>52</v>
      </c>
    </row>
    <row r="21" spans="1:37" ht="40.5" customHeight="1" thickBot="1" x14ac:dyDescent="0.3">
      <c r="B21" s="275"/>
      <c r="C21" s="2"/>
      <c r="D21" s="2"/>
      <c r="E21" s="174"/>
      <c r="F21" s="174"/>
      <c r="G21" s="174"/>
      <c r="H21" s="208"/>
      <c r="I21" s="214"/>
      <c r="J21" s="275"/>
      <c r="K21" s="2"/>
      <c r="L21" s="2"/>
      <c r="M21" s="174"/>
      <c r="N21" s="174"/>
      <c r="O21" s="174"/>
      <c r="P21" s="214"/>
      <c r="Q21" s="214"/>
      <c r="R21" s="275"/>
      <c r="S21" s="2"/>
      <c r="T21" s="2"/>
      <c r="U21" s="174"/>
      <c r="V21" s="174"/>
      <c r="W21" s="174"/>
      <c r="X21" s="214"/>
      <c r="Y21" s="214"/>
      <c r="Z21" s="275"/>
      <c r="AA21" s="2"/>
      <c r="AB21" s="2"/>
      <c r="AC21" s="174"/>
      <c r="AD21" s="174"/>
      <c r="AE21" s="174"/>
      <c r="AF21" s="440" t="s">
        <v>123</v>
      </c>
    </row>
    <row r="22" spans="1:37" ht="16.5" customHeight="1" thickBot="1" x14ac:dyDescent="0.3">
      <c r="B22" s="597" t="s">
        <v>169</v>
      </c>
      <c r="C22" s="627" t="s">
        <v>10</v>
      </c>
      <c r="D22" s="628"/>
      <c r="E22" s="628"/>
      <c r="F22" s="628"/>
      <c r="G22" s="629"/>
      <c r="H22" s="208"/>
      <c r="I22" s="214"/>
      <c r="J22" s="597" t="s">
        <v>169</v>
      </c>
      <c r="K22" s="627" t="s">
        <v>10</v>
      </c>
      <c r="L22" s="628"/>
      <c r="M22" s="628"/>
      <c r="N22" s="628"/>
      <c r="O22" s="629"/>
      <c r="P22" s="214"/>
      <c r="Q22" s="214"/>
      <c r="R22" s="597" t="s">
        <v>169</v>
      </c>
      <c r="S22" s="627" t="s">
        <v>10</v>
      </c>
      <c r="T22" s="628"/>
      <c r="U22" s="628"/>
      <c r="V22" s="628"/>
      <c r="W22" s="629"/>
      <c r="X22" s="214"/>
      <c r="Y22" s="214"/>
      <c r="Z22" s="597" t="s">
        <v>169</v>
      </c>
      <c r="AA22" s="627" t="s">
        <v>10</v>
      </c>
      <c r="AB22" s="628"/>
      <c r="AC22" s="628"/>
      <c r="AD22" s="628"/>
      <c r="AE22" s="629"/>
      <c r="AF22" s="439" t="s">
        <v>129</v>
      </c>
    </row>
    <row r="23" spans="1:37" ht="30.75" customHeight="1" thickBot="1" x14ac:dyDescent="0.3">
      <c r="B23" s="599"/>
      <c r="C23" s="219" t="s">
        <v>11</v>
      </c>
      <c r="D23" s="258">
        <v>0.04</v>
      </c>
      <c r="E23" s="177" t="s">
        <v>81</v>
      </c>
      <c r="F23" s="193" t="s">
        <v>108</v>
      </c>
      <c r="G23" s="193" t="s">
        <v>109</v>
      </c>
      <c r="H23" s="214"/>
      <c r="I23" s="208"/>
      <c r="J23" s="599"/>
      <c r="K23" s="377" t="s">
        <v>11</v>
      </c>
      <c r="L23" s="258">
        <v>0.04</v>
      </c>
      <c r="M23" s="177" t="s">
        <v>81</v>
      </c>
      <c r="N23" s="193" t="s">
        <v>108</v>
      </c>
      <c r="O23" s="193" t="s">
        <v>109</v>
      </c>
      <c r="P23" s="208"/>
      <c r="Q23" s="208"/>
      <c r="R23" s="599"/>
      <c r="S23" s="244" t="s">
        <v>11</v>
      </c>
      <c r="T23" s="258">
        <v>0.04</v>
      </c>
      <c r="U23" s="177" t="s">
        <v>81</v>
      </c>
      <c r="V23" s="193" t="s">
        <v>108</v>
      </c>
      <c r="W23" s="193" t="s">
        <v>109</v>
      </c>
      <c r="X23" s="208"/>
      <c r="Y23" s="208"/>
      <c r="Z23" s="599"/>
      <c r="AA23" s="244" t="s">
        <v>11</v>
      </c>
      <c r="AB23" s="258">
        <v>0.04</v>
      </c>
      <c r="AC23" s="177" t="s">
        <v>81</v>
      </c>
      <c r="AD23" s="193" t="s">
        <v>108</v>
      </c>
      <c r="AE23" s="193" t="s">
        <v>109</v>
      </c>
      <c r="AF23" s="441" t="s">
        <v>124</v>
      </c>
    </row>
    <row r="24" spans="1:37" ht="30.75" customHeight="1" thickBot="1" x14ac:dyDescent="0.3">
      <c r="B24" s="599"/>
      <c r="C24" s="219" t="s">
        <v>12</v>
      </c>
      <c r="D24" s="258">
        <v>0.06</v>
      </c>
      <c r="E24" s="178" t="s">
        <v>82</v>
      </c>
      <c r="F24" s="185" t="s">
        <v>110</v>
      </c>
      <c r="G24" s="185" t="s">
        <v>114</v>
      </c>
      <c r="H24" s="214"/>
      <c r="I24" s="208"/>
      <c r="J24" s="599"/>
      <c r="K24" s="377" t="s">
        <v>12</v>
      </c>
      <c r="L24" s="258">
        <v>0.06</v>
      </c>
      <c r="M24" s="178" t="s">
        <v>82</v>
      </c>
      <c r="N24" s="185" t="s">
        <v>110</v>
      </c>
      <c r="O24" s="185" t="s">
        <v>114</v>
      </c>
      <c r="P24" s="208"/>
      <c r="Q24" s="208"/>
      <c r="R24" s="599"/>
      <c r="S24" s="244" t="s">
        <v>12</v>
      </c>
      <c r="T24" s="258">
        <v>0.06</v>
      </c>
      <c r="U24" s="178" t="s">
        <v>82</v>
      </c>
      <c r="V24" s="185" t="s">
        <v>110</v>
      </c>
      <c r="W24" s="185" t="s">
        <v>114</v>
      </c>
      <c r="X24" s="208"/>
      <c r="Y24" s="208"/>
      <c r="Z24" s="599"/>
      <c r="AA24" s="244" t="s">
        <v>12</v>
      </c>
      <c r="AB24" s="258">
        <v>0.06</v>
      </c>
      <c r="AC24" s="178" t="s">
        <v>82</v>
      </c>
      <c r="AD24" s="185" t="s">
        <v>110</v>
      </c>
      <c r="AE24" s="185" t="s">
        <v>114</v>
      </c>
      <c r="AF24" s="442"/>
    </row>
    <row r="25" spans="1:37" ht="30" customHeight="1" x14ac:dyDescent="0.25">
      <c r="B25" s="599"/>
      <c r="C25" s="219" t="s">
        <v>13</v>
      </c>
      <c r="D25" s="258">
        <v>0.05</v>
      </c>
      <c r="E25" s="178" t="s">
        <v>233</v>
      </c>
      <c r="F25" s="185" t="s">
        <v>111</v>
      </c>
      <c r="G25" s="185" t="s">
        <v>115</v>
      </c>
      <c r="H25" s="215"/>
      <c r="I25" s="208"/>
      <c r="J25" s="599"/>
      <c r="K25" s="377" t="s">
        <v>13</v>
      </c>
      <c r="L25" s="258">
        <v>0.05</v>
      </c>
      <c r="M25" s="178" t="s">
        <v>233</v>
      </c>
      <c r="N25" s="185" t="s">
        <v>111</v>
      </c>
      <c r="O25" s="185" t="s">
        <v>115</v>
      </c>
      <c r="P25" s="208"/>
      <c r="Q25" s="208"/>
      <c r="R25" s="599"/>
      <c r="S25" s="244" t="s">
        <v>13</v>
      </c>
      <c r="T25" s="258">
        <v>0.05</v>
      </c>
      <c r="U25" s="178" t="s">
        <v>233</v>
      </c>
      <c r="V25" s="185" t="s">
        <v>111</v>
      </c>
      <c r="W25" s="185" t="s">
        <v>115</v>
      </c>
      <c r="X25" s="208"/>
      <c r="Y25" s="208"/>
      <c r="Z25" s="599"/>
      <c r="AA25" s="244" t="s">
        <v>13</v>
      </c>
      <c r="AB25" s="258">
        <v>0.05</v>
      </c>
      <c r="AC25" s="178" t="s">
        <v>233</v>
      </c>
      <c r="AD25" s="178" t="s">
        <v>233</v>
      </c>
      <c r="AE25" s="178" t="s">
        <v>233</v>
      </c>
      <c r="AF25" s="443" t="s">
        <v>53</v>
      </c>
      <c r="AK25" s="435">
        <v>4</v>
      </c>
    </row>
    <row r="26" spans="1:37" ht="39.75" customHeight="1" thickBot="1" x14ac:dyDescent="0.3">
      <c r="B26" s="599"/>
      <c r="C26" s="219" t="s">
        <v>14</v>
      </c>
      <c r="D26" s="258">
        <v>0.02</v>
      </c>
      <c r="E26" s="178" t="s">
        <v>83</v>
      </c>
      <c r="F26" s="185" t="s">
        <v>112</v>
      </c>
      <c r="G26" s="185" t="s">
        <v>112</v>
      </c>
      <c r="H26" s="214"/>
      <c r="I26" s="208"/>
      <c r="J26" s="599"/>
      <c r="K26" s="377" t="s">
        <v>14</v>
      </c>
      <c r="L26" s="258">
        <v>0.02</v>
      </c>
      <c r="M26" s="178" t="s">
        <v>83</v>
      </c>
      <c r="N26" s="185" t="s">
        <v>112</v>
      </c>
      <c r="O26" s="185" t="s">
        <v>112</v>
      </c>
      <c r="P26" s="208"/>
      <c r="Q26" s="208"/>
      <c r="R26" s="599"/>
      <c r="S26" s="244" t="s">
        <v>14</v>
      </c>
      <c r="T26" s="258">
        <v>0.02</v>
      </c>
      <c r="U26" s="178" t="s">
        <v>83</v>
      </c>
      <c r="V26" s="185" t="s">
        <v>112</v>
      </c>
      <c r="W26" s="185" t="s">
        <v>112</v>
      </c>
      <c r="X26" s="208"/>
      <c r="Y26" s="208"/>
      <c r="Z26" s="599"/>
      <c r="AA26" s="244" t="s">
        <v>14</v>
      </c>
      <c r="AB26" s="258">
        <v>0.02</v>
      </c>
      <c r="AC26" s="178" t="s">
        <v>83</v>
      </c>
      <c r="AD26" s="185" t="s">
        <v>112</v>
      </c>
      <c r="AE26" s="185" t="s">
        <v>112</v>
      </c>
      <c r="AF26" s="444" t="s">
        <v>125</v>
      </c>
    </row>
    <row r="27" spans="1:37" ht="36" customHeight="1" x14ac:dyDescent="0.25">
      <c r="B27" s="599"/>
      <c r="C27" s="219" t="s">
        <v>37</v>
      </c>
      <c r="D27" s="258">
        <v>0.05</v>
      </c>
      <c r="E27" s="178" t="s">
        <v>84</v>
      </c>
      <c r="F27" s="185" t="s">
        <v>113</v>
      </c>
      <c r="G27" s="185" t="s">
        <v>116</v>
      </c>
      <c r="H27" s="214"/>
      <c r="I27" s="208"/>
      <c r="J27" s="599"/>
      <c r="K27" s="377" t="s">
        <v>37</v>
      </c>
      <c r="L27" s="258">
        <v>0.05</v>
      </c>
      <c r="M27" s="178" t="s">
        <v>84</v>
      </c>
      <c r="N27" s="185" t="s">
        <v>113</v>
      </c>
      <c r="O27" s="185" t="s">
        <v>116</v>
      </c>
      <c r="P27" s="208"/>
      <c r="Q27" s="208"/>
      <c r="R27" s="599"/>
      <c r="S27" s="244" t="s">
        <v>37</v>
      </c>
      <c r="T27" s="258">
        <v>0.05</v>
      </c>
      <c r="U27" s="178" t="s">
        <v>84</v>
      </c>
      <c r="V27" s="185" t="s">
        <v>113</v>
      </c>
      <c r="W27" s="185" t="s">
        <v>116</v>
      </c>
      <c r="X27" s="208"/>
      <c r="Y27" s="208"/>
      <c r="Z27" s="599"/>
      <c r="AA27" s="244" t="s">
        <v>37</v>
      </c>
      <c r="AB27" s="258">
        <v>0.05</v>
      </c>
      <c r="AC27" s="178" t="s">
        <v>84</v>
      </c>
      <c r="AD27" s="185" t="s">
        <v>113</v>
      </c>
      <c r="AE27" s="185" t="s">
        <v>116</v>
      </c>
      <c r="AF27" s="443" t="s">
        <v>128</v>
      </c>
    </row>
    <row r="28" spans="1:37" ht="51" customHeight="1" thickBot="1" x14ac:dyDescent="0.3">
      <c r="B28" s="599"/>
      <c r="C28" s="219" t="s">
        <v>41</v>
      </c>
      <c r="D28" s="175"/>
      <c r="E28" s="179" t="s">
        <v>95</v>
      </c>
      <c r="F28" s="185" t="s">
        <v>96</v>
      </c>
      <c r="G28" s="185" t="s">
        <v>96</v>
      </c>
      <c r="H28" s="214"/>
      <c r="I28" s="208"/>
      <c r="J28" s="599"/>
      <c r="K28" s="377" t="s">
        <v>41</v>
      </c>
      <c r="L28" s="258"/>
      <c r="M28" s="179" t="s">
        <v>95</v>
      </c>
      <c r="N28" s="185" t="s">
        <v>96</v>
      </c>
      <c r="O28" s="185" t="s">
        <v>96</v>
      </c>
      <c r="P28" s="208"/>
      <c r="Q28" s="208"/>
      <c r="R28" s="599"/>
      <c r="S28" s="244" t="s">
        <v>41</v>
      </c>
      <c r="T28" s="175"/>
      <c r="U28" s="179" t="s">
        <v>95</v>
      </c>
      <c r="V28" s="185" t="s">
        <v>96</v>
      </c>
      <c r="W28" s="185" t="s">
        <v>96</v>
      </c>
      <c r="X28" s="208"/>
      <c r="Y28" s="208"/>
      <c r="Z28" s="599"/>
      <c r="AA28" s="244" t="s">
        <v>41</v>
      </c>
      <c r="AB28" s="258"/>
      <c r="AC28" s="179" t="s">
        <v>95</v>
      </c>
      <c r="AD28" s="185" t="s">
        <v>96</v>
      </c>
      <c r="AE28" s="185" t="s">
        <v>96</v>
      </c>
      <c r="AF28" s="445" t="s">
        <v>126</v>
      </c>
    </row>
    <row r="29" spans="1:37" ht="51" customHeight="1" thickBot="1" x14ac:dyDescent="0.3">
      <c r="B29" s="599"/>
      <c r="C29" s="555" t="s">
        <v>227</v>
      </c>
      <c r="D29" s="556" t="s">
        <v>228</v>
      </c>
      <c r="E29" s="554" t="s">
        <v>232</v>
      </c>
      <c r="F29" s="554" t="s">
        <v>232</v>
      </c>
      <c r="G29" s="553" t="s">
        <v>232</v>
      </c>
      <c r="H29" s="214"/>
      <c r="I29" s="208"/>
      <c r="J29" s="599"/>
      <c r="K29" s="555" t="s">
        <v>227</v>
      </c>
      <c r="L29" s="556" t="s">
        <v>228</v>
      </c>
      <c r="M29" s="554" t="s">
        <v>232</v>
      </c>
      <c r="N29" s="554" t="s">
        <v>232</v>
      </c>
      <c r="O29" s="553" t="s">
        <v>232</v>
      </c>
      <c r="P29" s="208"/>
      <c r="Q29" s="208"/>
      <c r="R29" s="599"/>
      <c r="S29" s="555" t="s">
        <v>227</v>
      </c>
      <c r="T29" s="556" t="s">
        <v>228</v>
      </c>
      <c r="U29" s="554" t="s">
        <v>232</v>
      </c>
      <c r="V29" s="554" t="s">
        <v>232</v>
      </c>
      <c r="W29" s="553" t="s">
        <v>232</v>
      </c>
      <c r="X29" s="208"/>
      <c r="Y29" s="208"/>
      <c r="Z29" s="599"/>
      <c r="AA29" s="555" t="s">
        <v>227</v>
      </c>
      <c r="AB29" s="556" t="s">
        <v>228</v>
      </c>
      <c r="AC29" s="554" t="s">
        <v>232</v>
      </c>
      <c r="AD29" s="554" t="s">
        <v>232</v>
      </c>
      <c r="AE29" s="553" t="s">
        <v>232</v>
      </c>
      <c r="AF29" s="557"/>
    </row>
    <row r="30" spans="1:37" ht="54" customHeight="1" thickBot="1" x14ac:dyDescent="0.3">
      <c r="B30" s="598"/>
      <c r="C30" s="224" t="s">
        <v>39</v>
      </c>
      <c r="D30" s="173"/>
      <c r="E30" s="180" t="s">
        <v>97</v>
      </c>
      <c r="F30" s="164" t="s">
        <v>98</v>
      </c>
      <c r="G30" s="164" t="s">
        <v>98</v>
      </c>
      <c r="H30" s="214"/>
      <c r="I30" s="214"/>
      <c r="J30" s="598"/>
      <c r="K30" s="378" t="s">
        <v>39</v>
      </c>
      <c r="L30" s="379"/>
      <c r="M30" s="180" t="s">
        <v>97</v>
      </c>
      <c r="N30" s="164" t="s">
        <v>98</v>
      </c>
      <c r="O30" s="164" t="s">
        <v>98</v>
      </c>
      <c r="P30" s="214"/>
      <c r="Q30" s="214"/>
      <c r="R30" s="598"/>
      <c r="S30" s="264" t="s">
        <v>39</v>
      </c>
      <c r="T30" s="173"/>
      <c r="U30" s="180" t="s">
        <v>97</v>
      </c>
      <c r="V30" s="164" t="s">
        <v>98</v>
      </c>
      <c r="W30" s="164" t="s">
        <v>98</v>
      </c>
      <c r="X30" s="214"/>
      <c r="Y30" s="214"/>
      <c r="Z30" s="598"/>
      <c r="AA30" s="264" t="s">
        <v>39</v>
      </c>
      <c r="AB30" s="379"/>
      <c r="AC30" s="180" t="s">
        <v>97</v>
      </c>
      <c r="AD30" s="164" t="s">
        <v>98</v>
      </c>
      <c r="AE30" s="164" t="s">
        <v>98</v>
      </c>
      <c r="AF30" s="446"/>
    </row>
    <row r="31" spans="1:37" ht="47.25" customHeight="1" x14ac:dyDescent="0.25">
      <c r="B31" s="597" t="s">
        <v>170</v>
      </c>
      <c r="C31" s="537" t="s">
        <v>156</v>
      </c>
      <c r="D31" s="538"/>
      <c r="E31" s="534" t="s">
        <v>135</v>
      </c>
      <c r="F31" s="534" t="s">
        <v>136</v>
      </c>
      <c r="G31" s="534" t="s">
        <v>136</v>
      </c>
      <c r="H31" s="214"/>
      <c r="I31" s="214"/>
      <c r="J31" s="597" t="s">
        <v>170</v>
      </c>
      <c r="K31" s="541" t="s">
        <v>156</v>
      </c>
      <c r="L31" s="538"/>
      <c r="M31" s="534" t="s">
        <v>135</v>
      </c>
      <c r="N31" s="534" t="s">
        <v>136</v>
      </c>
      <c r="O31" s="534" t="s">
        <v>136</v>
      </c>
      <c r="P31" s="214"/>
      <c r="Q31" s="214"/>
      <c r="R31" s="597" t="s">
        <v>170</v>
      </c>
      <c r="S31" s="543" t="s">
        <v>156</v>
      </c>
      <c r="T31" s="538"/>
      <c r="U31" s="534" t="s">
        <v>135</v>
      </c>
      <c r="V31" s="534" t="s">
        <v>136</v>
      </c>
      <c r="W31" s="534" t="s">
        <v>136</v>
      </c>
      <c r="X31" s="214"/>
      <c r="Y31" s="214"/>
      <c r="Z31" s="597" t="s">
        <v>170</v>
      </c>
      <c r="AA31" s="543" t="s">
        <v>156</v>
      </c>
      <c r="AB31" s="545"/>
      <c r="AC31" s="534" t="s">
        <v>135</v>
      </c>
      <c r="AD31" s="534" t="s">
        <v>136</v>
      </c>
      <c r="AE31" s="534" t="s">
        <v>136</v>
      </c>
      <c r="AF31" s="447" t="s">
        <v>54</v>
      </c>
    </row>
    <row r="32" spans="1:37" ht="37.15" customHeight="1" thickBot="1" x14ac:dyDescent="0.3">
      <c r="B32" s="598"/>
      <c r="C32" s="539" t="s">
        <v>34</v>
      </c>
      <c r="D32" s="540"/>
      <c r="E32" s="536" t="s">
        <v>99</v>
      </c>
      <c r="F32" s="536" t="s">
        <v>99</v>
      </c>
      <c r="G32" s="536" t="s">
        <v>99</v>
      </c>
      <c r="H32" s="214"/>
      <c r="I32" s="215"/>
      <c r="J32" s="598"/>
      <c r="K32" s="542" t="s">
        <v>34</v>
      </c>
      <c r="L32" s="540"/>
      <c r="M32" s="536" t="s">
        <v>99</v>
      </c>
      <c r="N32" s="536" t="s">
        <v>99</v>
      </c>
      <c r="O32" s="536" t="s">
        <v>99</v>
      </c>
      <c r="P32" s="215"/>
      <c r="Q32" s="215"/>
      <c r="R32" s="598"/>
      <c r="S32" s="544" t="s">
        <v>34</v>
      </c>
      <c r="T32" s="540"/>
      <c r="U32" s="536" t="s">
        <v>99</v>
      </c>
      <c r="V32" s="536" t="s">
        <v>99</v>
      </c>
      <c r="W32" s="536" t="s">
        <v>99</v>
      </c>
      <c r="X32" s="215"/>
      <c r="Y32" s="215"/>
      <c r="Z32" s="598"/>
      <c r="AA32" s="544" t="s">
        <v>34</v>
      </c>
      <c r="AB32" s="540"/>
      <c r="AC32" s="536" t="s">
        <v>99</v>
      </c>
      <c r="AD32" s="536" t="s">
        <v>99</v>
      </c>
      <c r="AE32" s="536" t="s">
        <v>99</v>
      </c>
      <c r="AF32" s="434" t="s">
        <v>127</v>
      </c>
    </row>
    <row r="33" spans="2:32" ht="18" customHeight="1" thickBot="1" x14ac:dyDescent="0.3">
      <c r="B33" s="597" t="s">
        <v>171</v>
      </c>
      <c r="C33" s="604" t="s">
        <v>17</v>
      </c>
      <c r="D33" s="605"/>
      <c r="E33" s="605"/>
      <c r="F33" s="605"/>
      <c r="G33" s="606"/>
      <c r="H33" s="214"/>
      <c r="I33" s="214"/>
      <c r="J33" s="597" t="s">
        <v>171</v>
      </c>
      <c r="K33" s="604" t="s">
        <v>17</v>
      </c>
      <c r="L33" s="605"/>
      <c r="M33" s="605"/>
      <c r="N33" s="605"/>
      <c r="O33" s="606"/>
      <c r="P33" s="214"/>
      <c r="Q33" s="214"/>
      <c r="R33" s="597" t="s">
        <v>171</v>
      </c>
      <c r="S33" s="607" t="s">
        <v>17</v>
      </c>
      <c r="T33" s="608"/>
      <c r="U33" s="608"/>
      <c r="V33" s="608"/>
      <c r="W33" s="609"/>
      <c r="X33" s="214"/>
      <c r="Y33" s="214"/>
      <c r="Z33" s="597" t="s">
        <v>171</v>
      </c>
      <c r="AA33" s="604" t="s">
        <v>17</v>
      </c>
      <c r="AB33" s="605"/>
      <c r="AC33" s="605"/>
      <c r="AD33" s="605"/>
      <c r="AE33" s="606"/>
      <c r="AF33" s="448" t="s">
        <v>55</v>
      </c>
    </row>
    <row r="34" spans="2:32" ht="47.1" customHeight="1" thickBot="1" x14ac:dyDescent="0.3">
      <c r="B34" s="599"/>
      <c r="C34" s="220" t="s">
        <v>18</v>
      </c>
      <c r="D34" s="137"/>
      <c r="E34" s="194" t="s">
        <v>117</v>
      </c>
      <c r="F34" s="194" t="s">
        <v>117</v>
      </c>
      <c r="G34" s="194" t="s">
        <v>117</v>
      </c>
      <c r="H34" s="214"/>
      <c r="I34" s="214"/>
      <c r="J34" s="599"/>
      <c r="K34" s="377" t="s">
        <v>18</v>
      </c>
      <c r="L34" s="137"/>
      <c r="M34" s="194" t="s">
        <v>117</v>
      </c>
      <c r="N34" s="194" t="s">
        <v>117</v>
      </c>
      <c r="O34" s="194" t="s">
        <v>117</v>
      </c>
      <c r="P34" s="214"/>
      <c r="Q34" s="214"/>
      <c r="R34" s="599"/>
      <c r="S34" s="559" t="s">
        <v>18</v>
      </c>
      <c r="T34" s="297"/>
      <c r="U34" s="560" t="s">
        <v>117</v>
      </c>
      <c r="V34" s="560" t="s">
        <v>117</v>
      </c>
      <c r="W34" s="560" t="s">
        <v>117</v>
      </c>
      <c r="X34" s="214"/>
      <c r="Y34" s="214"/>
      <c r="Z34" s="599"/>
      <c r="AA34" s="244" t="s">
        <v>18</v>
      </c>
      <c r="AB34" s="137"/>
      <c r="AC34" s="194" t="s">
        <v>117</v>
      </c>
      <c r="AD34" s="394" t="s">
        <v>122</v>
      </c>
      <c r="AE34" s="394" t="s">
        <v>122</v>
      </c>
      <c r="AF34" s="394" t="s">
        <v>130</v>
      </c>
    </row>
    <row r="35" spans="2:32" ht="18" customHeight="1" thickBot="1" x14ac:dyDescent="0.3">
      <c r="B35" s="598"/>
      <c r="C35" s="221" t="s">
        <v>19</v>
      </c>
      <c r="D35" s="138"/>
      <c r="E35" s="165" t="s">
        <v>101</v>
      </c>
      <c r="F35" s="165" t="s">
        <v>101</v>
      </c>
      <c r="G35" s="165" t="s">
        <v>101</v>
      </c>
      <c r="H35" s="214"/>
      <c r="I35" s="214"/>
      <c r="J35" s="598"/>
      <c r="K35" s="380" t="s">
        <v>19</v>
      </c>
      <c r="L35" s="138"/>
      <c r="M35" s="165" t="s">
        <v>101</v>
      </c>
      <c r="N35" s="165" t="s">
        <v>101</v>
      </c>
      <c r="O35" s="165" t="s">
        <v>101</v>
      </c>
      <c r="P35" s="214"/>
      <c r="Q35" s="214"/>
      <c r="R35" s="598"/>
      <c r="S35" s="251" t="s">
        <v>19</v>
      </c>
      <c r="T35" s="547"/>
      <c r="U35" s="165" t="s">
        <v>101</v>
      </c>
      <c r="V35" s="165" t="s">
        <v>101</v>
      </c>
      <c r="W35" s="165" t="s">
        <v>101</v>
      </c>
      <c r="X35" s="214"/>
      <c r="Y35" s="214"/>
      <c r="Z35" s="598"/>
      <c r="AA35" s="251" t="s">
        <v>19</v>
      </c>
      <c r="AB35" s="138"/>
      <c r="AC35" s="195" t="s">
        <v>101</v>
      </c>
      <c r="AD35" s="393" t="s">
        <v>101</v>
      </c>
      <c r="AE35" s="393" t="s">
        <v>101</v>
      </c>
      <c r="AF35" s="214"/>
    </row>
    <row r="36" spans="2:32" ht="19.149999999999999" customHeight="1" thickBot="1" x14ac:dyDescent="0.3">
      <c r="B36" s="597" t="s">
        <v>172</v>
      </c>
      <c r="C36" s="630" t="s">
        <v>20</v>
      </c>
      <c r="D36" s="631"/>
      <c r="E36" s="605"/>
      <c r="F36" s="605"/>
      <c r="G36" s="606"/>
      <c r="H36" s="214"/>
      <c r="I36" s="214"/>
      <c r="J36" s="597" t="s">
        <v>172</v>
      </c>
      <c r="K36" s="630" t="s">
        <v>20</v>
      </c>
      <c r="L36" s="631"/>
      <c r="M36" s="605"/>
      <c r="N36" s="605"/>
      <c r="O36" s="606"/>
      <c r="P36" s="214"/>
      <c r="Q36" s="214"/>
      <c r="R36" s="597" t="s">
        <v>172</v>
      </c>
      <c r="S36" s="630" t="s">
        <v>20</v>
      </c>
      <c r="T36" s="631"/>
      <c r="U36" s="605"/>
      <c r="V36" s="605"/>
      <c r="W36" s="606"/>
      <c r="X36" s="214"/>
      <c r="Y36" s="214"/>
      <c r="Z36" s="597" t="s">
        <v>172</v>
      </c>
      <c r="AA36" s="630" t="s">
        <v>20</v>
      </c>
      <c r="AB36" s="631"/>
      <c r="AC36" s="605"/>
      <c r="AD36" s="605"/>
      <c r="AE36" s="606"/>
      <c r="AF36" s="214"/>
    </row>
    <row r="37" spans="2:32" ht="15.75" customHeight="1" x14ac:dyDescent="0.25">
      <c r="B37" s="599"/>
      <c r="C37" s="219" t="s">
        <v>21</v>
      </c>
      <c r="D37" s="137"/>
      <c r="E37" s="161" t="s">
        <v>102</v>
      </c>
      <c r="F37" s="161" t="s">
        <v>103</v>
      </c>
      <c r="G37" s="161" t="s">
        <v>103</v>
      </c>
      <c r="I37" s="214"/>
      <c r="J37" s="599"/>
      <c r="K37" s="377" t="s">
        <v>21</v>
      </c>
      <c r="L37" s="137"/>
      <c r="M37" s="161" t="s">
        <v>102</v>
      </c>
      <c r="N37" s="161" t="s">
        <v>103</v>
      </c>
      <c r="O37" s="161" t="s">
        <v>103</v>
      </c>
      <c r="P37" s="214"/>
      <c r="Q37" s="214"/>
      <c r="R37" s="599"/>
      <c r="S37" s="244" t="s">
        <v>21</v>
      </c>
      <c r="T37" s="137"/>
      <c r="U37" s="161" t="s">
        <v>102</v>
      </c>
      <c r="V37" s="161" t="s">
        <v>103</v>
      </c>
      <c r="W37" s="161" t="s">
        <v>103</v>
      </c>
      <c r="X37" s="214"/>
      <c r="Y37" s="214"/>
      <c r="Z37" s="599"/>
      <c r="AA37" s="244" t="s">
        <v>21</v>
      </c>
      <c r="AB37" s="137"/>
      <c r="AC37" s="161" t="s">
        <v>102</v>
      </c>
      <c r="AD37" s="161" t="s">
        <v>103</v>
      </c>
      <c r="AE37" s="161" t="s">
        <v>103</v>
      </c>
      <c r="AF37" s="214"/>
    </row>
    <row r="38" spans="2:32" ht="15.75" customHeight="1" x14ac:dyDescent="0.25">
      <c r="B38" s="599"/>
      <c r="C38" s="219" t="s">
        <v>35</v>
      </c>
      <c r="D38" s="92"/>
      <c r="E38" s="162" t="s">
        <v>104</v>
      </c>
      <c r="F38" s="162" t="s">
        <v>104</v>
      </c>
      <c r="G38" s="162" t="s">
        <v>104</v>
      </c>
      <c r="I38" s="214"/>
      <c r="J38" s="599"/>
      <c r="K38" s="377" t="s">
        <v>35</v>
      </c>
      <c r="L38" s="92"/>
      <c r="M38" s="162" t="s">
        <v>104</v>
      </c>
      <c r="N38" s="162" t="s">
        <v>104</v>
      </c>
      <c r="O38" s="162" t="s">
        <v>104</v>
      </c>
      <c r="P38" s="214"/>
      <c r="Q38" s="214"/>
      <c r="R38" s="599"/>
      <c r="S38" s="244" t="s">
        <v>35</v>
      </c>
      <c r="T38" s="92"/>
      <c r="U38" s="162" t="s">
        <v>104</v>
      </c>
      <c r="V38" s="162" t="s">
        <v>104</v>
      </c>
      <c r="W38" s="162" t="s">
        <v>104</v>
      </c>
      <c r="X38" s="214"/>
      <c r="Y38" s="214"/>
      <c r="Z38" s="599"/>
      <c r="AA38" s="244" t="s">
        <v>35</v>
      </c>
      <c r="AB38" s="92"/>
      <c r="AC38" s="162" t="s">
        <v>104</v>
      </c>
      <c r="AD38" s="162" t="s">
        <v>104</v>
      </c>
      <c r="AE38" s="162" t="s">
        <v>104</v>
      </c>
      <c r="AF38" s="214"/>
    </row>
    <row r="39" spans="2:32" ht="30" customHeight="1" x14ac:dyDescent="0.25">
      <c r="B39" s="599"/>
      <c r="C39" s="219" t="s">
        <v>27</v>
      </c>
      <c r="D39" s="137"/>
      <c r="E39" s="163" t="s">
        <v>105</v>
      </c>
      <c r="F39" s="163" t="s">
        <v>105</v>
      </c>
      <c r="G39" s="163" t="s">
        <v>105</v>
      </c>
      <c r="H39"/>
      <c r="I39" s="214"/>
      <c r="J39" s="599"/>
      <c r="K39" s="377" t="s">
        <v>27</v>
      </c>
      <c r="L39" s="137"/>
      <c r="M39" s="163" t="s">
        <v>105</v>
      </c>
      <c r="N39" s="163" t="s">
        <v>105</v>
      </c>
      <c r="O39" s="163" t="s">
        <v>105</v>
      </c>
      <c r="P39" s="214"/>
      <c r="Q39" s="214"/>
      <c r="R39" s="599"/>
      <c r="S39" s="244" t="s">
        <v>27</v>
      </c>
      <c r="T39" s="137"/>
      <c r="U39" s="163" t="s">
        <v>105</v>
      </c>
      <c r="V39" s="163" t="s">
        <v>105</v>
      </c>
      <c r="W39" s="163" t="s">
        <v>105</v>
      </c>
      <c r="X39" s="214"/>
      <c r="Y39" s="214"/>
      <c r="Z39" s="599"/>
      <c r="AA39" s="244" t="s">
        <v>27</v>
      </c>
      <c r="AB39" s="137"/>
      <c r="AC39" s="163" t="s">
        <v>105</v>
      </c>
      <c r="AD39" s="163" t="s">
        <v>105</v>
      </c>
      <c r="AE39" s="163" t="s">
        <v>105</v>
      </c>
      <c r="AF39" s="214"/>
    </row>
    <row r="40" spans="2:32" ht="30.75" customHeight="1" thickBot="1" x14ac:dyDescent="0.3">
      <c r="B40" s="598"/>
      <c r="C40" s="225" t="s">
        <v>22</v>
      </c>
      <c r="D40" s="181"/>
      <c r="E40" s="182" t="s">
        <v>106</v>
      </c>
      <c r="F40" s="182" t="s">
        <v>106</v>
      </c>
      <c r="G40" s="182" t="s">
        <v>106</v>
      </c>
      <c r="I40" s="214"/>
      <c r="J40" s="598"/>
      <c r="K40" s="381" t="s">
        <v>22</v>
      </c>
      <c r="L40" s="181"/>
      <c r="M40" s="182" t="s">
        <v>106</v>
      </c>
      <c r="N40" s="182" t="s">
        <v>106</v>
      </c>
      <c r="O40" s="182" t="s">
        <v>106</v>
      </c>
      <c r="P40" s="214"/>
      <c r="Q40" s="214"/>
      <c r="R40" s="598"/>
      <c r="S40" s="265" t="s">
        <v>22</v>
      </c>
      <c r="T40" s="181"/>
      <c r="U40" s="182" t="s">
        <v>106</v>
      </c>
      <c r="V40" s="182" t="s">
        <v>106</v>
      </c>
      <c r="W40" s="182" t="s">
        <v>106</v>
      </c>
      <c r="X40" s="214"/>
      <c r="Y40" s="214"/>
      <c r="Z40" s="598"/>
      <c r="AA40" s="265" t="s">
        <v>22</v>
      </c>
      <c r="AB40" s="181"/>
      <c r="AC40" s="182" t="s">
        <v>106</v>
      </c>
      <c r="AD40" s="182" t="s">
        <v>106</v>
      </c>
      <c r="AE40" s="182" t="s">
        <v>106</v>
      </c>
      <c r="AF40" s="214"/>
    </row>
    <row r="41" spans="2:32" ht="61.5" customHeight="1" thickBot="1" x14ac:dyDescent="0.3">
      <c r="B41" s="597" t="s">
        <v>173</v>
      </c>
      <c r="C41" s="226" t="s">
        <v>36</v>
      </c>
      <c r="D41" s="184"/>
      <c r="E41" s="167" t="s">
        <v>137</v>
      </c>
      <c r="F41" s="167" t="s">
        <v>137</v>
      </c>
      <c r="G41" s="167" t="s">
        <v>137</v>
      </c>
      <c r="I41" s="214"/>
      <c r="J41" s="597" t="s">
        <v>173</v>
      </c>
      <c r="K41" s="183" t="s">
        <v>36</v>
      </c>
      <c r="L41" s="184"/>
      <c r="M41" s="167" t="s">
        <v>137</v>
      </c>
      <c r="N41" s="167" t="s">
        <v>137</v>
      </c>
      <c r="O41" s="167" t="s">
        <v>137</v>
      </c>
      <c r="P41" s="214"/>
      <c r="Q41" s="214"/>
      <c r="R41" s="597" t="s">
        <v>173</v>
      </c>
      <c r="S41" s="183" t="s">
        <v>36</v>
      </c>
      <c r="T41" s="184"/>
      <c r="U41" s="167" t="s">
        <v>137</v>
      </c>
      <c r="V41" s="167" t="s">
        <v>137</v>
      </c>
      <c r="W41" s="167" t="s">
        <v>137</v>
      </c>
      <c r="X41" s="214"/>
      <c r="Y41" s="214"/>
      <c r="Z41" s="597" t="s">
        <v>173</v>
      </c>
      <c r="AA41" s="183" t="s">
        <v>36</v>
      </c>
      <c r="AB41" s="184"/>
      <c r="AC41" s="167" t="s">
        <v>137</v>
      </c>
      <c r="AD41" s="167" t="s">
        <v>137</v>
      </c>
      <c r="AE41" s="167" t="s">
        <v>137</v>
      </c>
      <c r="AF41" s="214"/>
    </row>
    <row r="42" spans="2:32" ht="19.5" customHeight="1" thickBot="1" x14ac:dyDescent="0.35">
      <c r="B42" s="598"/>
      <c r="C42" s="11" t="s">
        <v>139</v>
      </c>
      <c r="D42" s="176"/>
      <c r="E42" s="168" t="s">
        <v>131</v>
      </c>
      <c r="F42" s="168" t="s">
        <v>131</v>
      </c>
      <c r="G42" s="168" t="s">
        <v>131</v>
      </c>
      <c r="I42" s="214"/>
      <c r="J42" s="598"/>
      <c r="K42" s="11" t="s">
        <v>158</v>
      </c>
      <c r="L42" s="176"/>
      <c r="M42" s="168" t="s">
        <v>131</v>
      </c>
      <c r="N42" s="168" t="s">
        <v>131</v>
      </c>
      <c r="O42" s="168" t="s">
        <v>131</v>
      </c>
      <c r="P42" s="214"/>
      <c r="Q42" s="214"/>
      <c r="R42" s="598"/>
      <c r="S42" s="11" t="s">
        <v>139</v>
      </c>
      <c r="T42" s="176"/>
      <c r="U42" s="168" t="s">
        <v>131</v>
      </c>
      <c r="V42" s="168" t="s">
        <v>131</v>
      </c>
      <c r="W42" s="168" t="s">
        <v>131</v>
      </c>
      <c r="X42" s="214"/>
      <c r="Y42" s="214"/>
      <c r="Z42" s="598"/>
      <c r="AA42" s="11" t="s">
        <v>138</v>
      </c>
      <c r="AB42" s="176"/>
      <c r="AC42" s="168" t="s">
        <v>131</v>
      </c>
      <c r="AD42" s="168" t="s">
        <v>131</v>
      </c>
      <c r="AE42" s="168" t="s">
        <v>131</v>
      </c>
      <c r="AF42" s="214"/>
    </row>
    <row r="43" spans="2:32" ht="31.5" x14ac:dyDescent="0.25">
      <c r="B43" s="600"/>
      <c r="C43" s="600"/>
      <c r="D43" s="600"/>
      <c r="E43" s="600"/>
      <c r="F43" s="600"/>
      <c r="G43" s="600"/>
      <c r="J43" s="56"/>
      <c r="R43" s="600"/>
      <c r="S43" s="600"/>
      <c r="T43" s="600"/>
      <c r="U43" s="600"/>
      <c r="V43" s="600"/>
      <c r="W43" s="600"/>
      <c r="X43" s="203"/>
      <c r="Y43" s="203"/>
      <c r="AF43" s="56"/>
    </row>
    <row r="44" spans="2:32" ht="15.75" thickBot="1" x14ac:dyDescent="0.3">
      <c r="B44" s="590" t="s">
        <v>194</v>
      </c>
      <c r="C44" s="590"/>
      <c r="D44" s="590"/>
      <c r="E44" s="590"/>
      <c r="F44" s="590"/>
      <c r="G44" s="590"/>
      <c r="J44" s="590" t="s">
        <v>194</v>
      </c>
      <c r="K44" s="590"/>
      <c r="L44" s="590"/>
      <c r="M44" s="590"/>
      <c r="N44" s="590"/>
      <c r="O44" s="590"/>
      <c r="R44" s="590" t="s">
        <v>194</v>
      </c>
      <c r="S44" s="590"/>
      <c r="T44" s="590"/>
      <c r="U44" s="590"/>
      <c r="V44" s="590"/>
      <c r="W44" s="590"/>
      <c r="Z44" s="590" t="s">
        <v>194</v>
      </c>
      <c r="AA44" s="590"/>
      <c r="AB44" s="590"/>
      <c r="AC44" s="590"/>
      <c r="AD44" s="590"/>
      <c r="AE44" s="590"/>
    </row>
    <row r="45" spans="2:32" ht="29.25" customHeight="1" thickBot="1" x14ac:dyDescent="0.3">
      <c r="B45" s="333"/>
      <c r="C45" s="333"/>
      <c r="D45" s="333"/>
      <c r="E45" s="333"/>
      <c r="F45" s="333"/>
      <c r="G45" s="333"/>
      <c r="J45" s="372" t="s">
        <v>186</v>
      </c>
      <c r="K45" s="587" t="s">
        <v>196</v>
      </c>
      <c r="L45" s="588"/>
      <c r="M45" s="588"/>
      <c r="N45" s="588"/>
      <c r="O45" s="589"/>
      <c r="R45" s="372" t="s">
        <v>186</v>
      </c>
      <c r="S45" s="587" t="s">
        <v>203</v>
      </c>
      <c r="T45" s="588"/>
      <c r="U45" s="588"/>
      <c r="V45" s="588"/>
      <c r="W45" s="589"/>
      <c r="Z45" s="432"/>
      <c r="AA45" s="587" t="s">
        <v>212</v>
      </c>
      <c r="AB45" s="588"/>
      <c r="AC45" s="588"/>
      <c r="AD45" s="588"/>
      <c r="AE45" s="589"/>
    </row>
    <row r="46" spans="2:32" ht="42.75" customHeight="1" thickBot="1" x14ac:dyDescent="0.3">
      <c r="B46" s="310" t="s">
        <v>187</v>
      </c>
      <c r="C46" s="591" t="s">
        <v>195</v>
      </c>
      <c r="D46" s="592"/>
      <c r="E46" s="592"/>
      <c r="F46" s="592"/>
      <c r="G46" s="593"/>
      <c r="I46"/>
      <c r="J46" s="310" t="s">
        <v>187</v>
      </c>
      <c r="K46" s="591" t="s">
        <v>195</v>
      </c>
      <c r="L46" s="592"/>
      <c r="M46" s="592"/>
      <c r="N46" s="592"/>
      <c r="O46" s="593"/>
      <c r="P46"/>
      <c r="Q46"/>
      <c r="R46" s="310" t="s">
        <v>187</v>
      </c>
      <c r="S46" s="591" t="s">
        <v>195</v>
      </c>
      <c r="T46" s="592"/>
      <c r="U46" s="592"/>
      <c r="V46" s="592"/>
      <c r="W46" s="593"/>
      <c r="X46"/>
      <c r="Y46"/>
      <c r="Z46" s="310" t="s">
        <v>187</v>
      </c>
      <c r="AA46" s="591" t="s">
        <v>195</v>
      </c>
      <c r="AB46" s="592"/>
      <c r="AC46" s="592"/>
      <c r="AD46" s="592"/>
      <c r="AE46" s="593"/>
    </row>
    <row r="47" spans="2:32" ht="49.5" customHeight="1" thickBot="1" x14ac:dyDescent="0.3">
      <c r="B47" s="326" t="s">
        <v>186</v>
      </c>
      <c r="C47" s="587" t="s">
        <v>196</v>
      </c>
      <c r="D47" s="588"/>
      <c r="E47" s="588"/>
      <c r="F47" s="588"/>
      <c r="G47" s="589"/>
      <c r="J47" s="386"/>
      <c r="K47" s="594" t="s">
        <v>209</v>
      </c>
      <c r="L47" s="595"/>
      <c r="M47" s="595"/>
      <c r="N47" s="595"/>
      <c r="O47" s="595"/>
      <c r="R47" s="368"/>
      <c r="S47" s="587" t="s">
        <v>205</v>
      </c>
      <c r="T47" s="588"/>
      <c r="U47" s="588"/>
      <c r="V47" s="588"/>
      <c r="W47" s="589"/>
      <c r="Z47" s="389"/>
      <c r="AA47" s="594" t="s">
        <v>213</v>
      </c>
      <c r="AB47" s="595"/>
      <c r="AC47" s="595"/>
      <c r="AD47" s="595"/>
      <c r="AE47" s="596"/>
    </row>
    <row r="48" spans="2:32" ht="33.75" customHeight="1" thickBot="1" x14ac:dyDescent="0.3">
      <c r="B48" s="329" t="s">
        <v>192</v>
      </c>
      <c r="C48" s="587" t="s">
        <v>197</v>
      </c>
      <c r="D48" s="588"/>
      <c r="E48" s="588"/>
      <c r="F48" s="588"/>
      <c r="G48" s="589"/>
      <c r="J48" s="371" t="s">
        <v>192</v>
      </c>
      <c r="K48" s="587" t="s">
        <v>206</v>
      </c>
      <c r="L48" s="588"/>
      <c r="M48" s="588"/>
      <c r="N48" s="588"/>
      <c r="O48" s="589"/>
      <c r="R48" s="371" t="s">
        <v>192</v>
      </c>
      <c r="S48" s="587" t="s">
        <v>206</v>
      </c>
      <c r="T48" s="588"/>
      <c r="U48" s="588"/>
      <c r="V48" s="588"/>
      <c r="W48" s="589"/>
      <c r="Z48" s="419"/>
      <c r="AA48" s="587" t="s">
        <v>214</v>
      </c>
      <c r="AB48" s="588"/>
      <c r="AC48" s="588"/>
      <c r="AD48" s="588"/>
      <c r="AE48" s="589"/>
    </row>
    <row r="49" spans="10:31" ht="41.25" customHeight="1" thickBot="1" x14ac:dyDescent="0.3">
      <c r="J49" s="369" t="s">
        <v>202</v>
      </c>
      <c r="K49" s="632" t="s">
        <v>207</v>
      </c>
      <c r="L49" s="633"/>
      <c r="M49" s="633"/>
      <c r="N49" s="633"/>
      <c r="O49" s="634"/>
      <c r="R49" s="369" t="s">
        <v>202</v>
      </c>
      <c r="S49" s="632" t="s">
        <v>207</v>
      </c>
      <c r="T49" s="633"/>
      <c r="U49" s="633"/>
      <c r="V49" s="633"/>
      <c r="W49" s="634"/>
      <c r="Z49" s="391"/>
      <c r="AA49" s="587" t="s">
        <v>215</v>
      </c>
      <c r="AB49" s="588"/>
      <c r="AC49" s="588"/>
      <c r="AD49" s="588"/>
      <c r="AE49" s="589"/>
    </row>
    <row r="50" spans="10:31" ht="15.75" thickBot="1" x14ac:dyDescent="0.3">
      <c r="Z50" s="392"/>
      <c r="AA50" s="587" t="s">
        <v>216</v>
      </c>
      <c r="AB50" s="588"/>
      <c r="AC50" s="588"/>
      <c r="AD50" s="588"/>
      <c r="AE50" s="589"/>
    </row>
    <row r="51" spans="10:31" ht="15.75" thickBot="1" x14ac:dyDescent="0.3">
      <c r="Z51" s="368"/>
      <c r="AA51" s="587" t="s">
        <v>205</v>
      </c>
      <c r="AB51" s="588"/>
      <c r="AC51" s="588"/>
      <c r="AD51" s="588"/>
      <c r="AE51" s="589"/>
    </row>
  </sheetData>
  <mergeCells count="86">
    <mergeCell ref="S48:W48"/>
    <mergeCell ref="S45:W45"/>
    <mergeCell ref="S49:W49"/>
    <mergeCell ref="J44:O44"/>
    <mergeCell ref="K45:O45"/>
    <mergeCell ref="K46:O46"/>
    <mergeCell ref="K47:O47"/>
    <mergeCell ref="K48:O48"/>
    <mergeCell ref="K49:O49"/>
    <mergeCell ref="AA33:AE33"/>
    <mergeCell ref="C36:G36"/>
    <mergeCell ref="S36:W36"/>
    <mergeCell ref="AA36:AE36"/>
    <mergeCell ref="K33:O33"/>
    <mergeCell ref="K36:O36"/>
    <mergeCell ref="B33:B35"/>
    <mergeCell ref="B36:B40"/>
    <mergeCell ref="C18:G18"/>
    <mergeCell ref="S18:W18"/>
    <mergeCell ref="AA18:AE18"/>
    <mergeCell ref="C22:G22"/>
    <mergeCell ref="S22:W22"/>
    <mergeCell ref="AA22:AE22"/>
    <mergeCell ref="K18:O18"/>
    <mergeCell ref="K22:O22"/>
    <mergeCell ref="B18:B20"/>
    <mergeCell ref="B22:B30"/>
    <mergeCell ref="J18:J20"/>
    <mergeCell ref="J22:J30"/>
    <mergeCell ref="Z18:Z20"/>
    <mergeCell ref="Z22:Z30"/>
    <mergeCell ref="AB5:AE5"/>
    <mergeCell ref="C6:D7"/>
    <mergeCell ref="S6:T7"/>
    <mergeCell ref="AA6:AB7"/>
    <mergeCell ref="L5:O5"/>
    <mergeCell ref="K6:L7"/>
    <mergeCell ref="R4:R17"/>
    <mergeCell ref="C3:G3"/>
    <mergeCell ref="S3:W3"/>
    <mergeCell ref="AA3:AE3"/>
    <mergeCell ref="D4:G4"/>
    <mergeCell ref="T4:W4"/>
    <mergeCell ref="AB4:AE4"/>
    <mergeCell ref="K3:O3"/>
    <mergeCell ref="L4:O4"/>
    <mergeCell ref="B4:B17"/>
    <mergeCell ref="J4:J17"/>
    <mergeCell ref="Z4:Z17"/>
    <mergeCell ref="D5:G5"/>
    <mergeCell ref="T5:W5"/>
    <mergeCell ref="R18:R20"/>
    <mergeCell ref="R22:R30"/>
    <mergeCell ref="R31:R32"/>
    <mergeCell ref="R33:R35"/>
    <mergeCell ref="C47:G47"/>
    <mergeCell ref="R43:W43"/>
    <mergeCell ref="R44:W44"/>
    <mergeCell ref="S46:W46"/>
    <mergeCell ref="S47:W47"/>
    <mergeCell ref="C33:G33"/>
    <mergeCell ref="S33:W33"/>
    <mergeCell ref="C48:G48"/>
    <mergeCell ref="Z31:Z32"/>
    <mergeCell ref="Z33:Z35"/>
    <mergeCell ref="Z36:Z40"/>
    <mergeCell ref="Z41:Z42"/>
    <mergeCell ref="C46:G46"/>
    <mergeCell ref="B44:G44"/>
    <mergeCell ref="B43:G43"/>
    <mergeCell ref="J31:J32"/>
    <mergeCell ref="J33:J35"/>
    <mergeCell ref="J36:J40"/>
    <mergeCell ref="J41:J42"/>
    <mergeCell ref="R36:R40"/>
    <mergeCell ref="R41:R42"/>
    <mergeCell ref="B41:B42"/>
    <mergeCell ref="B31:B32"/>
    <mergeCell ref="AA49:AE49"/>
    <mergeCell ref="AA50:AE50"/>
    <mergeCell ref="AA51:AE51"/>
    <mergeCell ref="Z44:AE44"/>
    <mergeCell ref="AA45:AE45"/>
    <mergeCell ref="AA46:AE46"/>
    <mergeCell ref="AA47:AE47"/>
    <mergeCell ref="AA48:AE48"/>
  </mergeCells>
  <phoneticPr fontId="28" type="noConversion"/>
  <pageMargins left="0.70000000000000007" right="0.70000000000000007" top="0.75000000000000011" bottom="0.75000000000000011" header="0.30000000000000004" footer="0.30000000000000004"/>
  <pageSetup paperSize="8" scale="59" orientation="landscape" horizontalDpi="4294967292" verticalDpi="4294967292"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AR51"/>
  <sheetViews>
    <sheetView zoomScale="78" zoomScaleNormal="78" zoomScalePageLayoutView="82" workbookViewId="0">
      <selection sqref="A1:G1048576"/>
    </sheetView>
  </sheetViews>
  <sheetFormatPr baseColWidth="10" defaultRowHeight="15" x14ac:dyDescent="0.25"/>
  <cols>
    <col min="1" max="1" width="18.375" customWidth="1"/>
    <col min="2" max="2" width="5.125" customWidth="1"/>
    <col min="3" max="3" width="45.5" customWidth="1"/>
    <col min="4" max="4" width="17.625" customWidth="1"/>
    <col min="5" max="6" width="18.625" customWidth="1"/>
    <col min="7" max="7" width="23.375" customWidth="1"/>
    <col min="8" max="8" width="3.75" style="56" customWidth="1"/>
    <col min="9" max="9" width="9.5" style="56" customWidth="1"/>
    <col min="10" max="10" width="5.125" customWidth="1"/>
    <col min="11" max="11" width="39.75" customWidth="1"/>
    <col min="12" max="12" width="20.5" customWidth="1"/>
    <col min="13" max="13" width="17.375" customWidth="1"/>
    <col min="14" max="14" width="18.625" customWidth="1"/>
    <col min="15" max="15" width="21.625" customWidth="1"/>
    <col min="16" max="17" width="18" customWidth="1"/>
    <col min="18" max="18" width="5.125" customWidth="1"/>
    <col min="19" max="19" width="40.5" customWidth="1"/>
    <col min="20" max="20" width="15.75" customWidth="1"/>
    <col min="21" max="21" width="18.625" customWidth="1"/>
    <col min="22" max="22" width="18" customWidth="1"/>
    <col min="23" max="23" width="19.625" customWidth="1"/>
    <col min="24" max="25" width="18" customWidth="1"/>
    <col min="26" max="26" width="5.125" customWidth="1"/>
    <col min="27" max="27" width="40.5" customWidth="1"/>
    <col min="28" max="28" width="13.375" customWidth="1"/>
    <col min="29" max="29" width="20.5" customWidth="1"/>
    <col min="30" max="30" width="18.5" customWidth="1"/>
    <col min="31" max="31" width="18.375" customWidth="1"/>
    <col min="32" max="32" width="31.125" customWidth="1"/>
    <col min="34" max="34" width="18" customWidth="1"/>
    <col min="35" max="35" width="28.25" customWidth="1"/>
    <col min="38" max="38" width="4.75" customWidth="1"/>
    <col min="39" max="39" width="41.25" customWidth="1"/>
    <col min="40" max="40" width="15.25" customWidth="1"/>
    <col min="41" max="41" width="18.25" customWidth="1"/>
    <col min="42" max="42" width="22.125" customWidth="1"/>
    <col min="43" max="43" width="21.625" customWidth="1"/>
    <col min="44" max="44" width="33" customWidth="1"/>
  </cols>
  <sheetData>
    <row r="2" spans="1:44" ht="15.75" thickBot="1" x14ac:dyDescent="0.3">
      <c r="P2" s="56"/>
      <c r="Q2" s="56"/>
      <c r="X2" s="56"/>
      <c r="Y2" s="56"/>
    </row>
    <row r="3" spans="1:44" ht="51.75" customHeight="1" thickBot="1" x14ac:dyDescent="0.3">
      <c r="A3" s="196"/>
      <c r="B3" s="274"/>
      <c r="C3" s="639" t="s">
        <v>234</v>
      </c>
      <c r="D3" s="640"/>
      <c r="E3" s="640"/>
      <c r="F3" s="640"/>
      <c r="G3" s="641"/>
      <c r="H3" s="216"/>
      <c r="I3" s="216"/>
      <c r="J3" s="274"/>
      <c r="K3" s="617" t="s">
        <v>236</v>
      </c>
      <c r="L3" s="618"/>
      <c r="M3" s="618"/>
      <c r="N3" s="618"/>
      <c r="O3" s="619"/>
      <c r="P3" s="216"/>
      <c r="Q3" s="216"/>
      <c r="R3" s="274"/>
      <c r="S3" s="617" t="s">
        <v>208</v>
      </c>
      <c r="T3" s="618"/>
      <c r="U3" s="618"/>
      <c r="V3" s="618"/>
      <c r="W3" s="619"/>
      <c r="X3" s="216"/>
      <c r="Y3" s="216"/>
      <c r="Z3" s="274"/>
      <c r="AA3" s="622" t="s">
        <v>211</v>
      </c>
      <c r="AB3" s="618"/>
      <c r="AC3" s="618"/>
      <c r="AD3" s="618"/>
      <c r="AE3" s="619"/>
      <c r="AF3" s="216"/>
      <c r="AL3" s="274"/>
      <c r="AM3" s="617" t="s">
        <v>217</v>
      </c>
      <c r="AN3" s="618"/>
      <c r="AO3" s="618"/>
      <c r="AP3" s="618"/>
      <c r="AQ3" s="619"/>
      <c r="AR3" s="216"/>
    </row>
    <row r="4" spans="1:44" ht="15" customHeight="1" x14ac:dyDescent="0.25">
      <c r="B4" s="597" t="s">
        <v>167</v>
      </c>
      <c r="C4" s="52" t="s">
        <v>0</v>
      </c>
      <c r="D4" s="620" t="s">
        <v>144</v>
      </c>
      <c r="E4" s="620"/>
      <c r="F4" s="620"/>
      <c r="G4" s="621"/>
      <c r="H4" s="236"/>
      <c r="I4" s="236"/>
      <c r="J4" s="597" t="s">
        <v>167</v>
      </c>
      <c r="K4" s="52" t="s">
        <v>0</v>
      </c>
      <c r="L4" s="620" t="s">
        <v>49</v>
      </c>
      <c r="M4" s="620"/>
      <c r="N4" s="620"/>
      <c r="O4" s="621"/>
      <c r="P4" s="236"/>
      <c r="Q4" s="236"/>
      <c r="R4" s="597" t="s">
        <v>167</v>
      </c>
      <c r="S4" s="52" t="s">
        <v>0</v>
      </c>
      <c r="T4" s="620" t="s">
        <v>49</v>
      </c>
      <c r="U4" s="620"/>
      <c r="V4" s="620"/>
      <c r="W4" s="621"/>
      <c r="X4" s="236"/>
      <c r="Y4" s="236"/>
      <c r="Z4" s="597" t="s">
        <v>167</v>
      </c>
      <c r="AA4" s="52" t="s">
        <v>0</v>
      </c>
      <c r="AB4" s="620" t="s">
        <v>49</v>
      </c>
      <c r="AC4" s="620"/>
      <c r="AD4" s="620"/>
      <c r="AE4" s="621"/>
      <c r="AF4" s="236"/>
      <c r="AL4" s="597" t="s">
        <v>167</v>
      </c>
      <c r="AM4" s="52" t="s">
        <v>0</v>
      </c>
      <c r="AN4" s="620" t="s">
        <v>49</v>
      </c>
      <c r="AO4" s="620"/>
      <c r="AP4" s="620"/>
      <c r="AQ4" s="621"/>
      <c r="AR4" s="236"/>
    </row>
    <row r="5" spans="1:44" ht="15.75" customHeight="1" thickBot="1" x14ac:dyDescent="0.3">
      <c r="B5" s="599"/>
      <c r="C5" s="53" t="s">
        <v>1</v>
      </c>
      <c r="D5" s="642" t="s">
        <v>2</v>
      </c>
      <c r="E5" s="642"/>
      <c r="F5" s="642"/>
      <c r="G5" s="643"/>
      <c r="H5" s="236"/>
      <c r="I5" s="236"/>
      <c r="J5" s="599"/>
      <c r="K5" s="53" t="s">
        <v>1</v>
      </c>
      <c r="L5" s="642" t="s">
        <v>2</v>
      </c>
      <c r="M5" s="642"/>
      <c r="N5" s="642"/>
      <c r="O5" s="643"/>
      <c r="P5" s="236"/>
      <c r="Q5" s="236"/>
      <c r="R5" s="599"/>
      <c r="S5" s="53" t="s">
        <v>1</v>
      </c>
      <c r="T5" s="642" t="s">
        <v>2</v>
      </c>
      <c r="U5" s="642"/>
      <c r="V5" s="642"/>
      <c r="W5" s="643"/>
      <c r="X5" s="236"/>
      <c r="Y5" s="236"/>
      <c r="Z5" s="599"/>
      <c r="AA5" s="53" t="s">
        <v>1</v>
      </c>
      <c r="AB5" s="642" t="s">
        <v>2</v>
      </c>
      <c r="AC5" s="642"/>
      <c r="AD5" s="642"/>
      <c r="AE5" s="643"/>
      <c r="AF5" s="236"/>
      <c r="AL5" s="599"/>
      <c r="AM5" s="53" t="s">
        <v>1</v>
      </c>
      <c r="AN5" s="642" t="s">
        <v>2</v>
      </c>
      <c r="AO5" s="642"/>
      <c r="AP5" s="642"/>
      <c r="AQ5" s="643"/>
      <c r="AR5" s="236"/>
    </row>
    <row r="6" spans="1:44" ht="15.75" customHeight="1" x14ac:dyDescent="0.25">
      <c r="B6" s="599"/>
      <c r="C6" s="623" t="s">
        <v>6</v>
      </c>
      <c r="D6" s="624"/>
      <c r="E6" s="50" t="s">
        <v>3</v>
      </c>
      <c r="F6" s="51" t="s">
        <v>4</v>
      </c>
      <c r="G6" s="50" t="s">
        <v>5</v>
      </c>
      <c r="H6" s="237"/>
      <c r="I6" s="237"/>
      <c r="J6" s="599"/>
      <c r="K6" s="623" t="s">
        <v>6</v>
      </c>
      <c r="L6" s="624"/>
      <c r="M6" s="343" t="s">
        <v>3</v>
      </c>
      <c r="N6" s="51" t="s">
        <v>4</v>
      </c>
      <c r="O6" s="343" t="s">
        <v>5</v>
      </c>
      <c r="P6" s="237"/>
      <c r="Q6" s="237"/>
      <c r="R6" s="599"/>
      <c r="S6" s="623" t="s">
        <v>6</v>
      </c>
      <c r="T6" s="624"/>
      <c r="U6" s="50" t="s">
        <v>3</v>
      </c>
      <c r="V6" s="51" t="s">
        <v>4</v>
      </c>
      <c r="W6" s="50" t="s">
        <v>5</v>
      </c>
      <c r="X6" s="237">
        <v>1</v>
      </c>
      <c r="Y6" s="237"/>
      <c r="Z6" s="599"/>
      <c r="AA6" s="623" t="s">
        <v>6</v>
      </c>
      <c r="AB6" s="624"/>
      <c r="AC6" s="50" t="s">
        <v>3</v>
      </c>
      <c r="AD6" s="51" t="s">
        <v>4</v>
      </c>
      <c r="AE6" s="50" t="s">
        <v>5</v>
      </c>
      <c r="AF6" s="237"/>
      <c r="AL6" s="599"/>
      <c r="AM6" s="623" t="s">
        <v>6</v>
      </c>
      <c r="AN6" s="624"/>
      <c r="AO6" s="50" t="s">
        <v>3</v>
      </c>
      <c r="AP6" s="51" t="s">
        <v>4</v>
      </c>
      <c r="AQ6" s="50" t="s">
        <v>5</v>
      </c>
      <c r="AR6" s="237"/>
    </row>
    <row r="7" spans="1:44" ht="16.5" customHeight="1" thickBot="1" x14ac:dyDescent="0.3">
      <c r="B7" s="599"/>
      <c r="C7" s="625"/>
      <c r="D7" s="626"/>
      <c r="E7" s="289" t="s">
        <v>23</v>
      </c>
      <c r="F7" s="299" t="s">
        <v>24</v>
      </c>
      <c r="G7" s="289" t="s">
        <v>25</v>
      </c>
      <c r="H7" s="237"/>
      <c r="I7" s="237"/>
      <c r="J7" s="599"/>
      <c r="K7" s="623"/>
      <c r="L7" s="626"/>
      <c r="M7" s="289" t="s">
        <v>23</v>
      </c>
      <c r="N7" s="299" t="s">
        <v>24</v>
      </c>
      <c r="O7" s="289" t="s">
        <v>25</v>
      </c>
      <c r="P7" s="237"/>
      <c r="Q7" s="237"/>
      <c r="R7" s="599"/>
      <c r="S7" s="625"/>
      <c r="T7" s="626"/>
      <c r="U7" s="19" t="s">
        <v>23</v>
      </c>
      <c r="V7" s="40" t="s">
        <v>24</v>
      </c>
      <c r="W7" s="19" t="s">
        <v>25</v>
      </c>
      <c r="X7" s="237"/>
      <c r="Y7" s="237"/>
      <c r="Z7" s="599"/>
      <c r="AA7" s="623"/>
      <c r="AB7" s="626"/>
      <c r="AC7" s="289" t="s">
        <v>23</v>
      </c>
      <c r="AD7" s="299" t="s">
        <v>24</v>
      </c>
      <c r="AE7" s="289" t="s">
        <v>25</v>
      </c>
      <c r="AF7" s="237"/>
      <c r="AL7" s="599"/>
      <c r="AM7" s="623"/>
      <c r="AN7" s="626"/>
      <c r="AO7" s="289" t="s">
        <v>23</v>
      </c>
      <c r="AP7" s="299" t="s">
        <v>24</v>
      </c>
      <c r="AQ7" s="289" t="s">
        <v>25</v>
      </c>
      <c r="AR7" s="237"/>
    </row>
    <row r="8" spans="1:44" ht="15" customHeight="1" x14ac:dyDescent="0.25">
      <c r="B8" s="599"/>
      <c r="C8" s="6" t="s">
        <v>29</v>
      </c>
      <c r="D8" s="16"/>
      <c r="E8" s="20">
        <v>763.05</v>
      </c>
      <c r="F8" s="300">
        <v>763.05</v>
      </c>
      <c r="G8" s="20">
        <v>763.05</v>
      </c>
      <c r="H8" s="203"/>
      <c r="I8" s="203"/>
      <c r="J8" s="599"/>
      <c r="K8" s="341" t="s">
        <v>29</v>
      </c>
      <c r="L8" s="16"/>
      <c r="M8" s="22">
        <v>763.05</v>
      </c>
      <c r="N8" s="42">
        <v>763.05</v>
      </c>
      <c r="O8" s="22">
        <v>763.05</v>
      </c>
      <c r="P8" s="203"/>
      <c r="Q8" s="203"/>
      <c r="R8" s="599"/>
      <c r="S8" s="6" t="s">
        <v>29</v>
      </c>
      <c r="T8" s="16"/>
      <c r="U8" s="20">
        <v>763.05</v>
      </c>
      <c r="V8" s="562">
        <v>763.05</v>
      </c>
      <c r="W8" s="20">
        <v>763.05</v>
      </c>
      <c r="X8" s="203"/>
      <c r="Y8" s="203"/>
      <c r="Z8" s="599"/>
      <c r="AA8" s="396" t="s">
        <v>29</v>
      </c>
      <c r="AB8" s="395"/>
      <c r="AC8" s="300">
        <v>763.05</v>
      </c>
      <c r="AD8" s="300">
        <v>763.05</v>
      </c>
      <c r="AE8" s="20">
        <v>763.05</v>
      </c>
      <c r="AF8" s="203"/>
      <c r="AL8" s="599"/>
      <c r="AM8" s="396" t="s">
        <v>29</v>
      </c>
      <c r="AN8" s="395"/>
      <c r="AO8" s="300">
        <v>763.05</v>
      </c>
      <c r="AP8" s="300">
        <v>763.05</v>
      </c>
      <c r="AQ8" s="20">
        <v>763.05</v>
      </c>
      <c r="AR8" s="203"/>
    </row>
    <row r="9" spans="1:44" ht="15.75" customHeight="1" thickBot="1" x14ac:dyDescent="0.3">
      <c r="B9" s="599"/>
      <c r="C9" s="293" t="s">
        <v>40</v>
      </c>
      <c r="D9" s="294"/>
      <c r="E9" s="295">
        <v>6</v>
      </c>
      <c r="F9" s="302">
        <v>9</v>
      </c>
      <c r="G9" s="295">
        <v>7</v>
      </c>
      <c r="H9" s="203"/>
      <c r="I9" s="203"/>
      <c r="J9" s="599"/>
      <c r="K9" s="344" t="s">
        <v>40</v>
      </c>
      <c r="L9" s="294"/>
      <c r="M9" s="295">
        <v>6</v>
      </c>
      <c r="N9" s="345">
        <v>9</v>
      </c>
      <c r="O9" s="295">
        <v>7</v>
      </c>
      <c r="P9" s="203"/>
      <c r="Q9" s="203"/>
      <c r="R9" s="644"/>
      <c r="S9" s="341" t="s">
        <v>40</v>
      </c>
      <c r="T9" s="548"/>
      <c r="U9" s="21">
        <v>6</v>
      </c>
      <c r="V9" s="41">
        <v>9</v>
      </c>
      <c r="W9" s="21">
        <v>7</v>
      </c>
      <c r="X9" s="203"/>
      <c r="Y9" s="203"/>
      <c r="Z9" s="599"/>
      <c r="AA9" s="397" t="s">
        <v>40</v>
      </c>
      <c r="AB9" s="334"/>
      <c r="AC9" s="402">
        <v>6</v>
      </c>
      <c r="AD9" s="402">
        <v>9</v>
      </c>
      <c r="AE9" s="21">
        <v>7</v>
      </c>
      <c r="AF9" s="203"/>
      <c r="AL9" s="599"/>
      <c r="AM9" s="397" t="s">
        <v>40</v>
      </c>
      <c r="AN9" s="387"/>
      <c r="AO9" s="402">
        <v>6</v>
      </c>
      <c r="AP9" s="402">
        <v>9</v>
      </c>
      <c r="AQ9" s="21">
        <v>7</v>
      </c>
      <c r="AR9" s="203"/>
    </row>
    <row r="10" spans="1:44" ht="15.75" customHeight="1" thickBot="1" x14ac:dyDescent="0.3">
      <c r="B10" s="599"/>
      <c r="C10" s="327" t="s">
        <v>181</v>
      </c>
      <c r="D10" s="304"/>
      <c r="E10" s="305">
        <f>F8*0.5*12</f>
        <v>4578.2999999999993</v>
      </c>
      <c r="F10" s="306">
        <f>G8*0.5*18</f>
        <v>6867.45</v>
      </c>
      <c r="G10" s="305">
        <f>G8*0.5*14</f>
        <v>5341.3499999999995</v>
      </c>
      <c r="H10" s="203"/>
      <c r="I10" s="203"/>
      <c r="J10" s="599"/>
      <c r="K10" s="6" t="s">
        <v>181</v>
      </c>
      <c r="L10" s="304"/>
      <c r="M10" s="114">
        <f>N8*0.5*12</f>
        <v>4578.2999999999993</v>
      </c>
      <c r="N10" s="347">
        <f>O8*0.5*18</f>
        <v>6867.45</v>
      </c>
      <c r="O10" s="114">
        <f>O8*0.5*14</f>
        <v>5341.3499999999995</v>
      </c>
      <c r="P10" s="203"/>
      <c r="Q10" s="203"/>
      <c r="R10" s="644"/>
      <c r="S10" s="341" t="s">
        <v>181</v>
      </c>
      <c r="T10" s="548"/>
      <c r="U10" s="405">
        <f>V8*0.5*12</f>
        <v>4578.2999999999993</v>
      </c>
      <c r="V10" s="563">
        <f>W8*0.5*18</f>
        <v>6867.45</v>
      </c>
      <c r="W10" s="405">
        <f>W8*0.5*14</f>
        <v>5341.3499999999995</v>
      </c>
      <c r="X10" s="203"/>
      <c r="Y10" s="203"/>
      <c r="Z10" s="599"/>
      <c r="AA10" s="397" t="s">
        <v>181</v>
      </c>
      <c r="AB10" s="334"/>
      <c r="AC10" s="403">
        <f>AD8*0.5*12</f>
        <v>4578.2999999999993</v>
      </c>
      <c r="AD10" s="406">
        <f>AE8*0.5*18</f>
        <v>6867.45</v>
      </c>
      <c r="AE10" s="405">
        <f>AE8*0.5*14</f>
        <v>5341.3499999999995</v>
      </c>
      <c r="AF10" s="203"/>
      <c r="AL10" s="599"/>
      <c r="AM10" s="397" t="s">
        <v>181</v>
      </c>
      <c r="AN10" s="387"/>
      <c r="AO10" s="403">
        <f>AP8*0.5*12</f>
        <v>4578.2999999999993</v>
      </c>
      <c r="AP10" s="450">
        <f>AQ8*0.5*18</f>
        <v>6867.45</v>
      </c>
      <c r="AQ10" s="405">
        <f>AQ8*0.5*14</f>
        <v>5341.3499999999995</v>
      </c>
      <c r="AR10" s="203"/>
    </row>
    <row r="11" spans="1:44" ht="15.75" customHeight="1" thickBot="1" x14ac:dyDescent="0.3">
      <c r="A11" s="3"/>
      <c r="B11" s="599"/>
      <c r="C11" s="328" t="s">
        <v>30</v>
      </c>
      <c r="D11" s="307"/>
      <c r="E11" s="308">
        <f>94%*E9*E8</f>
        <v>4303.6019999999999</v>
      </c>
      <c r="F11" s="309">
        <f>94%*F9*F8</f>
        <v>6455.4029999999993</v>
      </c>
      <c r="G11" s="308">
        <f>94%*G9*G8</f>
        <v>5020.8689999999997</v>
      </c>
      <c r="H11" s="204"/>
      <c r="I11" s="204"/>
      <c r="J11" s="599"/>
      <c r="K11" s="8" t="s">
        <v>30</v>
      </c>
      <c r="L11" s="307"/>
      <c r="M11" s="308">
        <f>94%*M9*M8</f>
        <v>4303.6019999999999</v>
      </c>
      <c r="N11" s="348">
        <f>100%*N9*N8</f>
        <v>6867.45</v>
      </c>
      <c r="O11" s="308">
        <f>94%*O9*O8</f>
        <v>5020.8689999999997</v>
      </c>
      <c r="P11" s="204"/>
      <c r="Q11" s="204"/>
      <c r="R11" s="644"/>
      <c r="S11" s="341" t="s">
        <v>30</v>
      </c>
      <c r="T11" s="548"/>
      <c r="U11" s="22">
        <f>94%*U9*U8</f>
        <v>4303.6019999999999</v>
      </c>
      <c r="V11" s="42">
        <f>94%*V9*V8</f>
        <v>6455.4029999999993</v>
      </c>
      <c r="W11" s="22">
        <f>94%*W9*W8</f>
        <v>5020.8689999999997</v>
      </c>
      <c r="X11" s="204"/>
      <c r="Y11" s="204"/>
      <c r="Z11" s="599"/>
      <c r="AA11" s="397" t="s">
        <v>30</v>
      </c>
      <c r="AB11" s="334"/>
      <c r="AC11" s="404">
        <f>94%*AC9*AC8</f>
        <v>4303.6019999999999</v>
      </c>
      <c r="AD11" s="404">
        <f>94%*AD9*AD8</f>
        <v>6455.4029999999993</v>
      </c>
      <c r="AE11" s="22">
        <f>94%*AE9*AE8</f>
        <v>5020.8689999999997</v>
      </c>
      <c r="AF11" s="204"/>
      <c r="AL11" s="599"/>
      <c r="AM11" s="397" t="s">
        <v>30</v>
      </c>
      <c r="AN11" s="387"/>
      <c r="AO11" s="404">
        <f>94%*AO9*AO8</f>
        <v>4303.6019999999999</v>
      </c>
      <c r="AP11" s="452">
        <f>100%*AP9*AP8</f>
        <v>6867.45</v>
      </c>
      <c r="AQ11" s="22">
        <f>94%*AQ9*AQ8</f>
        <v>5020.8689999999997</v>
      </c>
      <c r="AR11" s="204"/>
    </row>
    <row r="12" spans="1:44" ht="15.75" customHeight="1" thickBot="1" x14ac:dyDescent="0.3">
      <c r="B12" s="599"/>
      <c r="C12" s="331" t="s">
        <v>31</v>
      </c>
      <c r="D12" s="297"/>
      <c r="E12" s="298">
        <f>E11*E13</f>
        <v>7746.4835999999996</v>
      </c>
      <c r="F12" s="303">
        <f>F11*F13</f>
        <v>12007.049579999999</v>
      </c>
      <c r="G12" s="298">
        <f>G11*G13</f>
        <v>9539.6510999999991</v>
      </c>
      <c r="H12" s="203"/>
      <c r="I12" s="203"/>
      <c r="J12" s="599"/>
      <c r="K12" s="360" t="s">
        <v>31</v>
      </c>
      <c r="L12" s="297"/>
      <c r="M12" s="298">
        <f>M11*M13</f>
        <v>7746.4835999999996</v>
      </c>
      <c r="N12" s="349">
        <f>N11*N13</f>
        <v>11674.664999999999</v>
      </c>
      <c r="O12" s="298">
        <f>O11*O13</f>
        <v>9539.6510999999991</v>
      </c>
      <c r="P12" s="203"/>
      <c r="Q12" s="203"/>
      <c r="R12" s="599"/>
      <c r="S12" s="7" t="s">
        <v>31</v>
      </c>
      <c r="T12" s="210"/>
      <c r="U12" s="22">
        <f>U11*U13</f>
        <v>7746.4835999999996</v>
      </c>
      <c r="V12" s="564">
        <f>V11*V13</f>
        <v>11942.49555</v>
      </c>
      <c r="W12" s="22">
        <f>W11*W13</f>
        <v>9539.6510999999991</v>
      </c>
      <c r="X12" s="203"/>
      <c r="Y12" s="203"/>
      <c r="Z12" s="599"/>
      <c r="AA12" s="397" t="s">
        <v>31</v>
      </c>
      <c r="AB12" s="334"/>
      <c r="AC12" s="404">
        <f>AC11*AC13</f>
        <v>7746.4835999999996</v>
      </c>
      <c r="AD12" s="407">
        <f>AD11*AD13</f>
        <v>12007.049579999999</v>
      </c>
      <c r="AE12" s="22">
        <f>AE11*AE13</f>
        <v>9539.6510999999991</v>
      </c>
      <c r="AF12" s="203"/>
      <c r="AL12" s="599"/>
      <c r="AM12" s="397" t="s">
        <v>31</v>
      </c>
      <c r="AN12" s="387"/>
      <c r="AO12" s="404">
        <f>AO11*AO13</f>
        <v>7746.4835999999996</v>
      </c>
      <c r="AP12" s="75">
        <f>AP11*AP13</f>
        <v>11674.664999999999</v>
      </c>
      <c r="AQ12" s="22">
        <f>AQ11*AQ13</f>
        <v>9539.6510999999991</v>
      </c>
      <c r="AR12" s="203"/>
    </row>
    <row r="13" spans="1:44" ht="15.75" customHeight="1" thickBot="1" x14ac:dyDescent="0.3">
      <c r="B13" s="599"/>
      <c r="C13" s="332" t="s">
        <v>191</v>
      </c>
      <c r="D13" s="267"/>
      <c r="E13" s="23">
        <v>1.8</v>
      </c>
      <c r="F13" s="291">
        <v>1.86</v>
      </c>
      <c r="G13" s="23">
        <v>1.9</v>
      </c>
      <c r="H13" s="203"/>
      <c r="I13" s="203"/>
      <c r="J13" s="599"/>
      <c r="K13" s="332" t="s">
        <v>191</v>
      </c>
      <c r="L13" s="273"/>
      <c r="M13" s="23">
        <v>1.8</v>
      </c>
      <c r="N13" s="350">
        <v>1.7</v>
      </c>
      <c r="O13" s="23">
        <v>1.9</v>
      </c>
      <c r="P13" s="203"/>
      <c r="Q13" s="203"/>
      <c r="R13" s="599"/>
      <c r="S13" s="7" t="s">
        <v>32</v>
      </c>
      <c r="T13" s="210"/>
      <c r="U13" s="23">
        <v>1.8</v>
      </c>
      <c r="V13" s="240">
        <v>1.85</v>
      </c>
      <c r="W13" s="23">
        <v>1.9</v>
      </c>
      <c r="X13" s="203"/>
      <c r="Y13" s="203"/>
      <c r="Z13" s="599"/>
      <c r="AA13" s="397" t="s">
        <v>32</v>
      </c>
      <c r="AB13" s="334"/>
      <c r="AC13" s="291">
        <v>1.8</v>
      </c>
      <c r="AD13" s="408">
        <v>1.86</v>
      </c>
      <c r="AE13" s="23">
        <v>1.9</v>
      </c>
      <c r="AF13" s="203"/>
      <c r="AL13" s="599"/>
      <c r="AM13" s="397" t="s">
        <v>32</v>
      </c>
      <c r="AN13" s="387"/>
      <c r="AO13" s="291">
        <v>1.8</v>
      </c>
      <c r="AP13" s="77">
        <v>1.7</v>
      </c>
      <c r="AQ13" s="23">
        <v>1.9</v>
      </c>
      <c r="AR13" s="203"/>
    </row>
    <row r="14" spans="1:44" ht="15.75" customHeight="1" thickBot="1" x14ac:dyDescent="0.3">
      <c r="B14" s="599"/>
      <c r="C14" s="296" t="s">
        <v>185</v>
      </c>
      <c r="D14" s="266"/>
      <c r="E14" s="23"/>
      <c r="F14" s="301">
        <f>+F11-E10</f>
        <v>1877.1030000000001</v>
      </c>
      <c r="G14" s="292">
        <f>G11-E10</f>
        <v>442.56900000000041</v>
      </c>
      <c r="H14" s="203"/>
      <c r="I14" s="203"/>
      <c r="J14" s="599"/>
      <c r="K14" s="346" t="s">
        <v>185</v>
      </c>
      <c r="L14" s="294"/>
      <c r="M14" s="352"/>
      <c r="N14" s="353">
        <f>+N11-M10</f>
        <v>2289.1500000000005</v>
      </c>
      <c r="O14" s="352"/>
      <c r="P14" s="203"/>
      <c r="Q14" s="203"/>
      <c r="R14" s="599"/>
      <c r="S14" s="332" t="s">
        <v>191</v>
      </c>
      <c r="T14" s="266"/>
      <c r="U14" s="561"/>
      <c r="V14" s="565">
        <f>+V11-U10</f>
        <v>1877.1030000000001</v>
      </c>
      <c r="W14" s="340">
        <f>+W11-U10</f>
        <v>442.56900000000041</v>
      </c>
      <c r="X14" s="227"/>
      <c r="Y14" s="227"/>
      <c r="Z14" s="599"/>
      <c r="AA14" s="397" t="s">
        <v>185</v>
      </c>
      <c r="AB14" s="334"/>
      <c r="AC14" s="291"/>
      <c r="AD14" s="301">
        <f>+AD11-AC10</f>
        <v>1877.1030000000001</v>
      </c>
      <c r="AE14" s="301">
        <f>+AE11-AC10</f>
        <v>442.56900000000041</v>
      </c>
      <c r="AF14" s="203"/>
      <c r="AL14" s="599"/>
      <c r="AM14" s="397" t="s">
        <v>185</v>
      </c>
      <c r="AN14" s="387"/>
      <c r="AO14" s="291"/>
      <c r="AP14" s="453">
        <f>+AP11-AO10</f>
        <v>2289.1500000000005</v>
      </c>
      <c r="AQ14" s="301">
        <f>+AQ11-AO10</f>
        <v>442.56900000000041</v>
      </c>
      <c r="AR14" s="203"/>
    </row>
    <row r="15" spans="1:44" ht="15.75" customHeight="1" thickBot="1" x14ac:dyDescent="0.3">
      <c r="A15" s="285"/>
      <c r="B15" s="599"/>
      <c r="C15" s="7" t="s">
        <v>7</v>
      </c>
      <c r="D15" s="57">
        <v>2490.0100000000002</v>
      </c>
      <c r="E15" s="58">
        <f>D15*E8</f>
        <v>1900002.1305</v>
      </c>
      <c r="F15" s="113">
        <f>E15</f>
        <v>1900002.1305</v>
      </c>
      <c r="G15" s="58">
        <f>F15</f>
        <v>1900002.1305</v>
      </c>
      <c r="H15" s="227"/>
      <c r="I15" s="227"/>
      <c r="J15" s="599"/>
      <c r="K15" s="351" t="s">
        <v>7</v>
      </c>
      <c r="L15" s="370">
        <v>2490.0100000000002</v>
      </c>
      <c r="M15" s="358">
        <f>L15*M8</f>
        <v>1900002.1305</v>
      </c>
      <c r="N15" s="359">
        <f>M15</f>
        <v>1900002.1305</v>
      </c>
      <c r="O15" s="358">
        <f>N15</f>
        <v>1900002.1305</v>
      </c>
      <c r="P15" s="238"/>
      <c r="Q15" s="238"/>
      <c r="R15" s="599"/>
      <c r="S15" s="7" t="s">
        <v>7</v>
      </c>
      <c r="T15" s="370">
        <v>2490.0100000000002</v>
      </c>
      <c r="U15" s="358">
        <f>T15*U8</f>
        <v>1900002.1305</v>
      </c>
      <c r="V15" s="359">
        <f>U15</f>
        <v>1900002.1305</v>
      </c>
      <c r="W15" s="358">
        <f>V15</f>
        <v>1900002.1305</v>
      </c>
      <c r="X15" s="228"/>
      <c r="Y15" s="228"/>
      <c r="Z15" s="599"/>
      <c r="AA15" s="397" t="s">
        <v>7</v>
      </c>
      <c r="AB15" s="430">
        <v>2490.0100000000002</v>
      </c>
      <c r="AC15" s="113">
        <f>AB15*AC8</f>
        <v>1900002.1305</v>
      </c>
      <c r="AD15" s="425">
        <f>AC15</f>
        <v>1900002.1305</v>
      </c>
      <c r="AE15" s="426">
        <f>AD15</f>
        <v>1900002.1305</v>
      </c>
      <c r="AF15" s="203"/>
      <c r="AL15" s="599"/>
      <c r="AM15" s="397" t="s">
        <v>7</v>
      </c>
      <c r="AN15" s="430">
        <v>2490.0100000000002</v>
      </c>
      <c r="AO15" s="113">
        <f>AN15*AO8</f>
        <v>1900002.1305</v>
      </c>
      <c r="AP15" s="451">
        <f>AO15</f>
        <v>1900002.1305</v>
      </c>
      <c r="AQ15" s="426">
        <f>AP15</f>
        <v>1900002.1305</v>
      </c>
      <c r="AR15" s="203"/>
    </row>
    <row r="16" spans="1:44" ht="15.4" customHeight="1" thickBot="1" x14ac:dyDescent="0.3">
      <c r="A16" s="286"/>
      <c r="B16" s="599"/>
      <c r="C16" s="222" t="s">
        <v>153</v>
      </c>
      <c r="D16" s="109" t="s">
        <v>28</v>
      </c>
      <c r="E16" s="24"/>
      <c r="F16" s="82">
        <f>F8*2210*F14/E10</f>
        <v>691399.60500000021</v>
      </c>
      <c r="G16" s="119">
        <f>+F16/3</f>
        <v>230466.53500000006</v>
      </c>
      <c r="H16" s="227"/>
      <c r="I16" s="227"/>
      <c r="J16" s="599"/>
      <c r="K16" s="342" t="s">
        <v>153</v>
      </c>
      <c r="L16" s="354" t="s">
        <v>149</v>
      </c>
      <c r="M16" s="355"/>
      <c r="N16" s="356">
        <f>N8*2210*N14/M10</f>
        <v>843170.25000000035</v>
      </c>
      <c r="O16" s="357">
        <f>+N16/3</f>
        <v>281056.75000000012</v>
      </c>
      <c r="P16" s="239"/>
      <c r="Q16" s="239"/>
      <c r="R16" s="599"/>
      <c r="S16" s="222" t="s">
        <v>153</v>
      </c>
      <c r="T16" s="92" t="s">
        <v>157</v>
      </c>
      <c r="U16" s="24"/>
      <c r="V16" s="384">
        <f>(V8*2210*V14/U10)*0.5</f>
        <v>345699.80250000011</v>
      </c>
      <c r="W16" s="385">
        <f>+V16/3</f>
        <v>115233.26750000003</v>
      </c>
      <c r="X16" s="229"/>
      <c r="Y16" s="229"/>
      <c r="Z16" s="599"/>
      <c r="AA16" s="398" t="s">
        <v>153</v>
      </c>
      <c r="AB16" s="432" t="s">
        <v>151</v>
      </c>
      <c r="AC16" s="410"/>
      <c r="AD16" s="428">
        <f>AD8*2210*(AD11-AC10)/AC10*0</f>
        <v>0</v>
      </c>
      <c r="AE16" s="429">
        <f>+AD16/3</f>
        <v>0</v>
      </c>
      <c r="AF16" s="203"/>
      <c r="AL16" s="599"/>
      <c r="AM16" s="398" t="s">
        <v>153</v>
      </c>
      <c r="AN16" s="432" t="s">
        <v>151</v>
      </c>
      <c r="AO16" s="410"/>
      <c r="AP16" s="428">
        <f>AP8*2210*(AP11-AO10)/AO10*0</f>
        <v>0</v>
      </c>
      <c r="AQ16" s="429">
        <f>+AP16/3</f>
        <v>0</v>
      </c>
      <c r="AR16" s="203"/>
    </row>
    <row r="17" spans="1:44" ht="15.75" customHeight="1" thickBot="1" x14ac:dyDescent="0.3">
      <c r="A17" s="281"/>
      <c r="B17" s="598"/>
      <c r="C17" s="8" t="s">
        <v>230</v>
      </c>
      <c r="D17" s="551" t="s">
        <v>228</v>
      </c>
      <c r="E17" s="54">
        <f>(E15+E16)/E11</f>
        <v>441.49113475177307</v>
      </c>
      <c r="F17" s="83">
        <f>(F15+F16)/F11</f>
        <v>401.43144208037836</v>
      </c>
      <c r="G17" s="54">
        <f>(G15+G16)/G11</f>
        <v>424.32269503546104</v>
      </c>
      <c r="H17" s="228"/>
      <c r="I17" s="228"/>
      <c r="J17" s="598"/>
      <c r="K17" s="341" t="s">
        <v>33</v>
      </c>
      <c r="L17" s="116"/>
      <c r="M17" s="54">
        <f>(M15+M16)/M11</f>
        <v>441.49113475177307</v>
      </c>
      <c r="N17" s="55">
        <f>(N15+N16)/N11</f>
        <v>399.44555555555564</v>
      </c>
      <c r="O17" s="54">
        <f>(O15+O16)/O11</f>
        <v>434.39868287740632</v>
      </c>
      <c r="P17" s="139"/>
      <c r="Q17" s="139"/>
      <c r="R17" s="598"/>
      <c r="S17" s="8" t="s">
        <v>33</v>
      </c>
      <c r="T17" s="211"/>
      <c r="U17" s="54">
        <f>(U15+U16)/U11</f>
        <v>441.49113475177307</v>
      </c>
      <c r="V17" s="382">
        <f>(V15+V16)/V11</f>
        <v>347.87943262411352</v>
      </c>
      <c r="W17" s="383">
        <f>(W15+W16)/W11</f>
        <v>401.37183383991896</v>
      </c>
      <c r="X17" s="230"/>
      <c r="Y17" s="230"/>
      <c r="Z17" s="598"/>
      <c r="AA17" s="399" t="s">
        <v>33</v>
      </c>
      <c r="AB17" s="431"/>
      <c r="AC17" s="83">
        <f>(AC15+AC16)/AC11</f>
        <v>441.49113475177307</v>
      </c>
      <c r="AD17" s="427">
        <f>(AD15+AD16)/AD11</f>
        <v>294.32742316784874</v>
      </c>
      <c r="AE17" s="383">
        <f>(AE15+AE16)/AE11</f>
        <v>378.42097264437695</v>
      </c>
      <c r="AF17" s="203"/>
      <c r="AL17" s="598"/>
      <c r="AM17" s="399" t="s">
        <v>33</v>
      </c>
      <c r="AN17" s="431"/>
      <c r="AO17" s="83">
        <f>(AO15+AO16)/AO11</f>
        <v>441.49113475177307</v>
      </c>
      <c r="AP17" s="427">
        <f>(AP15+AP16)/AP11</f>
        <v>276.66777777777776</v>
      </c>
      <c r="AQ17" s="383">
        <f>(AQ15+AQ16)/AQ11</f>
        <v>378.42097264437695</v>
      </c>
      <c r="AR17" s="203"/>
    </row>
    <row r="18" spans="1:44" ht="15.75" customHeight="1" thickBot="1" x14ac:dyDescent="0.3">
      <c r="A18" s="282"/>
      <c r="B18" s="601" t="s">
        <v>168</v>
      </c>
      <c r="C18" s="604" t="s">
        <v>8</v>
      </c>
      <c r="D18" s="605"/>
      <c r="E18" s="605"/>
      <c r="F18" s="605"/>
      <c r="G18" s="606"/>
      <c r="H18" s="229"/>
      <c r="I18" s="229"/>
      <c r="J18" s="601" t="s">
        <v>168</v>
      </c>
      <c r="K18" s="604" t="s">
        <v>8</v>
      </c>
      <c r="L18" s="605"/>
      <c r="M18" s="605"/>
      <c r="N18" s="605"/>
      <c r="O18" s="606"/>
      <c r="P18" s="117"/>
      <c r="Q18" s="117"/>
      <c r="R18" s="601" t="s">
        <v>168</v>
      </c>
      <c r="S18" s="604" t="s">
        <v>8</v>
      </c>
      <c r="T18" s="605"/>
      <c r="U18" s="605"/>
      <c r="V18" s="605"/>
      <c r="W18" s="606"/>
      <c r="X18" s="231"/>
      <c r="Y18" s="231"/>
      <c r="Z18" s="601" t="s">
        <v>168</v>
      </c>
      <c r="AA18" s="604" t="s">
        <v>8</v>
      </c>
      <c r="AB18" s="605"/>
      <c r="AC18" s="605"/>
      <c r="AD18" s="605"/>
      <c r="AE18" s="606"/>
      <c r="AF18" s="203"/>
      <c r="AL18" s="601" t="s">
        <v>168</v>
      </c>
      <c r="AM18" s="604" t="s">
        <v>8</v>
      </c>
      <c r="AN18" s="605"/>
      <c r="AO18" s="605"/>
      <c r="AP18" s="605"/>
      <c r="AQ18" s="606"/>
      <c r="AR18" s="203"/>
    </row>
    <row r="19" spans="1:44" ht="15.75" customHeight="1" thickBot="1" x14ac:dyDescent="0.3">
      <c r="B19" s="602"/>
      <c r="C19" s="7" t="s">
        <v>229</v>
      </c>
      <c r="D19" s="25"/>
      <c r="E19" s="27">
        <v>465</v>
      </c>
      <c r="F19" s="312">
        <f>+E19*1.1</f>
        <v>511.50000000000006</v>
      </c>
      <c r="G19" s="27">
        <v>480</v>
      </c>
      <c r="H19" s="230"/>
      <c r="I19" s="230"/>
      <c r="J19" s="602"/>
      <c r="K19" s="7" t="s">
        <v>9</v>
      </c>
      <c r="L19" s="25"/>
      <c r="M19" s="27">
        <v>465</v>
      </c>
      <c r="N19" s="312">
        <f>+M19*1.1</f>
        <v>511.50000000000006</v>
      </c>
      <c r="O19" s="27">
        <v>480</v>
      </c>
      <c r="P19" s="227"/>
      <c r="Q19" s="227"/>
      <c r="R19" s="602"/>
      <c r="S19" s="7" t="s">
        <v>9</v>
      </c>
      <c r="T19" s="25"/>
      <c r="U19" s="27">
        <v>465</v>
      </c>
      <c r="V19" s="312">
        <f>+U19*1.1</f>
        <v>511.50000000000006</v>
      </c>
      <c r="W19" s="27">
        <v>480</v>
      </c>
      <c r="X19" s="231"/>
      <c r="Y19" s="231"/>
      <c r="Z19" s="602"/>
      <c r="AA19" s="7" t="s">
        <v>9</v>
      </c>
      <c r="AB19" s="25"/>
      <c r="AC19" s="27">
        <v>465</v>
      </c>
      <c r="AD19" s="409">
        <v>511.5</v>
      </c>
      <c r="AE19" s="27">
        <v>480</v>
      </c>
      <c r="AF19" s="449"/>
      <c r="AL19" s="602"/>
      <c r="AM19" s="7" t="s">
        <v>9</v>
      </c>
      <c r="AN19" s="25"/>
      <c r="AO19" s="27">
        <v>465</v>
      </c>
      <c r="AP19" s="409">
        <f>+AO19*1.1</f>
        <v>511.50000000000006</v>
      </c>
      <c r="AQ19" s="27">
        <v>480</v>
      </c>
      <c r="AR19" s="449"/>
    </row>
    <row r="20" spans="1:44" ht="18" customHeight="1" thickBot="1" x14ac:dyDescent="0.3">
      <c r="B20" s="603"/>
      <c r="C20" s="10" t="s">
        <v>26</v>
      </c>
      <c r="D20" s="26"/>
      <c r="E20" s="28">
        <f>E19*E12</f>
        <v>3602114.8739999998</v>
      </c>
      <c r="F20" s="311">
        <f>F19*F12</f>
        <v>6141605.8601700002</v>
      </c>
      <c r="G20" s="28">
        <f>G19*G12</f>
        <v>4579032.5279999999</v>
      </c>
      <c r="H20" s="231"/>
      <c r="I20" s="231"/>
      <c r="J20" s="603"/>
      <c r="K20" s="10" t="s">
        <v>26</v>
      </c>
      <c r="L20" s="26"/>
      <c r="M20" s="28">
        <f>M19*M12</f>
        <v>3602114.8739999998</v>
      </c>
      <c r="N20" s="311">
        <f>N19*N12</f>
        <v>5971591.1475</v>
      </c>
      <c r="O20" s="28">
        <f>O19*O12</f>
        <v>4579032.5279999999</v>
      </c>
      <c r="P20" s="227"/>
      <c r="Q20" s="227"/>
      <c r="R20" s="603"/>
      <c r="S20" s="10" t="s">
        <v>26</v>
      </c>
      <c r="T20" s="26"/>
      <c r="U20" s="28">
        <f>U19*U12</f>
        <v>3602114.8739999998</v>
      </c>
      <c r="V20" s="311">
        <f>V19*V12</f>
        <v>6108586.4738250002</v>
      </c>
      <c r="W20" s="28">
        <f>W19*W12</f>
        <v>4579032.5279999999</v>
      </c>
      <c r="X20" s="231"/>
      <c r="Y20" s="231"/>
      <c r="Z20" s="603"/>
      <c r="AA20" s="10" t="s">
        <v>26</v>
      </c>
      <c r="AB20" s="26"/>
      <c r="AC20" s="28">
        <f>AC19*AC12</f>
        <v>3602114.8739999998</v>
      </c>
      <c r="AD20" s="311">
        <f>AD19*AD12</f>
        <v>6141605.8601699993</v>
      </c>
      <c r="AE20" s="28">
        <f>AE19*AE12</f>
        <v>4579032.5279999999</v>
      </c>
      <c r="AF20" s="389" t="s">
        <v>52</v>
      </c>
      <c r="AH20" s="74">
        <f>AD11*AC34</f>
        <v>12910805.999999998</v>
      </c>
      <c r="AI20" s="579" t="s">
        <v>248</v>
      </c>
      <c r="AL20" s="603"/>
      <c r="AM20" s="10" t="s">
        <v>26</v>
      </c>
      <c r="AN20" s="26"/>
      <c r="AO20" s="28">
        <f>AO19*AO12</f>
        <v>3602114.8739999998</v>
      </c>
      <c r="AP20" s="311">
        <f>AP19*AP12</f>
        <v>5971591.1475</v>
      </c>
      <c r="AQ20" s="28">
        <f>AQ19*AQ12</f>
        <v>4579032.5279999999</v>
      </c>
      <c r="AR20" s="389" t="s">
        <v>52</v>
      </c>
    </row>
    <row r="21" spans="1:44" ht="18.75" customHeight="1" thickBot="1" x14ac:dyDescent="0.3">
      <c r="B21" s="275"/>
      <c r="C21" s="120"/>
      <c r="D21" s="1"/>
      <c r="E21" s="4"/>
      <c r="F21" s="4"/>
      <c r="G21" s="121"/>
      <c r="H21" s="231"/>
      <c r="I21" s="231"/>
      <c r="J21" s="275"/>
      <c r="K21" s="120"/>
      <c r="L21" s="1"/>
      <c r="M21" s="4"/>
      <c r="N21" s="4"/>
      <c r="O21" s="121"/>
      <c r="P21" s="228"/>
      <c r="Q21" s="228"/>
      <c r="R21" s="275"/>
      <c r="S21" s="120"/>
      <c r="T21" s="1"/>
      <c r="U21" s="4"/>
      <c r="V21" s="4"/>
      <c r="W21" s="121"/>
      <c r="X21" s="231"/>
      <c r="Y21" s="231"/>
      <c r="Z21" s="275"/>
      <c r="AA21" s="120"/>
      <c r="AB21" s="1"/>
      <c r="AC21" s="4"/>
      <c r="AD21" s="4"/>
      <c r="AE21" s="121"/>
      <c r="AF21" s="415">
        <f>AD11*0.1</f>
        <v>645.5403</v>
      </c>
      <c r="AH21" s="74">
        <f>AF26*AC34</f>
        <v>11619725.399999999</v>
      </c>
      <c r="AI21" s="579" t="s">
        <v>249</v>
      </c>
      <c r="AL21" s="275"/>
      <c r="AM21" s="120"/>
      <c r="AN21" s="1"/>
      <c r="AO21" s="4"/>
      <c r="AP21" s="4"/>
      <c r="AQ21" s="121"/>
      <c r="AR21" s="415">
        <f>AP11*0.1</f>
        <v>686.745</v>
      </c>
    </row>
    <row r="22" spans="1:44" ht="15.75" customHeight="1" thickBot="1" x14ac:dyDescent="0.3">
      <c r="B22" s="597" t="s">
        <v>169</v>
      </c>
      <c r="C22" s="635" t="s">
        <v>10</v>
      </c>
      <c r="D22" s="636"/>
      <c r="E22" s="637"/>
      <c r="F22" s="636"/>
      <c r="G22" s="638"/>
      <c r="H22" s="231"/>
      <c r="I22" s="231"/>
      <c r="J22" s="597" t="s">
        <v>169</v>
      </c>
      <c r="K22" s="635" t="s">
        <v>10</v>
      </c>
      <c r="L22" s="636"/>
      <c r="M22" s="637"/>
      <c r="N22" s="636"/>
      <c r="O22" s="638"/>
      <c r="P22" s="229"/>
      <c r="Q22" s="229"/>
      <c r="R22" s="597" t="s">
        <v>169</v>
      </c>
      <c r="S22" s="635" t="s">
        <v>10</v>
      </c>
      <c r="T22" s="636"/>
      <c r="U22" s="637"/>
      <c r="V22" s="636"/>
      <c r="W22" s="638"/>
      <c r="X22" s="231"/>
      <c r="Y22" s="231"/>
      <c r="Z22" s="597" t="s">
        <v>169</v>
      </c>
      <c r="AA22" s="635" t="s">
        <v>10</v>
      </c>
      <c r="AB22" s="636"/>
      <c r="AC22" s="637"/>
      <c r="AD22" s="636"/>
      <c r="AE22" s="638"/>
      <c r="AF22" s="416" t="s">
        <v>57</v>
      </c>
      <c r="AH22" s="74">
        <f>AF21*980</f>
        <v>632629.49399999995</v>
      </c>
      <c r="AI22" s="579" t="s">
        <v>250</v>
      </c>
      <c r="AL22" s="597" t="s">
        <v>169</v>
      </c>
      <c r="AM22" s="635" t="s">
        <v>10</v>
      </c>
      <c r="AN22" s="636"/>
      <c r="AO22" s="637"/>
      <c r="AP22" s="636"/>
      <c r="AQ22" s="638"/>
      <c r="AR22" s="416" t="s">
        <v>57</v>
      </c>
    </row>
    <row r="23" spans="1:44" ht="15.75" customHeight="1" thickBot="1" x14ac:dyDescent="0.3">
      <c r="A23" s="59"/>
      <c r="B23" s="599"/>
      <c r="C23" s="9" t="s">
        <v>11</v>
      </c>
      <c r="D23" s="29">
        <v>0.04</v>
      </c>
      <c r="E23" s="31">
        <f>$E$20*D23</f>
        <v>144084.59495999999</v>
      </c>
      <c r="F23" s="61">
        <f>E23*18/12</f>
        <v>216126.89243999997</v>
      </c>
      <c r="G23" s="91">
        <f>E23*14/12</f>
        <v>168098.69411999997</v>
      </c>
      <c r="H23" s="231"/>
      <c r="I23" s="231"/>
      <c r="J23" s="599"/>
      <c r="K23" s="9" t="s">
        <v>11</v>
      </c>
      <c r="L23" s="29">
        <v>0.04</v>
      </c>
      <c r="M23" s="31">
        <f>$E$20*L23</f>
        <v>144084.59495999999</v>
      </c>
      <c r="N23" s="79">
        <f>M23*18/12</f>
        <v>216126.89243999997</v>
      </c>
      <c r="O23" s="84">
        <f>M23*14/12</f>
        <v>168098.69411999997</v>
      </c>
      <c r="P23" s="230"/>
      <c r="Q23" s="230"/>
      <c r="R23" s="599"/>
      <c r="S23" s="9" t="s">
        <v>11</v>
      </c>
      <c r="T23" s="29">
        <v>0.04</v>
      </c>
      <c r="U23" s="31">
        <f>$E$20*T23</f>
        <v>144084.59495999999</v>
      </c>
      <c r="V23" s="79">
        <f>U23*18/12</f>
        <v>216126.89243999997</v>
      </c>
      <c r="W23" s="84">
        <f>U23*14/12</f>
        <v>168098.69411999997</v>
      </c>
      <c r="X23" s="232"/>
      <c r="Y23" s="232"/>
      <c r="Z23" s="599"/>
      <c r="AA23" s="9" t="s">
        <v>11</v>
      </c>
      <c r="AB23" s="29">
        <v>0.04</v>
      </c>
      <c r="AC23" s="31">
        <f>$E$20*AB23</f>
        <v>144084.59495999999</v>
      </c>
      <c r="AD23" s="79">
        <f>AC23*18/12</f>
        <v>216126.89243999997</v>
      </c>
      <c r="AE23" s="84">
        <f>AC23*14/12</f>
        <v>168098.69411999997</v>
      </c>
      <c r="AF23" s="414">
        <f>AF21*980</f>
        <v>632629.49399999995</v>
      </c>
      <c r="AH23" s="74">
        <f>AH21+AH22</f>
        <v>12252354.893999998</v>
      </c>
      <c r="AI23" s="579" t="s">
        <v>246</v>
      </c>
      <c r="AL23" s="599"/>
      <c r="AM23" s="9" t="s">
        <v>11</v>
      </c>
      <c r="AN23" s="29">
        <v>0.04</v>
      </c>
      <c r="AO23" s="31">
        <f>$E$20*AN23</f>
        <v>144084.59495999999</v>
      </c>
      <c r="AP23" s="79">
        <f>AO23*18/12</f>
        <v>216126.89243999997</v>
      </c>
      <c r="AQ23" s="84">
        <f>AO23*14/12</f>
        <v>168098.69411999997</v>
      </c>
      <c r="AR23" s="414">
        <f>AR21*980</f>
        <v>673010.1</v>
      </c>
    </row>
    <row r="24" spans="1:44" ht="15.75" customHeight="1" thickBot="1" x14ac:dyDescent="0.3">
      <c r="A24" s="59"/>
      <c r="B24" s="599"/>
      <c r="C24" s="9" t="s">
        <v>12</v>
      </c>
      <c r="D24" s="29">
        <v>0.06</v>
      </c>
      <c r="E24" s="32">
        <f>$E$20*D24</f>
        <v>216126.89244</v>
      </c>
      <c r="F24" s="61">
        <f>E24*18/12</f>
        <v>324190.33866000001</v>
      </c>
      <c r="G24" s="60">
        <f>E24*14/12</f>
        <v>252148.04117999997</v>
      </c>
      <c r="H24" s="231"/>
      <c r="I24" s="231"/>
      <c r="J24" s="599"/>
      <c r="K24" s="9" t="s">
        <v>12</v>
      </c>
      <c r="L24" s="29">
        <v>0.06</v>
      </c>
      <c r="M24" s="32">
        <f>$E$20*L24</f>
        <v>216126.89244</v>
      </c>
      <c r="N24" s="79">
        <f>M24*18/12</f>
        <v>324190.33866000001</v>
      </c>
      <c r="O24" s="78">
        <f>M24*14/12</f>
        <v>252148.04117999997</v>
      </c>
      <c r="P24" s="231"/>
      <c r="Q24" s="231"/>
      <c r="R24" s="599"/>
      <c r="S24" s="9" t="s">
        <v>12</v>
      </c>
      <c r="T24" s="29">
        <v>0.06</v>
      </c>
      <c r="U24" s="32">
        <f>$E$20*T24</f>
        <v>216126.89244</v>
      </c>
      <c r="V24" s="79">
        <f>U24*18/12</f>
        <v>324190.33866000001</v>
      </c>
      <c r="W24" s="78">
        <f>U24*14/12</f>
        <v>252148.04117999997</v>
      </c>
      <c r="X24" s="227"/>
      <c r="Y24" s="227"/>
      <c r="Z24" s="599"/>
      <c r="AA24" s="9" t="s">
        <v>12</v>
      </c>
      <c r="AB24" s="29">
        <v>0.06</v>
      </c>
      <c r="AC24" s="32">
        <f>$E$20*AB24</f>
        <v>216126.89244</v>
      </c>
      <c r="AD24" s="79">
        <f>AC24*18/12</f>
        <v>324190.33866000001</v>
      </c>
      <c r="AE24" s="78">
        <f>AC24*14/12</f>
        <v>252148.04117999997</v>
      </c>
      <c r="AF24" s="59"/>
      <c r="AH24" s="584">
        <f>AH20-AH23</f>
        <v>658451.10600000061</v>
      </c>
      <c r="AI24" s="579" t="s">
        <v>247</v>
      </c>
      <c r="AL24" s="599"/>
      <c r="AM24" s="9" t="s">
        <v>12</v>
      </c>
      <c r="AN24" s="29">
        <v>0.06</v>
      </c>
      <c r="AO24" s="32">
        <f>$E$20*AN24</f>
        <v>216126.89244</v>
      </c>
      <c r="AP24" s="79">
        <f>AO24*18/12</f>
        <v>324190.33866000001</v>
      </c>
      <c r="AQ24" s="78">
        <f>AO24*14/12</f>
        <v>252148.04117999997</v>
      </c>
      <c r="AR24" s="59"/>
    </row>
    <row r="25" spans="1:44" ht="15" customHeight="1" x14ac:dyDescent="0.25">
      <c r="A25" s="59"/>
      <c r="B25" s="599"/>
      <c r="C25" s="9" t="s">
        <v>13</v>
      </c>
      <c r="D25" s="29">
        <v>0.05</v>
      </c>
      <c r="E25" s="32">
        <f>$E$35*D25</f>
        <v>430360.2</v>
      </c>
      <c r="F25" s="61">
        <f>E25*18/12</f>
        <v>645540.30000000005</v>
      </c>
      <c r="G25" s="60">
        <f>E25*14/12</f>
        <v>502086.89999999997</v>
      </c>
      <c r="H25" s="232"/>
      <c r="I25" s="232"/>
      <c r="J25" s="599"/>
      <c r="K25" s="9" t="s">
        <v>13</v>
      </c>
      <c r="L25" s="29">
        <v>0.05</v>
      </c>
      <c r="M25" s="32">
        <f>$M$35*L25</f>
        <v>430360.2</v>
      </c>
      <c r="N25" s="79">
        <f>M25*18/12</f>
        <v>645540.30000000005</v>
      </c>
      <c r="O25" s="78">
        <f>M25*14/12</f>
        <v>502086.89999999997</v>
      </c>
      <c r="P25" s="231"/>
      <c r="Q25" s="231"/>
      <c r="R25" s="599"/>
      <c r="S25" s="9" t="s">
        <v>13</v>
      </c>
      <c r="T25" s="29">
        <v>0.05</v>
      </c>
      <c r="U25" s="32">
        <f>$U$35*T25</f>
        <v>430360.2</v>
      </c>
      <c r="V25" s="79">
        <f>U25*18/12</f>
        <v>645540.30000000005</v>
      </c>
      <c r="W25" s="78">
        <f>U25*14/12</f>
        <v>502086.89999999997</v>
      </c>
      <c r="X25" s="233"/>
      <c r="Y25" s="233"/>
      <c r="Z25" s="599"/>
      <c r="AA25" s="9" t="s">
        <v>13</v>
      </c>
      <c r="AB25" s="29">
        <v>0.05</v>
      </c>
      <c r="AC25" s="32">
        <f>$AC$35*AB25</f>
        <v>430360.2</v>
      </c>
      <c r="AD25" s="32">
        <f>$AC$35*AB25</f>
        <v>430360.2</v>
      </c>
      <c r="AE25" s="32">
        <f>$AC$35*AB25</f>
        <v>430360.2</v>
      </c>
      <c r="AF25" s="390" t="s">
        <v>53</v>
      </c>
      <c r="AH25" s="581"/>
      <c r="AI25" s="579"/>
      <c r="AL25" s="599"/>
      <c r="AM25" s="9" t="s">
        <v>13</v>
      </c>
      <c r="AN25" s="29">
        <v>0.05</v>
      </c>
      <c r="AO25" s="32">
        <f>$AO$35*AN25</f>
        <v>430360.2</v>
      </c>
      <c r="AP25" s="32">
        <f>$AO$35*AN25</f>
        <v>430360.2</v>
      </c>
      <c r="AQ25" s="32">
        <f>$AO$35*AN25</f>
        <v>430360.2</v>
      </c>
      <c r="AR25" s="390" t="s">
        <v>53</v>
      </c>
    </row>
    <row r="26" spans="1:44" ht="15" customHeight="1" x14ac:dyDescent="0.25">
      <c r="A26" s="59"/>
      <c r="B26" s="599"/>
      <c r="C26" s="9" t="s">
        <v>14</v>
      </c>
      <c r="D26" s="29">
        <v>0.02</v>
      </c>
      <c r="E26" s="78" t="e">
        <f>#REF!*D26</f>
        <v>#REF!</v>
      </c>
      <c r="F26" s="61" t="e">
        <f>E26*18/12</f>
        <v>#REF!</v>
      </c>
      <c r="G26" s="60" t="e">
        <f>F26*14/12</f>
        <v>#REF!</v>
      </c>
      <c r="H26" s="227"/>
      <c r="I26" s="227"/>
      <c r="J26" s="599"/>
      <c r="K26" s="9" t="s">
        <v>14</v>
      </c>
      <c r="L26" s="29">
        <v>0.02</v>
      </c>
      <c r="M26" s="78" t="e">
        <f>#REF!*L26</f>
        <v>#REF!</v>
      </c>
      <c r="N26" s="79" t="e">
        <f>M26*18/12</f>
        <v>#REF!</v>
      </c>
      <c r="O26" s="78" t="e">
        <f>N26*14/12</f>
        <v>#REF!</v>
      </c>
      <c r="P26" s="231"/>
      <c r="Q26" s="231"/>
      <c r="R26" s="599"/>
      <c r="S26" s="9" t="s">
        <v>14</v>
      </c>
      <c r="T26" s="29">
        <v>0.02</v>
      </c>
      <c r="U26" s="78" t="e">
        <f>#REF!*T26</f>
        <v>#REF!</v>
      </c>
      <c r="V26" s="79" t="e">
        <f>U26*18/12</f>
        <v>#REF!</v>
      </c>
      <c r="W26" s="78" t="e">
        <f>V26*14/12</f>
        <v>#REF!</v>
      </c>
      <c r="X26" s="229"/>
      <c r="Y26" s="229"/>
      <c r="Z26" s="599"/>
      <c r="AA26" s="9" t="s">
        <v>14</v>
      </c>
      <c r="AB26" s="29">
        <v>0.02</v>
      </c>
      <c r="AC26" s="78" t="e">
        <f>#REF!*AB26</f>
        <v>#REF!</v>
      </c>
      <c r="AD26" s="79" t="e">
        <f>AC26*18/12</f>
        <v>#REF!</v>
      </c>
      <c r="AE26" s="78" t="e">
        <f>AD26*14/12</f>
        <v>#REF!</v>
      </c>
      <c r="AF26" s="418">
        <f>AD11-AF21</f>
        <v>5809.8626999999997</v>
      </c>
      <c r="AH26" s="582">
        <f>F16</f>
        <v>691399.60500000021</v>
      </c>
      <c r="AI26" s="579" t="s">
        <v>149</v>
      </c>
      <c r="AL26" s="599"/>
      <c r="AM26" s="9" t="s">
        <v>14</v>
      </c>
      <c r="AN26" s="29">
        <v>0.02</v>
      </c>
      <c r="AO26" s="78" t="e">
        <f>#REF!*AN26</f>
        <v>#REF!</v>
      </c>
      <c r="AP26" s="79" t="e">
        <f>AO26*18/12</f>
        <v>#REF!</v>
      </c>
      <c r="AQ26" s="78" t="e">
        <f>AP26*14/12</f>
        <v>#REF!</v>
      </c>
      <c r="AR26" s="418">
        <f>AP11-AR21</f>
        <v>6180.7049999999999</v>
      </c>
    </row>
    <row r="27" spans="1:44" ht="15" customHeight="1" x14ac:dyDescent="0.25">
      <c r="A27" s="59"/>
      <c r="B27" s="599"/>
      <c r="C27" s="9" t="s">
        <v>37</v>
      </c>
      <c r="D27" s="29">
        <v>0.05</v>
      </c>
      <c r="E27" s="78">
        <f>$E$20*D27</f>
        <v>180105.74369999999</v>
      </c>
      <c r="F27" s="80">
        <f>$F$20*D27</f>
        <v>307080.29300850001</v>
      </c>
      <c r="G27" s="78">
        <f>$G$20*D27</f>
        <v>228951.62640000001</v>
      </c>
      <c r="H27" s="233"/>
      <c r="I27" s="233"/>
      <c r="J27" s="599"/>
      <c r="K27" s="9" t="s">
        <v>37</v>
      </c>
      <c r="L27" s="29">
        <v>0.05</v>
      </c>
      <c r="M27" s="78">
        <f>$E$20*L27</f>
        <v>180105.74369999999</v>
      </c>
      <c r="N27" s="80">
        <f>$F$20*L27</f>
        <v>307080.29300850001</v>
      </c>
      <c r="O27" s="78">
        <f>$G$20*L27</f>
        <v>228951.62640000001</v>
      </c>
      <c r="P27" s="231"/>
      <c r="Q27" s="231"/>
      <c r="R27" s="599"/>
      <c r="S27" s="9" t="s">
        <v>37</v>
      </c>
      <c r="T27" s="29">
        <v>0.05</v>
      </c>
      <c r="U27" s="78">
        <f>$E$20*T27</f>
        <v>180105.74369999999</v>
      </c>
      <c r="V27" s="80">
        <f>$F$20*T27</f>
        <v>307080.29300850001</v>
      </c>
      <c r="W27" s="78">
        <f>$G$20*T27</f>
        <v>228951.62640000001</v>
      </c>
      <c r="X27" s="227"/>
      <c r="Y27" s="227"/>
      <c r="Z27" s="599"/>
      <c r="AA27" s="9" t="s">
        <v>37</v>
      </c>
      <c r="AB27" s="29">
        <v>0.05</v>
      </c>
      <c r="AC27" s="78">
        <f>$E$20*AB27</f>
        <v>180105.74369999999</v>
      </c>
      <c r="AD27" s="80">
        <f>$F$20*AB27</f>
        <v>307080.29300850001</v>
      </c>
      <c r="AE27" s="78">
        <f>$G$20*AB27</f>
        <v>228951.62640000001</v>
      </c>
      <c r="AF27" s="417" t="s">
        <v>58</v>
      </c>
      <c r="AH27" s="584">
        <f>AH24-AH26</f>
        <v>-32948.498999999603</v>
      </c>
      <c r="AI27" s="579" t="s">
        <v>252</v>
      </c>
      <c r="AL27" s="599"/>
      <c r="AM27" s="9" t="s">
        <v>37</v>
      </c>
      <c r="AN27" s="29">
        <v>0.05</v>
      </c>
      <c r="AO27" s="78">
        <f>$E$20*AN27</f>
        <v>180105.74369999999</v>
      </c>
      <c r="AP27" s="80">
        <f>$F$20*AN27</f>
        <v>307080.29300850001</v>
      </c>
      <c r="AQ27" s="78">
        <f>$G$20*AN27</f>
        <v>228951.62640000001</v>
      </c>
      <c r="AR27" s="417" t="s">
        <v>58</v>
      </c>
    </row>
    <row r="28" spans="1:44" ht="15.75" customHeight="1" thickBot="1" x14ac:dyDescent="0.3">
      <c r="A28" s="59"/>
      <c r="B28" s="599"/>
      <c r="C28" s="9" t="s">
        <v>15</v>
      </c>
      <c r="D28" s="29">
        <f>+E28/E20</f>
        <v>2.5318488014438596E-2</v>
      </c>
      <c r="E28" s="78">
        <f>0.3*(E15+E16)*8%*2</f>
        <v>91200.102263999986</v>
      </c>
      <c r="F28" s="80">
        <f>0.3*(F15+F16+F21)*8%*2</f>
        <v>124387.28330400001</v>
      </c>
      <c r="G28" s="78">
        <f>0.3*(G15+G16+G21)*8%*2</f>
        <v>102262.49594399999</v>
      </c>
      <c r="H28" s="229"/>
      <c r="I28" s="229"/>
      <c r="J28" s="599"/>
      <c r="K28" s="9" t="s">
        <v>15</v>
      </c>
      <c r="L28" s="29">
        <f>+M28/M20</f>
        <v>2.5318488014438596E-2</v>
      </c>
      <c r="M28" s="78">
        <f>0.3*(M15+M16)*8%*2</f>
        <v>91200.102263999986</v>
      </c>
      <c r="N28" s="80">
        <f>0.3*(N15+N16+N21)*8%*2</f>
        <v>131672.27426400004</v>
      </c>
      <c r="O28" s="78">
        <f>0.3*(O15+O16+O21)*8%*2</f>
        <v>104690.826264</v>
      </c>
      <c r="P28" s="231"/>
      <c r="Q28" s="231"/>
      <c r="R28" s="599"/>
      <c r="S28" s="9" t="s">
        <v>15</v>
      </c>
      <c r="T28" s="29">
        <f>+U28/U20</f>
        <v>2.5318488014438596E-2</v>
      </c>
      <c r="U28" s="78">
        <f>0.3*(U15+U16)*8%*2</f>
        <v>91200.102263999986</v>
      </c>
      <c r="V28" s="80">
        <f>0.3*(V15+V16+V21)*8%*2</f>
        <v>107793.692784</v>
      </c>
      <c r="W28" s="78">
        <f>0.3*(W15+W16+W21)*8%*2</f>
        <v>96731.299103999991</v>
      </c>
      <c r="X28" s="234"/>
      <c r="Y28" s="234"/>
      <c r="Z28" s="599"/>
      <c r="AA28" s="9" t="s">
        <v>15</v>
      </c>
      <c r="AB28" s="29">
        <f>+AC28/AC20</f>
        <v>2.5318488014438596E-2</v>
      </c>
      <c r="AC28" s="78">
        <f>0.3*(AC15+AC16)*8%*2</f>
        <v>91200.102263999986</v>
      </c>
      <c r="AD28" s="80">
        <f>0.3*(AD15+AD16+AD21)*8%*2</f>
        <v>91200.102263999986</v>
      </c>
      <c r="AE28" s="78">
        <f>0.3*(AE15+AE16+AE21)*8%*2</f>
        <v>91200.102263999986</v>
      </c>
      <c r="AF28" s="419">
        <f>AF26*2000</f>
        <v>11619725.399999999</v>
      </c>
      <c r="AH28" s="583">
        <f>AH27/AF26</f>
        <v>-5.6711321250327664</v>
      </c>
      <c r="AI28" s="579" t="s">
        <v>253</v>
      </c>
      <c r="AL28" s="599"/>
      <c r="AM28" s="9" t="s">
        <v>15</v>
      </c>
      <c r="AN28" s="29">
        <f>+AO28/AO20</f>
        <v>2.5318488014438596E-2</v>
      </c>
      <c r="AO28" s="78">
        <f>0.3*(AO15+AO16)*8%*2</f>
        <v>91200.102263999986</v>
      </c>
      <c r="AP28" s="80">
        <f>0.3*(AP15+AP16+AP21)*8%*2</f>
        <v>91200.102263999986</v>
      </c>
      <c r="AQ28" s="78">
        <f>0.3*(AQ15+AQ16+AQ21)*8%*2</f>
        <v>91200.102263999986</v>
      </c>
      <c r="AR28" s="419">
        <f>AR26*2000</f>
        <v>12361410</v>
      </c>
    </row>
    <row r="29" spans="1:44" ht="15.75" customHeight="1" thickBot="1" x14ac:dyDescent="0.3">
      <c r="A29" s="59"/>
      <c r="B29" s="599"/>
      <c r="C29" s="8" t="s">
        <v>227</v>
      </c>
      <c r="D29" s="551" t="s">
        <v>228</v>
      </c>
      <c r="E29" s="550" t="e">
        <f>E30/E12</f>
        <v>#REF!</v>
      </c>
      <c r="F29" s="550" t="e">
        <f t="shared" ref="F29:G29" si="0">F30/F12</f>
        <v>#REF!</v>
      </c>
      <c r="G29" s="550" t="e">
        <f t="shared" si="0"/>
        <v>#REF!</v>
      </c>
      <c r="H29" s="229"/>
      <c r="I29" s="229"/>
      <c r="J29" s="599"/>
      <c r="K29" s="8" t="s">
        <v>227</v>
      </c>
      <c r="L29" s="551" t="s">
        <v>228</v>
      </c>
      <c r="M29" s="550" t="e">
        <f>M30/M12</f>
        <v>#REF!</v>
      </c>
      <c r="N29" s="550" t="e">
        <f t="shared" ref="N29:O29" si="1">N30/N12</f>
        <v>#REF!</v>
      </c>
      <c r="O29" s="550" t="e">
        <f t="shared" si="1"/>
        <v>#REF!</v>
      </c>
      <c r="P29" s="231"/>
      <c r="Q29" s="231"/>
      <c r="R29" s="599"/>
      <c r="S29" s="8" t="s">
        <v>227</v>
      </c>
      <c r="T29" s="551" t="s">
        <v>228</v>
      </c>
      <c r="U29" s="550" t="e">
        <f>U30/U12</f>
        <v>#REF!</v>
      </c>
      <c r="V29" s="550" t="e">
        <f t="shared" ref="V29:W29" si="2">V30/V12</f>
        <v>#REF!</v>
      </c>
      <c r="W29" s="550" t="e">
        <f t="shared" si="2"/>
        <v>#REF!</v>
      </c>
      <c r="X29" s="234"/>
      <c r="Y29" s="234"/>
      <c r="Z29" s="599"/>
      <c r="AA29" s="8" t="s">
        <v>227</v>
      </c>
      <c r="AB29" s="551" t="s">
        <v>228</v>
      </c>
      <c r="AC29" s="550" t="e">
        <f>AC30/AC12</f>
        <v>#REF!</v>
      </c>
      <c r="AD29" s="550" t="e">
        <f t="shared" ref="AD29:AE29" si="3">AD30/AD12</f>
        <v>#REF!</v>
      </c>
      <c r="AE29" s="550" t="e">
        <f t="shared" si="3"/>
        <v>#REF!</v>
      </c>
      <c r="AF29" s="558"/>
      <c r="AL29" s="599"/>
      <c r="AM29" s="8" t="s">
        <v>227</v>
      </c>
      <c r="AN29" s="551" t="s">
        <v>228</v>
      </c>
      <c r="AO29" s="550" t="e">
        <f>AO30/AO12</f>
        <v>#REF!</v>
      </c>
      <c r="AP29" s="550" t="e">
        <f t="shared" ref="AP29:AQ29" si="4">AP30/AP12</f>
        <v>#REF!</v>
      </c>
      <c r="AQ29" s="550" t="e">
        <f t="shared" si="4"/>
        <v>#REF!</v>
      </c>
      <c r="AR29" s="558"/>
    </row>
    <row r="30" spans="1:44" ht="15.75" customHeight="1" thickBot="1" x14ac:dyDescent="0.3">
      <c r="B30" s="598"/>
      <c r="C30" s="10" t="s">
        <v>231</v>
      </c>
      <c r="D30" s="30"/>
      <c r="E30" s="33" t="e">
        <f>SUM(E23:E28)</f>
        <v>#REF!</v>
      </c>
      <c r="F30" s="46" t="e">
        <f>SUM(F23:F28)</f>
        <v>#REF!</v>
      </c>
      <c r="G30" s="33" t="e">
        <f>SUM(G23:G28)</f>
        <v>#REF!</v>
      </c>
      <c r="H30" s="227"/>
      <c r="I30" s="227"/>
      <c r="J30" s="598"/>
      <c r="K30" s="10" t="s">
        <v>39</v>
      </c>
      <c r="L30" s="30"/>
      <c r="M30" s="33" t="e">
        <f>SUM(M23:M28)</f>
        <v>#REF!</v>
      </c>
      <c r="N30" s="46" t="e">
        <f>SUM(N23:N28)</f>
        <v>#REF!</v>
      </c>
      <c r="O30" s="33" t="e">
        <f>SUM(O23:O28)</f>
        <v>#REF!</v>
      </c>
      <c r="P30" s="232"/>
      <c r="Q30" s="232"/>
      <c r="R30" s="598"/>
      <c r="S30" s="10" t="s">
        <v>39</v>
      </c>
      <c r="T30" s="30"/>
      <c r="U30" s="33" t="e">
        <f>SUM(U23:U28)</f>
        <v>#REF!</v>
      </c>
      <c r="V30" s="46" t="e">
        <f>SUM(V23:V28)</f>
        <v>#REF!</v>
      </c>
      <c r="W30" s="33" t="e">
        <f>SUM(W23:W28)</f>
        <v>#REF!</v>
      </c>
      <c r="X30" s="229"/>
      <c r="Y30" s="229"/>
      <c r="Z30" s="598"/>
      <c r="AA30" s="10" t="s">
        <v>39</v>
      </c>
      <c r="AB30" s="30"/>
      <c r="AC30" s="33" t="e">
        <f>SUM(AC23:AC28)</f>
        <v>#REF!</v>
      </c>
      <c r="AD30" s="46" t="e">
        <f>SUM(AD23:AD28)</f>
        <v>#REF!</v>
      </c>
      <c r="AE30" s="33" t="e">
        <f>SUM(AE23:AE28)</f>
        <v>#REF!</v>
      </c>
      <c r="AF30" s="130"/>
      <c r="AL30" s="598"/>
      <c r="AM30" s="10" t="s">
        <v>39</v>
      </c>
      <c r="AN30" s="30"/>
      <c r="AO30" s="33" t="e">
        <f>SUM(AO23:AO28)</f>
        <v>#REF!</v>
      </c>
      <c r="AP30" s="46" t="e">
        <f>SUM(AP23:AP28)</f>
        <v>#REF!</v>
      </c>
      <c r="AQ30" s="33" t="e">
        <f>SUM(AQ23:AQ28)</f>
        <v>#REF!</v>
      </c>
      <c r="AR30" s="130"/>
    </row>
    <row r="31" spans="1:44" ht="15" customHeight="1" x14ac:dyDescent="0.25">
      <c r="B31" s="597" t="s">
        <v>170</v>
      </c>
      <c r="C31" s="525" t="s">
        <v>156</v>
      </c>
      <c r="D31" s="526"/>
      <c r="E31" s="527" t="e">
        <f>E15+E16+E20+E30</f>
        <v>#REF!</v>
      </c>
      <c r="F31" s="528" t="e">
        <f>F15+F16+F20+F30</f>
        <v>#REF!</v>
      </c>
      <c r="G31" s="527" t="e">
        <f>G15+G16+G20+G30</f>
        <v>#REF!</v>
      </c>
      <c r="H31" s="234"/>
      <c r="I31" s="234"/>
      <c r="J31" s="597" t="s">
        <v>170</v>
      </c>
      <c r="K31" s="525" t="s">
        <v>156</v>
      </c>
      <c r="L31" s="526"/>
      <c r="M31" s="527" t="e">
        <f>M15+M16+M20+M30</f>
        <v>#REF!</v>
      </c>
      <c r="N31" s="528" t="e">
        <f>N15+N16+N20+N30</f>
        <v>#REF!</v>
      </c>
      <c r="O31" s="527" t="e">
        <f>O15+O16+O20+O30</f>
        <v>#REF!</v>
      </c>
      <c r="P31" s="227"/>
      <c r="Q31" s="227"/>
      <c r="R31" s="597" t="s">
        <v>170</v>
      </c>
      <c r="S31" s="525" t="s">
        <v>156</v>
      </c>
      <c r="T31" s="526"/>
      <c r="U31" s="527" t="e">
        <f>U15+U16+U20+U30</f>
        <v>#REF!</v>
      </c>
      <c r="V31" s="528" t="e">
        <f>V15+V16+V20+V30</f>
        <v>#REF!</v>
      </c>
      <c r="W31" s="527" t="e">
        <f>W15+W16+W20+W30</f>
        <v>#REF!</v>
      </c>
      <c r="X31" s="232"/>
      <c r="Y31" s="232"/>
      <c r="Z31" s="597" t="s">
        <v>170</v>
      </c>
      <c r="AA31" s="525" t="s">
        <v>156</v>
      </c>
      <c r="AB31" s="526"/>
      <c r="AC31" s="527" t="e">
        <f>AC15+AC16+AC20+AC30</f>
        <v>#REF!</v>
      </c>
      <c r="AD31" s="528" t="e">
        <f>AD15+AD16+AD20+AD30</f>
        <v>#REF!</v>
      </c>
      <c r="AE31" s="527" t="e">
        <f>AE15+AE16+AE20+AE30</f>
        <v>#REF!</v>
      </c>
      <c r="AF31" s="391" t="s">
        <v>54</v>
      </c>
      <c r="AH31" s="585">
        <f>AH26/AD11</f>
        <v>107.1040189125296</v>
      </c>
      <c r="AI31" s="586" t="s">
        <v>254</v>
      </c>
      <c r="AL31" s="597" t="s">
        <v>170</v>
      </c>
      <c r="AM31" s="525" t="s">
        <v>156</v>
      </c>
      <c r="AN31" s="526"/>
      <c r="AO31" s="527" t="e">
        <f>AO15+AO16+AO20+AO30</f>
        <v>#REF!</v>
      </c>
      <c r="AP31" s="528" t="e">
        <f>AP15+AP16+AP20+AP30</f>
        <v>#REF!</v>
      </c>
      <c r="AQ31" s="527" t="e">
        <f>AQ15+AQ16+AQ20+AQ30</f>
        <v>#REF!</v>
      </c>
      <c r="AR31" s="391" t="s">
        <v>54</v>
      </c>
    </row>
    <row r="32" spans="1:44" ht="15.75" customHeight="1" thickBot="1" x14ac:dyDescent="0.3">
      <c r="A32" s="5"/>
      <c r="B32" s="598"/>
      <c r="C32" s="529" t="s">
        <v>34</v>
      </c>
      <c r="D32" s="530"/>
      <c r="E32" s="531" t="e">
        <f>E31/E11</f>
        <v>#REF!</v>
      </c>
      <c r="F32" s="532" t="e">
        <f>F31/F11</f>
        <v>#REF!</v>
      </c>
      <c r="G32" s="531" t="e">
        <f>G31/G11</f>
        <v>#REF!</v>
      </c>
      <c r="H32" s="229"/>
      <c r="I32" s="229"/>
      <c r="J32" s="598"/>
      <c r="K32" s="529" t="s">
        <v>34</v>
      </c>
      <c r="L32" s="530"/>
      <c r="M32" s="531" t="e">
        <f>M31/M11</f>
        <v>#REF!</v>
      </c>
      <c r="N32" s="532" t="e">
        <f>N31/N11</f>
        <v>#REF!</v>
      </c>
      <c r="O32" s="531" t="e">
        <f>O31/O11</f>
        <v>#REF!</v>
      </c>
      <c r="P32" s="233"/>
      <c r="Q32" s="233"/>
      <c r="R32" s="598"/>
      <c r="S32" s="529" t="s">
        <v>34</v>
      </c>
      <c r="T32" s="530"/>
      <c r="U32" s="531" t="e">
        <f>U31/U11</f>
        <v>#REF!</v>
      </c>
      <c r="V32" s="532" t="e">
        <f>V31/V11</f>
        <v>#REF!</v>
      </c>
      <c r="W32" s="531" t="e">
        <f>W31/W11</f>
        <v>#REF!</v>
      </c>
      <c r="X32" s="232"/>
      <c r="Y32" s="232"/>
      <c r="Z32" s="598"/>
      <c r="AA32" s="529" t="s">
        <v>34</v>
      </c>
      <c r="AB32" s="530"/>
      <c r="AC32" s="531" t="e">
        <f>AC31/AC11</f>
        <v>#REF!</v>
      </c>
      <c r="AD32" s="532" t="e">
        <f>AD31/AD11</f>
        <v>#REF!</v>
      </c>
      <c r="AE32" s="531" t="e">
        <f>AE31/AE11</f>
        <v>#REF!</v>
      </c>
      <c r="AF32" s="420">
        <f>+AF28+AF23</f>
        <v>12252354.893999998</v>
      </c>
      <c r="AH32" s="102"/>
      <c r="AL32" s="598"/>
      <c r="AM32" s="529" t="s">
        <v>34</v>
      </c>
      <c r="AN32" s="530"/>
      <c r="AO32" s="531" t="e">
        <f>AO31/AO11</f>
        <v>#REF!</v>
      </c>
      <c r="AP32" s="532" t="e">
        <f>AP31/AP11</f>
        <v>#REF!</v>
      </c>
      <c r="AQ32" s="531" t="e">
        <f>AQ31/AQ11</f>
        <v>#REF!</v>
      </c>
      <c r="AR32" s="420">
        <f>+AR28+AR23</f>
        <v>13034420.1</v>
      </c>
    </row>
    <row r="33" spans="1:44" ht="15.75" customHeight="1" thickBot="1" x14ac:dyDescent="0.3">
      <c r="B33" s="597" t="s">
        <v>171</v>
      </c>
      <c r="C33" s="604" t="s">
        <v>17</v>
      </c>
      <c r="D33" s="605"/>
      <c r="E33" s="605"/>
      <c r="F33" s="605"/>
      <c r="G33" s="606"/>
      <c r="H33" s="232"/>
      <c r="I33" s="232"/>
      <c r="J33" s="597" t="s">
        <v>171</v>
      </c>
      <c r="K33" s="604" t="s">
        <v>17</v>
      </c>
      <c r="L33" s="605"/>
      <c r="M33" s="605"/>
      <c r="N33" s="605"/>
      <c r="O33" s="606"/>
      <c r="P33" s="229"/>
      <c r="Q33" s="229"/>
      <c r="R33" s="597" t="s">
        <v>171</v>
      </c>
      <c r="S33" s="604" t="s">
        <v>17</v>
      </c>
      <c r="T33" s="605"/>
      <c r="U33" s="605"/>
      <c r="V33" s="605"/>
      <c r="W33" s="606"/>
      <c r="X33" s="232"/>
      <c r="Y33" s="232"/>
      <c r="Z33" s="597" t="s">
        <v>171</v>
      </c>
      <c r="AA33" s="604" t="s">
        <v>17</v>
      </c>
      <c r="AB33" s="605"/>
      <c r="AC33" s="605"/>
      <c r="AD33" s="605"/>
      <c r="AE33" s="606"/>
      <c r="AF33" s="392" t="s">
        <v>55</v>
      </c>
      <c r="AH33" s="569"/>
      <c r="AL33" s="597" t="s">
        <v>171</v>
      </c>
      <c r="AM33" s="604" t="s">
        <v>17</v>
      </c>
      <c r="AN33" s="605"/>
      <c r="AO33" s="605"/>
      <c r="AP33" s="605"/>
      <c r="AQ33" s="606"/>
      <c r="AR33" s="392" t="s">
        <v>55</v>
      </c>
    </row>
    <row r="34" spans="1:44" ht="15.75" customHeight="1" thickBot="1" x14ac:dyDescent="0.3">
      <c r="B34" s="599"/>
      <c r="C34" s="7" t="s">
        <v>18</v>
      </c>
      <c r="D34" s="34"/>
      <c r="E34" s="27">
        <v>2000</v>
      </c>
      <c r="F34" s="27">
        <v>2000</v>
      </c>
      <c r="G34" s="27">
        <v>2000</v>
      </c>
      <c r="H34" s="232"/>
      <c r="I34" s="232"/>
      <c r="J34" s="599"/>
      <c r="K34" s="7" t="s">
        <v>18</v>
      </c>
      <c r="L34" s="34"/>
      <c r="M34" s="27">
        <v>2000</v>
      </c>
      <c r="N34" s="27">
        <v>2000</v>
      </c>
      <c r="O34" s="27">
        <v>2000</v>
      </c>
      <c r="P34" s="227"/>
      <c r="Q34" s="227"/>
      <c r="R34" s="599"/>
      <c r="S34" s="7" t="s">
        <v>18</v>
      </c>
      <c r="T34" s="34"/>
      <c r="U34" s="27">
        <v>2000</v>
      </c>
      <c r="V34" s="27">
        <v>2000</v>
      </c>
      <c r="W34" s="27">
        <v>2000</v>
      </c>
      <c r="X34" s="232"/>
      <c r="Y34" s="232"/>
      <c r="Z34" s="599"/>
      <c r="AA34" s="7" t="s">
        <v>18</v>
      </c>
      <c r="AB34" s="34"/>
      <c r="AC34" s="197">
        <v>2000</v>
      </c>
      <c r="AD34" s="424">
        <f t="shared" ref="AD34" si="5">+AE34</f>
        <v>1897.9999999999998</v>
      </c>
      <c r="AE34" s="424">
        <f>+AF34</f>
        <v>1897.9999999999998</v>
      </c>
      <c r="AF34" s="421">
        <f>AF32/AD11</f>
        <v>1897.9999999999998</v>
      </c>
      <c r="AH34" s="102"/>
      <c r="AL34" s="599"/>
      <c r="AM34" s="7" t="s">
        <v>18</v>
      </c>
      <c r="AN34" s="34"/>
      <c r="AO34" s="197">
        <v>2000</v>
      </c>
      <c r="AP34" s="424">
        <f t="shared" ref="AP34" si="6">+AQ34</f>
        <v>1898</v>
      </c>
      <c r="AQ34" s="424">
        <f>+AR34</f>
        <v>1898</v>
      </c>
      <c r="AR34" s="421">
        <f>AR32/AP11</f>
        <v>1898</v>
      </c>
    </row>
    <row r="35" spans="1:44" ht="15.75" customHeight="1" thickBot="1" x14ac:dyDescent="0.3">
      <c r="B35" s="598"/>
      <c r="C35" s="8" t="s">
        <v>19</v>
      </c>
      <c r="D35" s="35"/>
      <c r="E35" s="36">
        <f>E11*E34</f>
        <v>8607204</v>
      </c>
      <c r="F35" s="47">
        <f>F11*F34</f>
        <v>12910805.999999998</v>
      </c>
      <c r="G35" s="36">
        <f>G11*G34</f>
        <v>10041738</v>
      </c>
      <c r="H35" s="232"/>
      <c r="I35" s="232"/>
      <c r="J35" s="598"/>
      <c r="K35" s="8" t="s">
        <v>19</v>
      </c>
      <c r="L35" s="35"/>
      <c r="M35" s="36">
        <f>M11*M34</f>
        <v>8607204</v>
      </c>
      <c r="N35" s="47">
        <f>N11*N34</f>
        <v>13734900</v>
      </c>
      <c r="O35" s="36">
        <f>O11*O34</f>
        <v>10041738</v>
      </c>
      <c r="P35" s="234"/>
      <c r="Q35" s="234"/>
      <c r="R35" s="598"/>
      <c r="S35" s="8" t="s">
        <v>19</v>
      </c>
      <c r="T35" s="35"/>
      <c r="U35" s="36">
        <f>U11*U34</f>
        <v>8607204</v>
      </c>
      <c r="V35" s="47">
        <f>V11*V34</f>
        <v>12910805.999999998</v>
      </c>
      <c r="W35" s="36">
        <f>W11*W34</f>
        <v>10041738</v>
      </c>
      <c r="X35" s="227"/>
      <c r="Y35" s="227"/>
      <c r="Z35" s="598"/>
      <c r="AA35" s="8" t="s">
        <v>19</v>
      </c>
      <c r="AB35" s="35"/>
      <c r="AC35" s="36">
        <f>AC11*AC34</f>
        <v>8607204</v>
      </c>
      <c r="AD35" s="422">
        <f>AD11*AD34</f>
        <v>12252354.893999998</v>
      </c>
      <c r="AE35" s="423">
        <f>AE11*AE34</f>
        <v>9529609.3619999979</v>
      </c>
      <c r="AF35" s="234"/>
      <c r="AL35" s="598"/>
      <c r="AM35" s="8" t="s">
        <v>19</v>
      </c>
      <c r="AN35" s="35"/>
      <c r="AO35" s="36">
        <f>AO11*AO34</f>
        <v>8607204</v>
      </c>
      <c r="AP35" s="422">
        <f>AP11*AP34</f>
        <v>13034420.1</v>
      </c>
      <c r="AQ35" s="423">
        <f>AQ11*AQ34</f>
        <v>9529609.3619999997</v>
      </c>
      <c r="AR35" s="234"/>
    </row>
    <row r="36" spans="1:44" ht="19.5" customHeight="1" thickBot="1" x14ac:dyDescent="0.35">
      <c r="B36" s="597" t="s">
        <v>172</v>
      </c>
      <c r="C36" s="630" t="s">
        <v>20</v>
      </c>
      <c r="D36" s="631"/>
      <c r="E36" s="605"/>
      <c r="F36" s="631"/>
      <c r="G36" s="606"/>
      <c r="H36" s="232"/>
      <c r="I36" s="232"/>
      <c r="J36" s="597" t="s">
        <v>172</v>
      </c>
      <c r="K36" s="630" t="s">
        <v>20</v>
      </c>
      <c r="L36" s="631"/>
      <c r="M36" s="605"/>
      <c r="N36" s="631"/>
      <c r="O36" s="606"/>
      <c r="P36" s="229"/>
      <c r="Q36" s="229"/>
      <c r="R36" s="597" t="s">
        <v>172</v>
      </c>
      <c r="S36" s="630" t="s">
        <v>20</v>
      </c>
      <c r="T36" s="631"/>
      <c r="U36" s="605"/>
      <c r="V36" s="631"/>
      <c r="W36" s="606"/>
      <c r="X36" s="235"/>
      <c r="Y36" s="235"/>
      <c r="Z36" s="597" t="s">
        <v>172</v>
      </c>
      <c r="AA36" s="630" t="s">
        <v>20</v>
      </c>
      <c r="AB36" s="631"/>
      <c r="AC36" s="605"/>
      <c r="AD36" s="631"/>
      <c r="AE36" s="606"/>
      <c r="AF36" s="229"/>
      <c r="AL36" s="597" t="s">
        <v>172</v>
      </c>
      <c r="AM36" s="630" t="s">
        <v>20</v>
      </c>
      <c r="AN36" s="631"/>
      <c r="AO36" s="605"/>
      <c r="AP36" s="631"/>
      <c r="AQ36" s="606"/>
      <c r="AR36" s="229"/>
    </row>
    <row r="37" spans="1:44" ht="15" customHeight="1" x14ac:dyDescent="0.25">
      <c r="B37" s="599"/>
      <c r="C37" s="9" t="s">
        <v>21</v>
      </c>
      <c r="D37" s="37"/>
      <c r="E37" s="31" t="e">
        <f>E35-E31</f>
        <v>#REF!</v>
      </c>
      <c r="F37" s="45" t="e">
        <f>F35-F31</f>
        <v>#REF!</v>
      </c>
      <c r="G37" s="31" t="e">
        <f>G35-G31</f>
        <v>#REF!</v>
      </c>
      <c r="H37" s="227"/>
      <c r="I37" s="227"/>
      <c r="J37" s="599"/>
      <c r="K37" s="9" t="s">
        <v>21</v>
      </c>
      <c r="L37" s="37"/>
      <c r="M37" s="31" t="e">
        <f>M35-M31</f>
        <v>#REF!</v>
      </c>
      <c r="N37" s="45" t="e">
        <f>N35-N31</f>
        <v>#REF!</v>
      </c>
      <c r="O37" s="31" t="e">
        <f>O35-O31</f>
        <v>#REF!</v>
      </c>
      <c r="P37" s="232"/>
      <c r="Q37" s="232"/>
      <c r="R37" s="599"/>
      <c r="S37" s="9" t="s">
        <v>21</v>
      </c>
      <c r="T37" s="37"/>
      <c r="U37" s="31" t="e">
        <f>U35-U31</f>
        <v>#REF!</v>
      </c>
      <c r="V37" s="45" t="e">
        <f>V35-V31</f>
        <v>#REF!</v>
      </c>
      <c r="W37" s="31" t="e">
        <f>W35-W31</f>
        <v>#REF!</v>
      </c>
      <c r="Z37" s="599"/>
      <c r="AA37" s="9" t="s">
        <v>21</v>
      </c>
      <c r="AB37" s="37"/>
      <c r="AC37" s="31" t="e">
        <f>AC35-AC31</f>
        <v>#REF!</v>
      </c>
      <c r="AD37" s="45" t="e">
        <f>AD35-AD31</f>
        <v>#REF!</v>
      </c>
      <c r="AE37" s="31" t="e">
        <f>AE35-AE31</f>
        <v>#REF!</v>
      </c>
      <c r="AF37" s="232"/>
      <c r="AL37" s="599"/>
      <c r="AM37" s="9" t="s">
        <v>21</v>
      </c>
      <c r="AN37" s="37"/>
      <c r="AO37" s="31" t="e">
        <f>AO35-AO31</f>
        <v>#REF!</v>
      </c>
      <c r="AP37" s="45" t="e">
        <f>AP35-AP31</f>
        <v>#REF!</v>
      </c>
      <c r="AQ37" s="31" t="e">
        <f>AQ35-AQ31</f>
        <v>#REF!</v>
      </c>
      <c r="AR37" s="232"/>
    </row>
    <row r="38" spans="1:44" ht="18.75" customHeight="1" x14ac:dyDescent="0.3">
      <c r="B38" s="599"/>
      <c r="C38" s="9" t="s">
        <v>35</v>
      </c>
      <c r="D38" s="37"/>
      <c r="E38" s="32" t="e">
        <f>-E37*15%</f>
        <v>#REF!</v>
      </c>
      <c r="F38" s="45" t="e">
        <f>-F37*15%</f>
        <v>#REF!</v>
      </c>
      <c r="G38" s="32" t="e">
        <f>-G37*15%</f>
        <v>#REF!</v>
      </c>
      <c r="H38" s="235"/>
      <c r="I38" s="235"/>
      <c r="J38" s="599"/>
      <c r="K38" s="9" t="s">
        <v>35</v>
      </c>
      <c r="L38" s="37"/>
      <c r="M38" s="32" t="e">
        <f>-M37*15%</f>
        <v>#REF!</v>
      </c>
      <c r="N38" s="45" t="e">
        <f>-N37*15%</f>
        <v>#REF!</v>
      </c>
      <c r="O38" s="32" t="e">
        <f>-O37*15%</f>
        <v>#REF!</v>
      </c>
      <c r="P38" s="232"/>
      <c r="Q38" s="232"/>
      <c r="R38" s="599"/>
      <c r="S38" s="9" t="s">
        <v>35</v>
      </c>
      <c r="T38" s="37"/>
      <c r="U38" s="32" t="e">
        <f>-U37*15%</f>
        <v>#REF!</v>
      </c>
      <c r="V38" s="45" t="e">
        <f>-V37*15%</f>
        <v>#REF!</v>
      </c>
      <c r="W38" s="32" t="e">
        <f>-W37*15%</f>
        <v>#REF!</v>
      </c>
      <c r="Z38" s="599"/>
      <c r="AA38" s="9" t="s">
        <v>35</v>
      </c>
      <c r="AB38" s="37"/>
      <c r="AC38" s="32" t="e">
        <f>-AC37*15%</f>
        <v>#REF!</v>
      </c>
      <c r="AD38" s="45" t="e">
        <f>-AD37*15%</f>
        <v>#REF!</v>
      </c>
      <c r="AE38" s="32" t="e">
        <f>-AE37*15%</f>
        <v>#REF!</v>
      </c>
      <c r="AF38" s="232"/>
      <c r="AL38" s="599"/>
      <c r="AM38" s="9" t="s">
        <v>35</v>
      </c>
      <c r="AN38" s="37"/>
      <c r="AO38" s="32" t="e">
        <f>-AO37*15%</f>
        <v>#REF!</v>
      </c>
      <c r="AP38" s="45" t="e">
        <f>-AP37*15%</f>
        <v>#REF!</v>
      </c>
      <c r="AQ38" s="32" t="e">
        <f>-AQ37*15%</f>
        <v>#REF!</v>
      </c>
      <c r="AR38" s="232"/>
    </row>
    <row r="39" spans="1:44" ht="15" customHeight="1" x14ac:dyDescent="0.25">
      <c r="B39" s="599"/>
      <c r="C39" s="9" t="s">
        <v>27</v>
      </c>
      <c r="D39" s="66"/>
      <c r="E39" s="60" t="e">
        <f>-(E37-E38)*22%</f>
        <v>#REF!</v>
      </c>
      <c r="F39" s="61" t="e">
        <f>-(F37-F38)*22%</f>
        <v>#REF!</v>
      </c>
      <c r="G39" s="60" t="e">
        <f>-(G37-G38)*22%</f>
        <v>#REF!</v>
      </c>
      <c r="J39" s="599"/>
      <c r="K39" s="9" t="s">
        <v>27</v>
      </c>
      <c r="L39" s="66"/>
      <c r="M39" s="60" t="e">
        <f>-(M37-M38)*22%</f>
        <v>#REF!</v>
      </c>
      <c r="N39" s="61" t="e">
        <f>-(N37-N38)*22%</f>
        <v>#REF!</v>
      </c>
      <c r="O39" s="60" t="e">
        <f>-(O37-O38)*22%</f>
        <v>#REF!</v>
      </c>
      <c r="P39" s="232"/>
      <c r="Q39" s="232"/>
      <c r="R39" s="599"/>
      <c r="S39" s="9" t="s">
        <v>27</v>
      </c>
      <c r="T39" s="66"/>
      <c r="U39" s="60" t="e">
        <f>-(U37-U38)*22%</f>
        <v>#REF!</v>
      </c>
      <c r="V39" s="61" t="e">
        <f>-(V37-V38)*22%</f>
        <v>#REF!</v>
      </c>
      <c r="W39" s="60" t="e">
        <f>-(W37-W38)*22%</f>
        <v>#REF!</v>
      </c>
      <c r="Z39" s="599"/>
      <c r="AA39" s="9" t="s">
        <v>27</v>
      </c>
      <c r="AB39" s="66"/>
      <c r="AC39" s="60" t="e">
        <f>-(AC37-AC38)*22%</f>
        <v>#REF!</v>
      </c>
      <c r="AD39" s="61" t="e">
        <f>-(AD37-AD38)*22%</f>
        <v>#REF!</v>
      </c>
      <c r="AE39" s="60" t="e">
        <f>-(AE37-AE38)*22%</f>
        <v>#REF!</v>
      </c>
      <c r="AL39" s="599"/>
      <c r="AM39" s="9" t="s">
        <v>27</v>
      </c>
      <c r="AN39" s="66"/>
      <c r="AO39" s="60" t="e">
        <f>-(AO37-AO38)*22%</f>
        <v>#REF!</v>
      </c>
      <c r="AP39" s="61" t="e">
        <f>-(AP37-AP38)*22%</f>
        <v>#REF!</v>
      </c>
      <c r="AQ39" s="60" t="e">
        <f>-(AQ37-AQ38)*22%</f>
        <v>#REF!</v>
      </c>
    </row>
    <row r="40" spans="1:44" ht="15.75" customHeight="1" thickBot="1" x14ac:dyDescent="0.3">
      <c r="B40" s="598"/>
      <c r="C40" s="15" t="s">
        <v>22</v>
      </c>
      <c r="D40" s="67"/>
      <c r="E40" s="68" t="e">
        <f>-(E37-E38)*13%</f>
        <v>#REF!</v>
      </c>
      <c r="F40" s="69" t="e">
        <f>-(F37-F38)*13%</f>
        <v>#REF!</v>
      </c>
      <c r="G40" s="68" t="e">
        <f>-(G37-G38)*13%</f>
        <v>#REF!</v>
      </c>
      <c r="J40" s="598"/>
      <c r="K40" s="15" t="s">
        <v>22</v>
      </c>
      <c r="L40" s="67"/>
      <c r="M40" s="68" t="e">
        <f>-(M37-M38)*13%</f>
        <v>#REF!</v>
      </c>
      <c r="N40" s="69" t="e">
        <f>-(N37-N38)*13%</f>
        <v>#REF!</v>
      </c>
      <c r="O40" s="68" t="e">
        <f>-(O37-O38)*13%</f>
        <v>#REF!</v>
      </c>
      <c r="P40" s="232"/>
      <c r="Q40" s="232"/>
      <c r="R40" s="598"/>
      <c r="S40" s="15" t="s">
        <v>22</v>
      </c>
      <c r="T40" s="67"/>
      <c r="U40" s="68" t="e">
        <f>-(U37-U38)*13%</f>
        <v>#REF!</v>
      </c>
      <c r="V40" s="69" t="e">
        <f>-(V37-V38)*13%</f>
        <v>#REF!</v>
      </c>
      <c r="W40" s="68" t="e">
        <f>-(W37-W38)*13%</f>
        <v>#REF!</v>
      </c>
      <c r="Z40" s="598"/>
      <c r="AA40" s="15" t="s">
        <v>22</v>
      </c>
      <c r="AB40" s="67"/>
      <c r="AC40" s="68" t="e">
        <f>-(AC37-AC38)*13%</f>
        <v>#REF!</v>
      </c>
      <c r="AD40" s="69" t="e">
        <f>-(AD37-AD38)*13%</f>
        <v>#REF!</v>
      </c>
      <c r="AE40" s="68" t="e">
        <f>-(AE37-AE38)*13%</f>
        <v>#REF!</v>
      </c>
      <c r="AF40" s="232"/>
      <c r="AL40" s="598"/>
      <c r="AM40" s="15" t="s">
        <v>22</v>
      </c>
      <c r="AN40" s="67"/>
      <c r="AO40" s="68" t="e">
        <f>-(AO37-AO38)*13%</f>
        <v>#REF!</v>
      </c>
      <c r="AP40" s="69" t="e">
        <f>-(AP37-AP38)*13%</f>
        <v>#REF!</v>
      </c>
      <c r="AQ40" s="68" t="e">
        <f>-(AQ37-AQ38)*13%</f>
        <v>#REF!</v>
      </c>
      <c r="AR40" s="232"/>
    </row>
    <row r="41" spans="1:44" ht="15.75" customHeight="1" thickBot="1" x14ac:dyDescent="0.3">
      <c r="B41" s="597" t="s">
        <v>173</v>
      </c>
      <c r="C41" s="122" t="s">
        <v>36</v>
      </c>
      <c r="D41" s="123"/>
      <c r="E41" s="14" t="e">
        <f>SUM(E37:E40)</f>
        <v>#REF!</v>
      </c>
      <c r="F41" s="48" t="e">
        <f>SUM(F37:F40)</f>
        <v>#REF!</v>
      </c>
      <c r="G41" s="14" t="e">
        <f>SUM(G37:G40)</f>
        <v>#REF!</v>
      </c>
      <c r="H41"/>
      <c r="I41"/>
      <c r="J41" s="597" t="s">
        <v>173</v>
      </c>
      <c r="K41" s="122" t="s">
        <v>36</v>
      </c>
      <c r="L41" s="123"/>
      <c r="M41" s="14" t="e">
        <f>SUM(M37:M40)</f>
        <v>#REF!</v>
      </c>
      <c r="N41" s="48" t="e">
        <f>SUM(N37:N40)</f>
        <v>#REF!</v>
      </c>
      <c r="O41" s="14" t="e">
        <f>SUM(O37:O40)</f>
        <v>#REF!</v>
      </c>
      <c r="P41" s="227"/>
      <c r="Q41" s="227"/>
      <c r="R41" s="597" t="s">
        <v>173</v>
      </c>
      <c r="S41" s="122" t="s">
        <v>36</v>
      </c>
      <c r="T41" s="123"/>
      <c r="U41" s="14" t="e">
        <f>SUM(U37:U40)</f>
        <v>#REF!</v>
      </c>
      <c r="V41" s="48" t="e">
        <f>SUM(V37:V40)</f>
        <v>#REF!</v>
      </c>
      <c r="W41" s="14" t="e">
        <f>SUM(W37:W40)</f>
        <v>#REF!</v>
      </c>
      <c r="Z41" s="597" t="s">
        <v>173</v>
      </c>
      <c r="AA41" s="122" t="s">
        <v>36</v>
      </c>
      <c r="AB41" s="123"/>
      <c r="AC41" s="14" t="e">
        <f>SUM(AC37:AC40)</f>
        <v>#REF!</v>
      </c>
      <c r="AD41" s="48" t="e">
        <f>SUM(AD37:AD40)</f>
        <v>#REF!</v>
      </c>
      <c r="AE41" s="14" t="e">
        <f>SUM(AE37:AE40)</f>
        <v>#REF!</v>
      </c>
      <c r="AF41" s="227"/>
      <c r="AL41" s="597" t="s">
        <v>173</v>
      </c>
      <c r="AM41" s="122" t="s">
        <v>36</v>
      </c>
      <c r="AN41" s="123"/>
      <c r="AO41" s="14" t="e">
        <f>SUM(AO37:AO40)</f>
        <v>#REF!</v>
      </c>
      <c r="AP41" s="48" t="e">
        <f>SUM(AP37:AP40)</f>
        <v>#REF!</v>
      </c>
      <c r="AQ41" s="14" t="e">
        <f>SUM(AQ37:AQ40)</f>
        <v>#REF!</v>
      </c>
      <c r="AR41" s="227"/>
    </row>
    <row r="42" spans="1:44" ht="19.5" customHeight="1" thickBot="1" x14ac:dyDescent="0.35">
      <c r="B42" s="598"/>
      <c r="C42" s="11" t="s">
        <v>56</v>
      </c>
      <c r="D42" s="38"/>
      <c r="E42" s="39" t="e">
        <f>E41/E35</f>
        <v>#REF!</v>
      </c>
      <c r="F42" s="49" t="e">
        <f>F41/F35</f>
        <v>#REF!</v>
      </c>
      <c r="G42" s="39" t="e">
        <f>G41/G35</f>
        <v>#REF!</v>
      </c>
      <c r="J42" s="598"/>
      <c r="K42" s="103" t="s">
        <v>146</v>
      </c>
      <c r="L42" s="38"/>
      <c r="M42" s="39" t="e">
        <f>M41/M35</f>
        <v>#REF!</v>
      </c>
      <c r="N42" s="49" t="e">
        <f>N41/N35</f>
        <v>#REF!</v>
      </c>
      <c r="O42" s="39" t="e">
        <f>O41/O35</f>
        <v>#REF!</v>
      </c>
      <c r="P42" s="235"/>
      <c r="Q42" s="235"/>
      <c r="R42" s="598"/>
      <c r="S42" s="103" t="s">
        <v>147</v>
      </c>
      <c r="T42" s="38"/>
      <c r="U42" s="39" t="e">
        <f>U41/U35</f>
        <v>#REF!</v>
      </c>
      <c r="V42" s="49" t="e">
        <f>V41/V35</f>
        <v>#REF!</v>
      </c>
      <c r="W42" s="39" t="e">
        <f>W41/W35</f>
        <v>#REF!</v>
      </c>
      <c r="Z42" s="598"/>
      <c r="AA42" s="103" t="s">
        <v>152</v>
      </c>
      <c r="AB42" s="38"/>
      <c r="AC42" s="39" t="e">
        <f>AC41/AC35</f>
        <v>#REF!</v>
      </c>
      <c r="AD42" s="49" t="e">
        <f>AD41/AD35</f>
        <v>#REF!</v>
      </c>
      <c r="AE42" s="39" t="e">
        <f>AE41/AE35</f>
        <v>#REF!</v>
      </c>
      <c r="AF42" s="235"/>
      <c r="AL42" s="598"/>
      <c r="AM42" s="103" t="s">
        <v>218</v>
      </c>
      <c r="AN42" s="38"/>
      <c r="AO42" s="39" t="e">
        <f>AO41/AO35</f>
        <v>#REF!</v>
      </c>
      <c r="AP42" s="49" t="e">
        <f>AP41/AP35</f>
        <v>#REF!</v>
      </c>
      <c r="AQ42" s="39" t="e">
        <f>AQ41/AQ35</f>
        <v>#REF!</v>
      </c>
      <c r="AR42" s="235"/>
    </row>
    <row r="43" spans="1:44" ht="18" customHeight="1" x14ac:dyDescent="0.25">
      <c r="B43" s="600"/>
      <c r="C43" s="600"/>
      <c r="D43" s="600"/>
      <c r="E43" s="600"/>
      <c r="F43" s="600"/>
      <c r="G43" s="600"/>
      <c r="J43" s="600"/>
      <c r="K43" s="600"/>
      <c r="L43" s="600"/>
      <c r="M43" s="600"/>
      <c r="N43" s="600"/>
      <c r="O43" s="600"/>
      <c r="R43" s="56"/>
      <c r="Z43" s="56"/>
      <c r="AF43" s="203"/>
    </row>
    <row r="44" spans="1:44" ht="15.75" thickBot="1" x14ac:dyDescent="0.3">
      <c r="B44" s="590" t="s">
        <v>194</v>
      </c>
      <c r="C44" s="590"/>
      <c r="D44" s="590"/>
      <c r="E44" s="590"/>
      <c r="F44" s="590"/>
      <c r="G44" s="590"/>
      <c r="J44" s="590" t="s">
        <v>194</v>
      </c>
      <c r="K44" s="590"/>
      <c r="L44" s="590"/>
      <c r="M44" s="590"/>
      <c r="N44" s="590"/>
      <c r="O44" s="590"/>
      <c r="R44" s="590" t="s">
        <v>194</v>
      </c>
      <c r="S44" s="590"/>
      <c r="T44" s="590"/>
      <c r="U44" s="590"/>
      <c r="V44" s="590"/>
      <c r="W44" s="590"/>
      <c r="Z44" s="590" t="s">
        <v>194</v>
      </c>
      <c r="AA44" s="590"/>
      <c r="AB44" s="590"/>
      <c r="AC44" s="590"/>
      <c r="AD44" s="590"/>
      <c r="AE44" s="590"/>
      <c r="AL44" s="590" t="s">
        <v>194</v>
      </c>
      <c r="AM44" s="590"/>
      <c r="AN44" s="590"/>
      <c r="AO44" s="590"/>
      <c r="AP44" s="590"/>
      <c r="AQ44" s="590"/>
    </row>
    <row r="45" spans="1:44" ht="80.25" customHeight="1" thickBot="1" x14ac:dyDescent="0.3">
      <c r="A45" s="56"/>
      <c r="B45" s="310" t="s">
        <v>187</v>
      </c>
      <c r="C45" s="591" t="s">
        <v>195</v>
      </c>
      <c r="D45" s="592"/>
      <c r="E45" s="592"/>
      <c r="F45" s="592"/>
      <c r="G45" s="593"/>
      <c r="J45" s="372" t="s">
        <v>186</v>
      </c>
      <c r="K45" s="587" t="s">
        <v>203</v>
      </c>
      <c r="L45" s="588"/>
      <c r="M45" s="588"/>
      <c r="N45" s="588"/>
      <c r="O45" s="589"/>
      <c r="R45" s="372" t="s">
        <v>186</v>
      </c>
      <c r="S45" s="587" t="s">
        <v>196</v>
      </c>
      <c r="T45" s="588"/>
      <c r="U45" s="588"/>
      <c r="V45" s="588"/>
      <c r="W45" s="589"/>
      <c r="Z45" s="432"/>
      <c r="AA45" s="587" t="s">
        <v>212</v>
      </c>
      <c r="AB45" s="588"/>
      <c r="AC45" s="588"/>
      <c r="AD45" s="588"/>
      <c r="AE45" s="589"/>
      <c r="AL45" s="432"/>
      <c r="AM45" s="587" t="s">
        <v>212</v>
      </c>
      <c r="AN45" s="588"/>
      <c r="AO45" s="588"/>
      <c r="AP45" s="588"/>
      <c r="AQ45" s="589"/>
    </row>
    <row r="46" spans="1:44" ht="81" customHeight="1" thickBot="1" x14ac:dyDescent="0.3">
      <c r="B46" s="326" t="s">
        <v>186</v>
      </c>
      <c r="C46" s="587" t="s">
        <v>196</v>
      </c>
      <c r="D46" s="588"/>
      <c r="E46" s="588"/>
      <c r="F46" s="588"/>
      <c r="G46" s="589"/>
      <c r="J46" s="310" t="s">
        <v>187</v>
      </c>
      <c r="K46" s="591" t="s">
        <v>195</v>
      </c>
      <c r="L46" s="592"/>
      <c r="M46" s="592"/>
      <c r="N46" s="592"/>
      <c r="O46" s="593"/>
      <c r="R46" s="310" t="s">
        <v>187</v>
      </c>
      <c r="S46" s="591" t="s">
        <v>195</v>
      </c>
      <c r="T46" s="592"/>
      <c r="U46" s="592"/>
      <c r="V46" s="592"/>
      <c r="W46" s="593"/>
      <c r="Z46" s="310" t="s">
        <v>187</v>
      </c>
      <c r="AA46" s="591" t="s">
        <v>195</v>
      </c>
      <c r="AB46" s="592"/>
      <c r="AC46" s="592"/>
      <c r="AD46" s="592"/>
      <c r="AE46" s="593"/>
      <c r="AL46" s="310" t="s">
        <v>187</v>
      </c>
      <c r="AM46" s="591" t="s">
        <v>195</v>
      </c>
      <c r="AN46" s="592"/>
      <c r="AO46" s="592"/>
      <c r="AP46" s="592"/>
      <c r="AQ46" s="593"/>
    </row>
    <row r="47" spans="1:44" ht="48.75" customHeight="1" thickBot="1" x14ac:dyDescent="0.3">
      <c r="B47" s="329" t="s">
        <v>192</v>
      </c>
      <c r="C47" s="587" t="s">
        <v>197</v>
      </c>
      <c r="D47" s="588"/>
      <c r="E47" s="588"/>
      <c r="F47" s="588"/>
      <c r="G47" s="589"/>
      <c r="J47" s="368"/>
      <c r="K47" s="587" t="s">
        <v>205</v>
      </c>
      <c r="L47" s="588"/>
      <c r="M47" s="588"/>
      <c r="N47" s="588"/>
      <c r="O47" s="589"/>
      <c r="R47" s="386"/>
      <c r="S47" s="594" t="s">
        <v>209</v>
      </c>
      <c r="T47" s="595"/>
      <c r="U47" s="595"/>
      <c r="V47" s="595"/>
      <c r="W47" s="596"/>
      <c r="Z47" s="389"/>
      <c r="AA47" s="594" t="s">
        <v>213</v>
      </c>
      <c r="AB47" s="595"/>
      <c r="AC47" s="595"/>
      <c r="AD47" s="595"/>
      <c r="AE47" s="596"/>
      <c r="AL47" s="389"/>
      <c r="AM47" s="594" t="s">
        <v>213</v>
      </c>
      <c r="AN47" s="595"/>
      <c r="AO47" s="595"/>
      <c r="AP47" s="595"/>
      <c r="AQ47" s="596"/>
    </row>
    <row r="48" spans="1:44" ht="25.9" customHeight="1" thickBot="1" x14ac:dyDescent="0.3">
      <c r="J48" s="371" t="s">
        <v>192</v>
      </c>
      <c r="K48" s="587" t="s">
        <v>206</v>
      </c>
      <c r="L48" s="588"/>
      <c r="M48" s="588"/>
      <c r="N48" s="588"/>
      <c r="O48" s="589"/>
      <c r="R48" s="371" t="s">
        <v>192</v>
      </c>
      <c r="S48" s="587" t="s">
        <v>206</v>
      </c>
      <c r="T48" s="588"/>
      <c r="U48" s="588"/>
      <c r="V48" s="588"/>
      <c r="W48" s="589"/>
      <c r="Z48" s="419"/>
      <c r="AA48" s="587" t="s">
        <v>214</v>
      </c>
      <c r="AB48" s="588"/>
      <c r="AC48" s="588"/>
      <c r="AD48" s="588"/>
      <c r="AE48" s="589"/>
      <c r="AL48" s="419"/>
      <c r="AM48" s="587" t="s">
        <v>214</v>
      </c>
      <c r="AN48" s="588"/>
      <c r="AO48" s="588"/>
      <c r="AP48" s="588"/>
      <c r="AQ48" s="589"/>
    </row>
    <row r="49" spans="10:43" ht="29.65" customHeight="1" thickBot="1" x14ac:dyDescent="0.3">
      <c r="J49" s="369" t="s">
        <v>202</v>
      </c>
      <c r="K49" s="632" t="s">
        <v>207</v>
      </c>
      <c r="L49" s="633"/>
      <c r="M49" s="633"/>
      <c r="N49" s="633"/>
      <c r="O49" s="634"/>
      <c r="R49" s="369" t="s">
        <v>202</v>
      </c>
      <c r="S49" s="632" t="s">
        <v>207</v>
      </c>
      <c r="T49" s="633"/>
      <c r="U49" s="633"/>
      <c r="V49" s="633"/>
      <c r="W49" s="634"/>
      <c r="Z49" s="391"/>
      <c r="AA49" s="587" t="s">
        <v>215</v>
      </c>
      <c r="AB49" s="588"/>
      <c r="AC49" s="588"/>
      <c r="AD49" s="588"/>
      <c r="AE49" s="589"/>
      <c r="AL49" s="391"/>
      <c r="AM49" s="587" t="s">
        <v>215</v>
      </c>
      <c r="AN49" s="588"/>
      <c r="AO49" s="588"/>
      <c r="AP49" s="588"/>
      <c r="AQ49" s="589"/>
    </row>
    <row r="50" spans="10:43" ht="29.65" customHeight="1" thickBot="1" x14ac:dyDescent="0.3">
      <c r="Z50" s="392"/>
      <c r="AA50" s="587" t="s">
        <v>216</v>
      </c>
      <c r="AB50" s="588"/>
      <c r="AC50" s="588"/>
      <c r="AD50" s="588"/>
      <c r="AE50" s="589"/>
      <c r="AL50" s="392"/>
      <c r="AM50" s="587" t="s">
        <v>216</v>
      </c>
      <c r="AN50" s="588"/>
      <c r="AO50" s="588"/>
      <c r="AP50" s="588"/>
      <c r="AQ50" s="589"/>
    </row>
    <row r="51" spans="10:43" ht="74.650000000000006" customHeight="1" thickBot="1" x14ac:dyDescent="0.3">
      <c r="AL51" s="368"/>
      <c r="AM51" s="587" t="s">
        <v>205</v>
      </c>
      <c r="AN51" s="588"/>
      <c r="AO51" s="588"/>
      <c r="AP51" s="588"/>
      <c r="AQ51" s="589"/>
    </row>
  </sheetData>
  <mergeCells count="108">
    <mergeCell ref="AM51:AQ51"/>
    <mergeCell ref="AM46:AQ46"/>
    <mergeCell ref="AM47:AQ47"/>
    <mergeCell ref="AM48:AQ48"/>
    <mergeCell ref="AM49:AQ49"/>
    <mergeCell ref="AM50:AQ50"/>
    <mergeCell ref="AL36:AL40"/>
    <mergeCell ref="AM36:AQ36"/>
    <mergeCell ref="AL41:AL42"/>
    <mergeCell ref="AL44:AQ44"/>
    <mergeCell ref="AM45:AQ45"/>
    <mergeCell ref="AA47:AE47"/>
    <mergeCell ref="AA48:AE48"/>
    <mergeCell ref="AA49:AE49"/>
    <mergeCell ref="AA50:AE50"/>
    <mergeCell ref="AM3:AQ3"/>
    <mergeCell ref="AL4:AL17"/>
    <mergeCell ref="AN4:AQ4"/>
    <mergeCell ref="AN5:AQ5"/>
    <mergeCell ref="AM6:AN7"/>
    <mergeCell ref="AL18:AL20"/>
    <mergeCell ref="AM18:AQ18"/>
    <mergeCell ref="AL22:AL30"/>
    <mergeCell ref="AM22:AQ22"/>
    <mergeCell ref="AL31:AL32"/>
    <mergeCell ref="AL33:AL35"/>
    <mergeCell ref="AM33:AQ33"/>
    <mergeCell ref="AA3:AE3"/>
    <mergeCell ref="Z41:Z42"/>
    <mergeCell ref="Z44:AE44"/>
    <mergeCell ref="AA45:AE45"/>
    <mergeCell ref="AA46:AE46"/>
    <mergeCell ref="Z4:Z17"/>
    <mergeCell ref="Z18:Z20"/>
    <mergeCell ref="Z22:Z30"/>
    <mergeCell ref="Z31:Z32"/>
    <mergeCell ref="Z33:Z35"/>
    <mergeCell ref="AB4:AE4"/>
    <mergeCell ref="AB5:AE5"/>
    <mergeCell ref="AA6:AB7"/>
    <mergeCell ref="AA18:AE18"/>
    <mergeCell ref="AA33:AE33"/>
    <mergeCell ref="AA36:AE36"/>
    <mergeCell ref="AA22:AE22"/>
    <mergeCell ref="Z36:Z40"/>
    <mergeCell ref="S46:W46"/>
    <mergeCell ref="S48:W48"/>
    <mergeCell ref="S49:W49"/>
    <mergeCell ref="S47:W47"/>
    <mergeCell ref="K48:O48"/>
    <mergeCell ref="K45:O45"/>
    <mergeCell ref="K49:O49"/>
    <mergeCell ref="R4:R17"/>
    <mergeCell ref="R18:R20"/>
    <mergeCell ref="R22:R30"/>
    <mergeCell ref="R31:R32"/>
    <mergeCell ref="R33:R35"/>
    <mergeCell ref="R36:R40"/>
    <mergeCell ref="R41:R42"/>
    <mergeCell ref="R44:W44"/>
    <mergeCell ref="J43:O43"/>
    <mergeCell ref="J44:O44"/>
    <mergeCell ref="K46:O46"/>
    <mergeCell ref="K47:O47"/>
    <mergeCell ref="J4:J17"/>
    <mergeCell ref="J41:J42"/>
    <mergeCell ref="S36:W36"/>
    <mergeCell ref="T5:W5"/>
    <mergeCell ref="S3:W3"/>
    <mergeCell ref="T4:W4"/>
    <mergeCell ref="K3:O3"/>
    <mergeCell ref="L4:O4"/>
    <mergeCell ref="L5:O5"/>
    <mergeCell ref="K6:L7"/>
    <mergeCell ref="K18:O18"/>
    <mergeCell ref="K22:O22"/>
    <mergeCell ref="S45:W45"/>
    <mergeCell ref="C3:G3"/>
    <mergeCell ref="D4:G4"/>
    <mergeCell ref="D5:G5"/>
    <mergeCell ref="C6:D7"/>
    <mergeCell ref="C18:G18"/>
    <mergeCell ref="S6:T7"/>
    <mergeCell ref="S18:W18"/>
    <mergeCell ref="S22:W22"/>
    <mergeCell ref="B4:B17"/>
    <mergeCell ref="B18:B20"/>
    <mergeCell ref="B22:B30"/>
    <mergeCell ref="B31:B32"/>
    <mergeCell ref="B33:B35"/>
    <mergeCell ref="B36:B40"/>
    <mergeCell ref="C36:G36"/>
    <mergeCell ref="K33:O33"/>
    <mergeCell ref="C22:G22"/>
    <mergeCell ref="S33:W33"/>
    <mergeCell ref="J18:J20"/>
    <mergeCell ref="J22:J30"/>
    <mergeCell ref="J31:J32"/>
    <mergeCell ref="J33:J35"/>
    <mergeCell ref="C33:G33"/>
    <mergeCell ref="B43:G43"/>
    <mergeCell ref="B44:G44"/>
    <mergeCell ref="C45:G45"/>
    <mergeCell ref="C46:G46"/>
    <mergeCell ref="C47:G47"/>
    <mergeCell ref="K36:O36"/>
    <mergeCell ref="J36:J40"/>
    <mergeCell ref="B41:B42"/>
  </mergeCells>
  <pageMargins left="0.70866141732283472" right="0.70866141732283472" top="0.74803149606299213" bottom="0.74803149606299213" header="0.31496062992125984" footer="0.31496062992125984"/>
  <pageSetup paperSize="9" scale="10"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AS51"/>
  <sheetViews>
    <sheetView topLeftCell="AB2" zoomScale="46" zoomScaleNormal="46" zoomScalePageLayoutView="57" workbookViewId="0">
      <selection activeCell="AQ32" sqref="AQ32"/>
    </sheetView>
  </sheetViews>
  <sheetFormatPr baseColWidth="10" defaultRowHeight="15" x14ac:dyDescent="0.25"/>
  <cols>
    <col min="2" max="2" width="41.125" customWidth="1"/>
    <col min="3" max="3" width="18" customWidth="1"/>
    <col min="4" max="4" width="41.375" customWidth="1"/>
    <col min="5" max="5" width="43.625" customWidth="1"/>
    <col min="6" max="6" width="42" customWidth="1"/>
    <col min="7" max="7" width="25" customWidth="1"/>
    <col min="8" max="8" width="0.625" customWidth="1"/>
    <col min="9" max="9" width="14.625" customWidth="1"/>
    <col min="10" max="10" width="5.125" customWidth="1"/>
    <col min="11" max="11" width="59.75" customWidth="1"/>
    <col min="12" max="12" width="26" customWidth="1"/>
    <col min="13" max="13" width="44.5" customWidth="1"/>
    <col min="14" max="14" width="44.625" customWidth="1"/>
    <col min="15" max="15" width="46.625" customWidth="1"/>
    <col min="16" max="17" width="20.5" style="56" customWidth="1"/>
    <col min="18" max="18" width="5.125" customWidth="1"/>
    <col min="19" max="19" width="49.875" customWidth="1"/>
    <col min="20" max="20" width="25.625" customWidth="1"/>
    <col min="21" max="21" width="43.875" customWidth="1"/>
    <col min="22" max="22" width="42" customWidth="1"/>
    <col min="23" max="23" width="42.5" customWidth="1"/>
    <col min="24" max="25" width="24.75" style="56" customWidth="1"/>
    <col min="26" max="26" width="5.125" customWidth="1"/>
    <col min="27" max="27" width="49" customWidth="1"/>
    <col min="28" max="28" width="27.75" customWidth="1"/>
    <col min="29" max="29" width="42.75" customWidth="1"/>
    <col min="30" max="30" width="41.625" customWidth="1"/>
    <col min="31" max="31" width="40.625" customWidth="1"/>
    <col min="32" max="33" width="22.625" style="56" customWidth="1"/>
    <col min="34" max="34" width="5.125" customWidth="1"/>
    <col min="35" max="35" width="47.5" customWidth="1"/>
    <col min="36" max="36" width="25.625" customWidth="1"/>
    <col min="37" max="37" width="41" customWidth="1"/>
    <col min="38" max="38" width="42.5" customWidth="1"/>
    <col min="39" max="39" width="50.625" customWidth="1"/>
    <col min="40" max="40" width="49" customWidth="1"/>
  </cols>
  <sheetData>
    <row r="2" spans="2:40" ht="15.75" thickBot="1" x14ac:dyDescent="0.3">
      <c r="X2" s="203"/>
      <c r="Y2" s="203"/>
    </row>
    <row r="3" spans="2:40" ht="21" customHeight="1" thickBot="1" x14ac:dyDescent="0.35">
      <c r="B3" s="645" t="s">
        <v>141</v>
      </c>
      <c r="C3" s="615"/>
      <c r="D3" s="615"/>
      <c r="E3" s="615"/>
      <c r="F3" s="616"/>
      <c r="G3" s="202"/>
      <c r="H3" s="196"/>
      <c r="I3" s="196"/>
      <c r="J3" s="274"/>
      <c r="K3" s="614" t="s">
        <v>175</v>
      </c>
      <c r="L3" s="615"/>
      <c r="M3" s="615"/>
      <c r="N3" s="615"/>
      <c r="O3" s="616"/>
      <c r="P3" s="216"/>
      <c r="Q3" s="216"/>
      <c r="R3" s="274"/>
      <c r="S3" s="622" t="s">
        <v>176</v>
      </c>
      <c r="T3" s="618"/>
      <c r="U3" s="618"/>
      <c r="V3" s="618"/>
      <c r="W3" s="619"/>
      <c r="X3" s="216"/>
      <c r="Y3" s="216"/>
      <c r="Z3" s="274"/>
      <c r="AA3" s="617" t="s">
        <v>235</v>
      </c>
      <c r="AB3" s="618"/>
      <c r="AC3" s="618"/>
      <c r="AD3" s="618"/>
      <c r="AE3" s="619"/>
      <c r="AF3" s="216"/>
      <c r="AG3" s="216"/>
      <c r="AH3" s="274"/>
      <c r="AI3" s="617" t="s">
        <v>177</v>
      </c>
      <c r="AJ3" s="618"/>
      <c r="AK3" s="618"/>
      <c r="AL3" s="618"/>
      <c r="AM3" s="619"/>
      <c r="AN3" s="241"/>
    </row>
    <row r="4" spans="2:40" ht="15" customHeight="1" x14ac:dyDescent="0.25">
      <c r="B4" s="52" t="s">
        <v>0</v>
      </c>
      <c r="C4" s="620" t="s">
        <v>166</v>
      </c>
      <c r="D4" s="620"/>
      <c r="E4" s="620"/>
      <c r="F4" s="621"/>
      <c r="G4" s="203"/>
      <c r="J4" s="597" t="s">
        <v>167</v>
      </c>
      <c r="K4" s="169" t="s">
        <v>0</v>
      </c>
      <c r="L4" s="620" t="s">
        <v>166</v>
      </c>
      <c r="M4" s="620"/>
      <c r="N4" s="620"/>
      <c r="O4" s="621"/>
      <c r="P4" s="214"/>
      <c r="Q4" s="214"/>
      <c r="R4" s="597" t="s">
        <v>167</v>
      </c>
      <c r="S4" s="169" t="s">
        <v>0</v>
      </c>
      <c r="T4" s="620" t="s">
        <v>166</v>
      </c>
      <c r="U4" s="620"/>
      <c r="V4" s="620"/>
      <c r="W4" s="621"/>
      <c r="X4" s="214"/>
      <c r="Y4" s="214"/>
      <c r="Z4" s="597" t="s">
        <v>167</v>
      </c>
      <c r="AA4" s="169" t="s">
        <v>0</v>
      </c>
      <c r="AB4" s="620" t="s">
        <v>166</v>
      </c>
      <c r="AC4" s="620"/>
      <c r="AD4" s="620"/>
      <c r="AE4" s="621"/>
      <c r="AF4" s="214"/>
      <c r="AG4" s="214"/>
      <c r="AH4" s="597" t="s">
        <v>167</v>
      </c>
      <c r="AI4" s="169" t="s">
        <v>0</v>
      </c>
      <c r="AJ4" s="620" t="s">
        <v>166</v>
      </c>
      <c r="AK4" s="620"/>
      <c r="AL4" s="620"/>
      <c r="AM4" s="621"/>
      <c r="AN4" s="214"/>
    </row>
    <row r="5" spans="2:40" ht="21.75" customHeight="1" thickBot="1" x14ac:dyDescent="0.4">
      <c r="B5" s="53" t="s">
        <v>1</v>
      </c>
      <c r="C5" s="642" t="s">
        <v>2</v>
      </c>
      <c r="D5" s="642"/>
      <c r="E5" s="642"/>
      <c r="F5" s="643"/>
      <c r="G5" s="203"/>
      <c r="J5" s="599"/>
      <c r="K5" s="170" t="s">
        <v>1</v>
      </c>
      <c r="L5" s="610" t="s">
        <v>2</v>
      </c>
      <c r="M5" s="610"/>
      <c r="N5" s="610"/>
      <c r="O5" s="611"/>
      <c r="P5" s="214"/>
      <c r="Q5" s="214"/>
      <c r="R5" s="599"/>
      <c r="S5" s="170" t="s">
        <v>1</v>
      </c>
      <c r="T5" s="612" t="s">
        <v>2</v>
      </c>
      <c r="U5" s="612"/>
      <c r="V5" s="612"/>
      <c r="W5" s="613"/>
      <c r="X5" s="214"/>
      <c r="Y5" s="214"/>
      <c r="Z5" s="599"/>
      <c r="AA5" s="170" t="s">
        <v>1</v>
      </c>
      <c r="AB5" s="612" t="s">
        <v>2</v>
      </c>
      <c r="AC5" s="612"/>
      <c r="AD5" s="612"/>
      <c r="AE5" s="613"/>
      <c r="AF5" s="214"/>
      <c r="AG5" s="214"/>
      <c r="AH5" s="599"/>
      <c r="AI5" s="170" t="s">
        <v>1</v>
      </c>
      <c r="AJ5" s="612" t="s">
        <v>2</v>
      </c>
      <c r="AK5" s="612"/>
      <c r="AL5" s="612"/>
      <c r="AM5" s="613"/>
      <c r="AN5" s="214"/>
    </row>
    <row r="6" spans="2:40" ht="15.75" customHeight="1" x14ac:dyDescent="0.25">
      <c r="B6" s="623" t="s">
        <v>6</v>
      </c>
      <c r="C6" s="624"/>
      <c r="D6" s="50" t="s">
        <v>3</v>
      </c>
      <c r="E6" s="51" t="s">
        <v>4</v>
      </c>
      <c r="F6" s="50" t="s">
        <v>5</v>
      </c>
      <c r="G6" s="203"/>
      <c r="J6" s="599"/>
      <c r="K6" s="623" t="s">
        <v>6</v>
      </c>
      <c r="L6" s="624"/>
      <c r="M6" s="50" t="s">
        <v>3</v>
      </c>
      <c r="N6" s="51" t="s">
        <v>4</v>
      </c>
      <c r="O6" s="50" t="s">
        <v>5</v>
      </c>
      <c r="P6" s="214"/>
      <c r="Q6" s="214"/>
      <c r="R6" s="599"/>
      <c r="S6" s="623" t="s">
        <v>6</v>
      </c>
      <c r="T6" s="624"/>
      <c r="U6" s="50" t="s">
        <v>3</v>
      </c>
      <c r="V6" s="51" t="s">
        <v>4</v>
      </c>
      <c r="W6" s="50" t="s">
        <v>5</v>
      </c>
      <c r="X6" s="214"/>
      <c r="Y6" s="214"/>
      <c r="Z6" s="599"/>
      <c r="AA6" s="623" t="s">
        <v>6</v>
      </c>
      <c r="AB6" s="624"/>
      <c r="AC6" s="50" t="s">
        <v>3</v>
      </c>
      <c r="AD6" s="51" t="s">
        <v>4</v>
      </c>
      <c r="AE6" s="50" t="s">
        <v>5</v>
      </c>
      <c r="AF6" s="214"/>
      <c r="AG6" s="214"/>
      <c r="AH6" s="599"/>
      <c r="AI6" s="623" t="s">
        <v>6</v>
      </c>
      <c r="AJ6" s="624"/>
      <c r="AK6" s="50" t="s">
        <v>3</v>
      </c>
      <c r="AL6" s="51" t="s">
        <v>4</v>
      </c>
      <c r="AM6" s="50" t="s">
        <v>5</v>
      </c>
      <c r="AN6" s="214"/>
    </row>
    <row r="7" spans="2:40" ht="16.5" customHeight="1" thickBot="1" x14ac:dyDescent="0.3">
      <c r="B7" s="625"/>
      <c r="C7" s="626"/>
      <c r="D7" s="19" t="s">
        <v>65</v>
      </c>
      <c r="E7" s="19" t="s">
        <v>65</v>
      </c>
      <c r="F7" s="19" t="s">
        <v>65</v>
      </c>
      <c r="G7" s="203"/>
      <c r="J7" s="599"/>
      <c r="K7" s="625"/>
      <c r="L7" s="626"/>
      <c r="M7" s="289" t="s">
        <v>65</v>
      </c>
      <c r="N7" s="289" t="s">
        <v>65</v>
      </c>
      <c r="O7" s="289" t="s">
        <v>65</v>
      </c>
      <c r="P7" s="214"/>
      <c r="Q7" s="214"/>
      <c r="R7" s="599"/>
      <c r="S7" s="625"/>
      <c r="T7" s="626"/>
      <c r="U7" s="19" t="s">
        <v>65</v>
      </c>
      <c r="V7" s="19" t="s">
        <v>65</v>
      </c>
      <c r="W7" s="19" t="s">
        <v>65</v>
      </c>
      <c r="X7" s="214"/>
      <c r="Y7" s="214"/>
      <c r="Z7" s="599"/>
      <c r="AA7" s="625"/>
      <c r="AB7" s="626"/>
      <c r="AC7" s="19" t="s">
        <v>65</v>
      </c>
      <c r="AD7" s="19" t="s">
        <v>65</v>
      </c>
      <c r="AE7" s="19" t="s">
        <v>65</v>
      </c>
      <c r="AF7" s="214"/>
      <c r="AG7" s="214"/>
      <c r="AH7" s="599"/>
      <c r="AI7" s="625"/>
      <c r="AJ7" s="626"/>
      <c r="AK7" s="19" t="s">
        <v>65</v>
      </c>
      <c r="AL7" s="19" t="s">
        <v>65</v>
      </c>
      <c r="AM7" s="19" t="s">
        <v>65</v>
      </c>
      <c r="AN7" s="214"/>
    </row>
    <row r="8" spans="2:40" ht="15.75" customHeight="1" x14ac:dyDescent="0.25">
      <c r="B8" s="246" t="s">
        <v>29</v>
      </c>
      <c r="C8" s="144"/>
      <c r="D8" s="140" t="s">
        <v>59</v>
      </c>
      <c r="E8" s="140" t="s">
        <v>59</v>
      </c>
      <c r="F8" s="151" t="s">
        <v>59</v>
      </c>
      <c r="G8" s="203"/>
      <c r="J8" s="599"/>
      <c r="K8" s="218" t="s">
        <v>29</v>
      </c>
      <c r="L8" s="252" t="s">
        <v>154</v>
      </c>
      <c r="M8" s="313" t="s">
        <v>219</v>
      </c>
      <c r="N8" s="313" t="s">
        <v>219</v>
      </c>
      <c r="O8" s="313" t="s">
        <v>219</v>
      </c>
      <c r="P8" s="214"/>
      <c r="Q8" s="214"/>
      <c r="R8" s="599"/>
      <c r="S8" s="246" t="s">
        <v>29</v>
      </c>
      <c r="T8" s="259" t="s">
        <v>154</v>
      </c>
      <c r="U8" s="313" t="s">
        <v>219</v>
      </c>
      <c r="V8" s="313" t="s">
        <v>219</v>
      </c>
      <c r="W8" s="313" t="s">
        <v>219</v>
      </c>
      <c r="X8" s="214"/>
      <c r="Y8" s="214"/>
      <c r="Z8" s="599"/>
      <c r="AA8" s="246" t="s">
        <v>29</v>
      </c>
      <c r="AB8" s="259" t="s">
        <v>154</v>
      </c>
      <c r="AC8" s="313" t="s">
        <v>219</v>
      </c>
      <c r="AD8" s="313" t="s">
        <v>219</v>
      </c>
      <c r="AE8" s="313" t="s">
        <v>219</v>
      </c>
      <c r="AF8" s="214"/>
      <c r="AG8" s="214"/>
      <c r="AH8" s="599"/>
      <c r="AI8" s="246" t="s">
        <v>29</v>
      </c>
      <c r="AJ8" s="259" t="s">
        <v>154</v>
      </c>
      <c r="AK8" s="313" t="s">
        <v>219</v>
      </c>
      <c r="AL8" s="313" t="s">
        <v>219</v>
      </c>
      <c r="AM8" s="313" t="s">
        <v>219</v>
      </c>
      <c r="AN8" s="214"/>
    </row>
    <row r="9" spans="2:40" ht="15.75" customHeight="1" x14ac:dyDescent="0.25">
      <c r="B9" s="247" t="s">
        <v>40</v>
      </c>
      <c r="C9" s="145"/>
      <c r="D9" s="141" t="s">
        <v>3</v>
      </c>
      <c r="E9" s="142" t="s">
        <v>61</v>
      </c>
      <c r="F9" s="152" t="s">
        <v>62</v>
      </c>
      <c r="G9" s="203"/>
      <c r="J9" s="599"/>
      <c r="K9" s="219" t="s">
        <v>40</v>
      </c>
      <c r="L9" s="253" t="s">
        <v>155</v>
      </c>
      <c r="M9" s="314" t="s">
        <v>3</v>
      </c>
      <c r="N9" s="142" t="s">
        <v>61</v>
      </c>
      <c r="O9" s="142" t="s">
        <v>62</v>
      </c>
      <c r="P9" s="214"/>
      <c r="Q9" s="214"/>
      <c r="R9" s="599"/>
      <c r="S9" s="247" t="s">
        <v>40</v>
      </c>
      <c r="T9" s="260" t="s">
        <v>155</v>
      </c>
      <c r="U9" s="186" t="s">
        <v>3</v>
      </c>
      <c r="V9" s="187" t="s">
        <v>61</v>
      </c>
      <c r="W9" s="188" t="s">
        <v>62</v>
      </c>
      <c r="X9" s="214"/>
      <c r="Y9" s="214"/>
      <c r="Z9" s="599"/>
      <c r="AA9" s="247" t="s">
        <v>40</v>
      </c>
      <c r="AB9" s="260" t="s">
        <v>155</v>
      </c>
      <c r="AC9" s="186" t="s">
        <v>3</v>
      </c>
      <c r="AD9" s="187" t="s">
        <v>61</v>
      </c>
      <c r="AE9" s="188" t="s">
        <v>62</v>
      </c>
      <c r="AF9" s="214"/>
      <c r="AG9" s="214"/>
      <c r="AH9" s="599"/>
      <c r="AI9" s="247" t="s">
        <v>40</v>
      </c>
      <c r="AJ9" s="260" t="s">
        <v>155</v>
      </c>
      <c r="AK9" s="186" t="s">
        <v>3</v>
      </c>
      <c r="AL9" s="187" t="s">
        <v>61</v>
      </c>
      <c r="AM9" s="188" t="s">
        <v>62</v>
      </c>
      <c r="AN9" s="214"/>
    </row>
    <row r="10" spans="2:40" ht="34.5" customHeight="1" x14ac:dyDescent="0.25">
      <c r="B10" s="247"/>
      <c r="C10" s="145"/>
      <c r="D10" s="141"/>
      <c r="E10" s="142"/>
      <c r="F10" s="152"/>
      <c r="G10" s="203"/>
      <c r="J10" s="599"/>
      <c r="K10" s="330" t="s">
        <v>193</v>
      </c>
      <c r="L10" s="253" t="s">
        <v>180</v>
      </c>
      <c r="M10" s="315" t="s">
        <v>80</v>
      </c>
      <c r="N10" s="290" t="s">
        <v>182</v>
      </c>
      <c r="O10" s="290" t="s">
        <v>183</v>
      </c>
      <c r="P10" s="214"/>
      <c r="Q10" s="214"/>
      <c r="R10" s="599"/>
      <c r="S10" s="219" t="s">
        <v>199</v>
      </c>
      <c r="T10" s="253" t="s">
        <v>180</v>
      </c>
      <c r="U10" s="290" t="s">
        <v>80</v>
      </c>
      <c r="V10" s="290" t="s">
        <v>182</v>
      </c>
      <c r="W10" s="290" t="s">
        <v>183</v>
      </c>
      <c r="X10" s="214"/>
      <c r="Y10" s="214"/>
      <c r="Z10" s="599"/>
      <c r="AA10" s="219" t="s">
        <v>199</v>
      </c>
      <c r="AB10" s="253" t="s">
        <v>180</v>
      </c>
      <c r="AC10" s="290" t="s">
        <v>80</v>
      </c>
      <c r="AD10" s="290" t="s">
        <v>182</v>
      </c>
      <c r="AE10" s="290" t="s">
        <v>183</v>
      </c>
      <c r="AF10" s="214"/>
      <c r="AG10" s="214"/>
      <c r="AH10" s="599"/>
      <c r="AI10" s="219" t="s">
        <v>199</v>
      </c>
      <c r="AJ10" s="260"/>
      <c r="AK10" s="388" t="s">
        <v>80</v>
      </c>
      <c r="AL10" s="388" t="s">
        <v>182</v>
      </c>
      <c r="AM10" s="388" t="s">
        <v>183</v>
      </c>
      <c r="AN10" s="214"/>
    </row>
    <row r="11" spans="2:40" ht="48.75" customHeight="1" thickBot="1" x14ac:dyDescent="0.3">
      <c r="B11" s="247" t="s">
        <v>30</v>
      </c>
      <c r="C11" s="145"/>
      <c r="D11" s="143" t="s">
        <v>60</v>
      </c>
      <c r="E11" s="143" t="s">
        <v>63</v>
      </c>
      <c r="F11" s="153" t="s">
        <v>64</v>
      </c>
      <c r="G11" s="204"/>
      <c r="H11" t="s">
        <v>38</v>
      </c>
      <c r="J11" s="599"/>
      <c r="K11" s="330" t="s">
        <v>30</v>
      </c>
      <c r="L11" s="253" t="s">
        <v>154</v>
      </c>
      <c r="M11" s="316" t="s">
        <v>60</v>
      </c>
      <c r="N11" s="143" t="s">
        <v>63</v>
      </c>
      <c r="O11" s="143" t="s">
        <v>64</v>
      </c>
      <c r="P11" s="217"/>
      <c r="Q11" s="217"/>
      <c r="R11" s="599"/>
      <c r="S11" s="247" t="s">
        <v>30</v>
      </c>
      <c r="T11" s="260" t="s">
        <v>154</v>
      </c>
      <c r="U11" s="189" t="s">
        <v>60</v>
      </c>
      <c r="V11" s="189" t="s">
        <v>63</v>
      </c>
      <c r="W11" s="190" t="s">
        <v>64</v>
      </c>
      <c r="X11" s="217"/>
      <c r="Y11" s="217"/>
      <c r="Z11" s="599"/>
      <c r="AA11" s="247" t="s">
        <v>30</v>
      </c>
      <c r="AB11" s="260" t="s">
        <v>154</v>
      </c>
      <c r="AC11" s="189" t="s">
        <v>60</v>
      </c>
      <c r="AD11" s="373" t="s">
        <v>204</v>
      </c>
      <c r="AE11" s="190" t="s">
        <v>64</v>
      </c>
      <c r="AF11" s="217"/>
      <c r="AG11" s="217"/>
      <c r="AH11" s="599"/>
      <c r="AI11" s="247" t="s">
        <v>30</v>
      </c>
      <c r="AJ11" s="260" t="s">
        <v>154</v>
      </c>
      <c r="AK11" s="189" t="s">
        <v>60</v>
      </c>
      <c r="AL11" s="189" t="s">
        <v>63</v>
      </c>
      <c r="AM11" s="190" t="s">
        <v>64</v>
      </c>
      <c r="AN11" s="217"/>
    </row>
    <row r="12" spans="2:40" ht="66" customHeight="1" x14ac:dyDescent="0.25">
      <c r="B12" s="245" t="s">
        <v>132</v>
      </c>
      <c r="C12" s="438"/>
      <c r="D12" s="143" t="s">
        <v>66</v>
      </c>
      <c r="E12" s="143" t="s">
        <v>68</v>
      </c>
      <c r="F12" s="153" t="s">
        <v>69</v>
      </c>
      <c r="G12" s="203"/>
      <c r="J12" s="599"/>
      <c r="K12" s="247" t="s">
        <v>132</v>
      </c>
      <c r="L12" s="253" t="s">
        <v>154</v>
      </c>
      <c r="M12" s="316" t="s">
        <v>66</v>
      </c>
      <c r="N12" s="143" t="s">
        <v>68</v>
      </c>
      <c r="O12" s="143" t="s">
        <v>69</v>
      </c>
      <c r="P12" s="214"/>
      <c r="Q12" s="214"/>
      <c r="R12" s="599"/>
      <c r="S12" s="222" t="s">
        <v>132</v>
      </c>
      <c r="T12" s="260" t="s">
        <v>154</v>
      </c>
      <c r="U12" s="189" t="s">
        <v>66</v>
      </c>
      <c r="V12" s="189" t="s">
        <v>68</v>
      </c>
      <c r="W12" s="190" t="s">
        <v>69</v>
      </c>
      <c r="X12" s="214"/>
      <c r="Y12" s="214"/>
      <c r="Z12" s="599"/>
      <c r="AA12" s="247" t="s">
        <v>132</v>
      </c>
      <c r="AB12" s="260" t="s">
        <v>154</v>
      </c>
      <c r="AC12" s="189" t="s">
        <v>66</v>
      </c>
      <c r="AD12" s="362" t="s">
        <v>118</v>
      </c>
      <c r="AE12" s="190" t="s">
        <v>69</v>
      </c>
      <c r="AF12" s="214"/>
      <c r="AG12" s="214"/>
      <c r="AH12" s="599"/>
      <c r="AI12" s="247" t="s">
        <v>132</v>
      </c>
      <c r="AJ12" s="260" t="s">
        <v>154</v>
      </c>
      <c r="AK12" s="189" t="s">
        <v>66</v>
      </c>
      <c r="AL12" s="189" t="s">
        <v>66</v>
      </c>
      <c r="AM12" s="190" t="s">
        <v>69</v>
      </c>
      <c r="AN12" s="214"/>
    </row>
    <row r="13" spans="2:40" ht="16.5" customHeight="1" x14ac:dyDescent="0.25">
      <c r="B13" s="245" t="s">
        <v>32</v>
      </c>
      <c r="C13" s="438"/>
      <c r="D13" s="149" t="s">
        <v>67</v>
      </c>
      <c r="E13" s="149" t="s">
        <v>67</v>
      </c>
      <c r="F13" s="154" t="s">
        <v>67</v>
      </c>
      <c r="G13" s="203"/>
      <c r="H13" t="e">
        <f>+D8*12*0.5</f>
        <v>#VALUE!</v>
      </c>
      <c r="J13" s="599"/>
      <c r="K13" s="323" t="s">
        <v>190</v>
      </c>
      <c r="L13" s="254" t="s">
        <v>155</v>
      </c>
      <c r="M13" s="324" t="s">
        <v>178</v>
      </c>
      <c r="N13" s="325" t="s">
        <v>178</v>
      </c>
      <c r="O13" s="325" t="s">
        <v>178</v>
      </c>
      <c r="P13" s="130"/>
      <c r="Q13" s="130"/>
      <c r="R13" s="599"/>
      <c r="S13" s="361" t="s">
        <v>191</v>
      </c>
      <c r="T13" s="261" t="s">
        <v>155</v>
      </c>
      <c r="U13" s="191" t="s">
        <v>67</v>
      </c>
      <c r="V13" s="191" t="s">
        <v>67</v>
      </c>
      <c r="W13" s="192" t="s">
        <v>67</v>
      </c>
      <c r="X13" s="214"/>
      <c r="Y13" s="214"/>
      <c r="Z13" s="599"/>
      <c r="AA13" s="361" t="s">
        <v>191</v>
      </c>
      <c r="AB13" s="261" t="s">
        <v>155</v>
      </c>
      <c r="AC13" s="191" t="s">
        <v>67</v>
      </c>
      <c r="AD13" s="363">
        <v>1.7</v>
      </c>
      <c r="AE13" s="192" t="s">
        <v>67</v>
      </c>
      <c r="AF13" s="214"/>
      <c r="AG13" s="214"/>
      <c r="AH13" s="599"/>
      <c r="AI13" s="247" t="s">
        <v>32</v>
      </c>
      <c r="AJ13" s="261" t="s">
        <v>155</v>
      </c>
      <c r="AK13" s="191" t="s">
        <v>67</v>
      </c>
      <c r="AL13" s="191">
        <v>1.86</v>
      </c>
      <c r="AM13" s="192" t="s">
        <v>67</v>
      </c>
      <c r="AN13" s="130"/>
    </row>
    <row r="14" spans="2:40" ht="33" customHeight="1" thickBot="1" x14ac:dyDescent="0.3">
      <c r="B14" s="245"/>
      <c r="C14" s="438"/>
      <c r="D14" s="149"/>
      <c r="E14" s="149"/>
      <c r="F14" s="154"/>
      <c r="G14" s="203"/>
      <c r="J14" s="599"/>
      <c r="K14" s="245" t="s">
        <v>189</v>
      </c>
      <c r="L14" s="254"/>
      <c r="M14" s="317"/>
      <c r="N14" s="321" t="s">
        <v>184</v>
      </c>
      <c r="O14" s="321" t="s">
        <v>184</v>
      </c>
      <c r="P14" s="130"/>
      <c r="Q14" s="130"/>
      <c r="R14" s="599"/>
      <c r="S14" s="245" t="s">
        <v>189</v>
      </c>
      <c r="T14" s="254"/>
      <c r="U14" s="317"/>
      <c r="V14" s="321" t="s">
        <v>184</v>
      </c>
      <c r="W14" s="321" t="s">
        <v>184</v>
      </c>
      <c r="X14" s="214"/>
      <c r="Y14" s="214"/>
      <c r="Z14" s="599"/>
      <c r="AA14" s="245" t="s">
        <v>189</v>
      </c>
      <c r="AB14" s="336"/>
      <c r="AC14" s="367"/>
      <c r="AD14" s="364" t="s">
        <v>184</v>
      </c>
      <c r="AE14" s="321" t="s">
        <v>184</v>
      </c>
      <c r="AF14" s="214"/>
      <c r="AG14" s="214"/>
      <c r="AH14" s="599"/>
      <c r="AI14" s="245" t="s">
        <v>189</v>
      </c>
      <c r="AJ14" s="261"/>
      <c r="AK14" s="191"/>
      <c r="AL14" s="321" t="s">
        <v>184</v>
      </c>
      <c r="AM14" s="321" t="s">
        <v>184</v>
      </c>
      <c r="AN14" s="214"/>
    </row>
    <row r="15" spans="2:40" ht="46.5" customHeight="1" thickBot="1" x14ac:dyDescent="0.3">
      <c r="B15" s="245" t="s">
        <v>7</v>
      </c>
      <c r="C15" s="146" t="s">
        <v>70</v>
      </c>
      <c r="D15" s="156" t="s">
        <v>71</v>
      </c>
      <c r="E15" s="156" t="s">
        <v>71</v>
      </c>
      <c r="F15" s="205" t="s">
        <v>71</v>
      </c>
      <c r="G15" s="134" t="s">
        <v>50</v>
      </c>
      <c r="H15" s="3" t="e">
        <f>+D11/H13</f>
        <v>#VALUE!</v>
      </c>
      <c r="I15" s="3"/>
      <c r="J15" s="599"/>
      <c r="K15" s="219" t="s">
        <v>7</v>
      </c>
      <c r="L15" s="255" t="s">
        <v>220</v>
      </c>
      <c r="M15" s="318" t="s">
        <v>221</v>
      </c>
      <c r="N15" s="318" t="s">
        <v>221</v>
      </c>
      <c r="O15" s="318" t="s">
        <v>221</v>
      </c>
      <c r="P15" s="214"/>
      <c r="Q15" s="287"/>
      <c r="R15" s="599"/>
      <c r="S15" s="247" t="s">
        <v>7</v>
      </c>
      <c r="T15" s="366" t="s">
        <v>220</v>
      </c>
      <c r="U15" s="365" t="s">
        <v>221</v>
      </c>
      <c r="V15" s="365" t="s">
        <v>221</v>
      </c>
      <c r="W15" s="365" t="s">
        <v>221</v>
      </c>
      <c r="X15" s="134"/>
      <c r="Y15" s="276"/>
      <c r="Z15" s="599"/>
      <c r="AA15" s="335" t="s">
        <v>7</v>
      </c>
      <c r="AB15" s="366" t="s">
        <v>220</v>
      </c>
      <c r="AC15" s="365" t="s">
        <v>221</v>
      </c>
      <c r="AD15" s="365" t="s">
        <v>221</v>
      </c>
      <c r="AE15" s="365" t="s">
        <v>221</v>
      </c>
      <c r="AF15" s="134"/>
      <c r="AG15" s="276"/>
      <c r="AH15" s="599"/>
      <c r="AI15" s="247" t="s">
        <v>7</v>
      </c>
      <c r="AJ15" s="400" t="s">
        <v>142</v>
      </c>
      <c r="AK15" s="318" t="s">
        <v>221</v>
      </c>
      <c r="AL15" s="318" t="s">
        <v>221</v>
      </c>
      <c r="AM15" s="318" t="s">
        <v>221</v>
      </c>
      <c r="AN15" s="203"/>
    </row>
    <row r="16" spans="2:40" ht="48.75" customHeight="1" thickBot="1" x14ac:dyDescent="0.3">
      <c r="B16" s="245" t="s">
        <v>153</v>
      </c>
      <c r="C16" s="147" t="s">
        <v>149</v>
      </c>
      <c r="D16" s="150"/>
      <c r="E16" s="157" t="s">
        <v>72</v>
      </c>
      <c r="F16" s="206" t="s">
        <v>72</v>
      </c>
      <c r="G16" s="160" t="s">
        <v>79</v>
      </c>
      <c r="I16" s="131"/>
      <c r="J16" s="599"/>
      <c r="K16" s="247" t="s">
        <v>153</v>
      </c>
      <c r="L16" s="256" t="s">
        <v>149</v>
      </c>
      <c r="M16" s="319"/>
      <c r="N16" s="157" t="s">
        <v>72</v>
      </c>
      <c r="O16" s="157" t="s">
        <v>72</v>
      </c>
      <c r="P16" s="214"/>
      <c r="Q16" s="288"/>
      <c r="R16" s="599"/>
      <c r="S16" s="247" t="s">
        <v>153</v>
      </c>
      <c r="T16" s="256" t="s">
        <v>157</v>
      </c>
      <c r="U16" s="150"/>
      <c r="V16" s="376" t="s">
        <v>148</v>
      </c>
      <c r="W16" s="376" t="s">
        <v>148</v>
      </c>
      <c r="X16" s="160"/>
      <c r="Y16" s="277"/>
      <c r="Z16" s="599"/>
      <c r="AA16" s="247" t="s">
        <v>153</v>
      </c>
      <c r="AB16" s="337" t="s">
        <v>165</v>
      </c>
      <c r="AC16" s="338"/>
      <c r="AD16" s="339" t="s">
        <v>145</v>
      </c>
      <c r="AE16" s="339" t="s">
        <v>145</v>
      </c>
      <c r="AF16" s="160"/>
      <c r="AG16" s="277"/>
      <c r="AH16" s="599"/>
      <c r="AI16" s="335" t="s">
        <v>153</v>
      </c>
      <c r="AJ16" s="411" t="s">
        <v>150</v>
      </c>
      <c r="AK16" s="412"/>
      <c r="AL16" s="413" t="s">
        <v>210</v>
      </c>
      <c r="AM16" s="413" t="s">
        <v>210</v>
      </c>
      <c r="AN16" s="203"/>
    </row>
    <row r="17" spans="2:45" ht="48" customHeight="1" thickBot="1" x14ac:dyDescent="0.3">
      <c r="B17" s="248" t="s">
        <v>33</v>
      </c>
      <c r="C17" s="437" t="s">
        <v>73</v>
      </c>
      <c r="D17" s="148" t="s">
        <v>74</v>
      </c>
      <c r="E17" s="148" t="s">
        <v>75</v>
      </c>
      <c r="F17" s="155" t="s">
        <v>75</v>
      </c>
      <c r="G17" s="101" t="s">
        <v>80</v>
      </c>
      <c r="H17" s="3"/>
      <c r="I17" s="131"/>
      <c r="J17" s="598"/>
      <c r="K17" s="223" t="s">
        <v>33</v>
      </c>
      <c r="L17" s="257" t="s">
        <v>155</v>
      </c>
      <c r="M17" s="320" t="s">
        <v>74</v>
      </c>
      <c r="N17" s="322" t="s">
        <v>188</v>
      </c>
      <c r="O17" s="322" t="s">
        <v>188</v>
      </c>
      <c r="P17" s="208"/>
      <c r="Q17" s="278"/>
      <c r="R17" s="598"/>
      <c r="S17" s="262" t="s">
        <v>33</v>
      </c>
      <c r="T17" s="263" t="s">
        <v>155</v>
      </c>
      <c r="U17" s="148" t="s">
        <v>74</v>
      </c>
      <c r="V17" s="374" t="s">
        <v>75</v>
      </c>
      <c r="W17" s="375" t="s">
        <v>75</v>
      </c>
      <c r="X17" s="171"/>
      <c r="Y17" s="280"/>
      <c r="Z17" s="598"/>
      <c r="AA17" s="262" t="s">
        <v>33</v>
      </c>
      <c r="AB17" s="263" t="s">
        <v>155</v>
      </c>
      <c r="AC17" s="148" t="s">
        <v>74</v>
      </c>
      <c r="AD17" s="148" t="s">
        <v>75</v>
      </c>
      <c r="AE17" s="155" t="s">
        <v>75</v>
      </c>
      <c r="AF17" s="171"/>
      <c r="AG17" s="280"/>
      <c r="AH17" s="598"/>
      <c r="AI17" s="262" t="s">
        <v>33</v>
      </c>
      <c r="AJ17" s="401" t="s">
        <v>155</v>
      </c>
      <c r="AK17" s="148" t="s">
        <v>74</v>
      </c>
      <c r="AL17" s="148" t="s">
        <v>119</v>
      </c>
      <c r="AM17" s="148" t="s">
        <v>119</v>
      </c>
      <c r="AN17" s="203"/>
    </row>
    <row r="18" spans="2:45" ht="16.5" customHeight="1" thickBot="1" x14ac:dyDescent="0.3">
      <c r="B18" s="604" t="s">
        <v>8</v>
      </c>
      <c r="C18" s="605"/>
      <c r="D18" s="605"/>
      <c r="E18" s="605"/>
      <c r="F18" s="606"/>
      <c r="G18" s="135" t="s">
        <v>40</v>
      </c>
      <c r="H18" s="3" t="e">
        <f>+H19*D11</f>
        <v>#VALUE!</v>
      </c>
      <c r="I18" s="3"/>
      <c r="J18" s="601" t="s">
        <v>168</v>
      </c>
      <c r="K18" s="604" t="s">
        <v>8</v>
      </c>
      <c r="L18" s="605"/>
      <c r="M18" s="605"/>
      <c r="N18" s="605"/>
      <c r="O18" s="605"/>
      <c r="P18" s="208"/>
      <c r="Q18" s="279"/>
      <c r="R18" s="601" t="s">
        <v>168</v>
      </c>
      <c r="S18" s="604" t="s">
        <v>8</v>
      </c>
      <c r="T18" s="605"/>
      <c r="U18" s="605"/>
      <c r="V18" s="605"/>
      <c r="W18" s="605"/>
      <c r="X18" s="135"/>
      <c r="Y18" s="279"/>
      <c r="Z18" s="601" t="s">
        <v>168</v>
      </c>
      <c r="AA18" s="604" t="s">
        <v>8</v>
      </c>
      <c r="AB18" s="605"/>
      <c r="AC18" s="605"/>
      <c r="AD18" s="605"/>
      <c r="AE18" s="605"/>
      <c r="AF18" s="135"/>
      <c r="AG18" s="279"/>
      <c r="AH18" s="601" t="s">
        <v>168</v>
      </c>
      <c r="AI18" s="604" t="s">
        <v>8</v>
      </c>
      <c r="AJ18" s="605"/>
      <c r="AK18" s="605"/>
      <c r="AL18" s="605"/>
      <c r="AM18" s="605"/>
      <c r="AN18" s="203"/>
    </row>
    <row r="19" spans="2:45" ht="64.5" customHeight="1" thickBot="1" x14ac:dyDescent="0.3">
      <c r="B19" s="249" t="s">
        <v>9</v>
      </c>
      <c r="C19" s="25"/>
      <c r="D19" s="158" t="s">
        <v>76</v>
      </c>
      <c r="E19" s="158" t="s">
        <v>133</v>
      </c>
      <c r="F19" s="158" t="s">
        <v>134</v>
      </c>
      <c r="G19" s="199"/>
      <c r="H19" t="e">
        <f>+D19*1.8</f>
        <v>#VALUE!</v>
      </c>
      <c r="J19" s="602"/>
      <c r="K19" s="219" t="s">
        <v>174</v>
      </c>
      <c r="L19" s="172"/>
      <c r="M19" s="158" t="s">
        <v>120</v>
      </c>
      <c r="N19" s="284" t="s">
        <v>179</v>
      </c>
      <c r="O19" s="158" t="s">
        <v>121</v>
      </c>
      <c r="P19" s="208"/>
      <c r="Q19" s="214"/>
      <c r="R19" s="602"/>
      <c r="S19" s="219" t="s">
        <v>174</v>
      </c>
      <c r="T19" s="172"/>
      <c r="U19" s="158" t="s">
        <v>120</v>
      </c>
      <c r="V19" s="284" t="s">
        <v>179</v>
      </c>
      <c r="W19" s="158" t="s">
        <v>120</v>
      </c>
      <c r="X19" s="214"/>
      <c r="Y19" s="214"/>
      <c r="Z19" s="602"/>
      <c r="AA19" s="245" t="s">
        <v>174</v>
      </c>
      <c r="AB19" s="172"/>
      <c r="AC19" s="158" t="s">
        <v>120</v>
      </c>
      <c r="AD19" s="284" t="s">
        <v>179</v>
      </c>
      <c r="AE19" s="158" t="s">
        <v>121</v>
      </c>
      <c r="AF19" s="214"/>
      <c r="AG19" s="214"/>
      <c r="AH19" s="602"/>
      <c r="AI19" s="245" t="s">
        <v>174</v>
      </c>
      <c r="AJ19" s="172"/>
      <c r="AK19" s="158" t="s">
        <v>120</v>
      </c>
      <c r="AL19" s="284" t="s">
        <v>179</v>
      </c>
      <c r="AM19" s="158" t="s">
        <v>120</v>
      </c>
      <c r="AN19" s="433"/>
    </row>
    <row r="20" spans="2:45" ht="18" customHeight="1" thickBot="1" x14ac:dyDescent="0.3">
      <c r="B20" s="250" t="s">
        <v>26</v>
      </c>
      <c r="C20" s="26"/>
      <c r="D20" s="159" t="s">
        <v>77</v>
      </c>
      <c r="E20" s="159" t="s">
        <v>78</v>
      </c>
      <c r="F20" s="159" t="s">
        <v>107</v>
      </c>
      <c r="G20" s="199"/>
      <c r="H20" s="3" t="e">
        <f>+(D17+D19)*D12</f>
        <v>#VALUE!</v>
      </c>
      <c r="I20" s="3"/>
      <c r="J20" s="603"/>
      <c r="K20" s="224" t="s">
        <v>26</v>
      </c>
      <c r="L20" s="173"/>
      <c r="M20" s="159" t="s">
        <v>77</v>
      </c>
      <c r="N20" s="283" t="s">
        <v>78</v>
      </c>
      <c r="O20" s="213" t="s">
        <v>107</v>
      </c>
      <c r="P20" s="208"/>
      <c r="Q20" s="214"/>
      <c r="R20" s="603"/>
      <c r="S20" s="378" t="s">
        <v>26</v>
      </c>
      <c r="T20" s="173"/>
      <c r="U20" s="159" t="s">
        <v>77</v>
      </c>
      <c r="V20" s="159" t="s">
        <v>78</v>
      </c>
      <c r="W20" s="159" t="s">
        <v>107</v>
      </c>
      <c r="X20" s="214"/>
      <c r="Y20" s="214"/>
      <c r="Z20" s="603"/>
      <c r="AA20" s="264" t="s">
        <v>26</v>
      </c>
      <c r="AB20" s="173"/>
      <c r="AC20" s="159" t="s">
        <v>77</v>
      </c>
      <c r="AD20" s="283" t="s">
        <v>78</v>
      </c>
      <c r="AE20" s="159" t="s">
        <v>107</v>
      </c>
      <c r="AF20" s="214"/>
      <c r="AG20" s="214"/>
      <c r="AH20" s="603"/>
      <c r="AI20" s="264" t="s">
        <v>26</v>
      </c>
      <c r="AJ20" s="173"/>
      <c r="AK20" s="159" t="s">
        <v>77</v>
      </c>
      <c r="AL20" s="212" t="s">
        <v>78</v>
      </c>
      <c r="AM20" s="159" t="s">
        <v>107</v>
      </c>
      <c r="AN20" s="439" t="s">
        <v>52</v>
      </c>
    </row>
    <row r="21" spans="2:45" ht="36.75" customHeight="1" thickBot="1" x14ac:dyDescent="0.3">
      <c r="B21" s="120"/>
      <c r="C21" s="1"/>
      <c r="D21" s="4"/>
      <c r="E21" s="4"/>
      <c r="F21" s="121"/>
      <c r="G21" s="199"/>
      <c r="J21" s="275"/>
      <c r="K21" s="2"/>
      <c r="L21" s="2"/>
      <c r="M21" s="174"/>
      <c r="N21" s="174"/>
      <c r="O21" s="174"/>
      <c r="P21" s="208"/>
      <c r="Q21" s="214"/>
      <c r="R21" s="275"/>
      <c r="S21" s="2"/>
      <c r="T21" s="2"/>
      <c r="U21" s="174"/>
      <c r="V21" s="174"/>
      <c r="W21" s="174"/>
      <c r="X21" s="214"/>
      <c r="Y21" s="214"/>
      <c r="Z21" s="275"/>
      <c r="AA21" s="2"/>
      <c r="AB21" s="2"/>
      <c r="AC21" s="174"/>
      <c r="AD21" s="174"/>
      <c r="AE21" s="174"/>
      <c r="AF21" s="214"/>
      <c r="AG21" s="214"/>
      <c r="AH21" s="275"/>
      <c r="AI21" s="2"/>
      <c r="AJ21" s="2"/>
      <c r="AK21" s="174"/>
      <c r="AL21" s="174"/>
      <c r="AM21" s="174"/>
      <c r="AN21" s="440" t="s">
        <v>123</v>
      </c>
    </row>
    <row r="22" spans="2:45" ht="29.25" customHeight="1" thickBot="1" x14ac:dyDescent="0.3">
      <c r="B22" s="627" t="s">
        <v>10</v>
      </c>
      <c r="C22" s="628"/>
      <c r="D22" s="628"/>
      <c r="E22" s="628"/>
      <c r="F22" s="629"/>
      <c r="G22" s="199"/>
      <c r="J22" s="597" t="s">
        <v>169</v>
      </c>
      <c r="K22" s="627" t="s">
        <v>10</v>
      </c>
      <c r="L22" s="628"/>
      <c r="M22" s="628"/>
      <c r="N22" s="628"/>
      <c r="O22" s="629"/>
      <c r="P22" s="208"/>
      <c r="Q22" s="214"/>
      <c r="R22" s="597" t="s">
        <v>169</v>
      </c>
      <c r="S22" s="627" t="s">
        <v>10</v>
      </c>
      <c r="T22" s="628"/>
      <c r="U22" s="628"/>
      <c r="V22" s="628"/>
      <c r="W22" s="629"/>
      <c r="X22" s="214"/>
      <c r="Y22" s="214"/>
      <c r="Z22" s="597" t="s">
        <v>169</v>
      </c>
      <c r="AA22" s="627" t="s">
        <v>10</v>
      </c>
      <c r="AB22" s="628"/>
      <c r="AC22" s="628"/>
      <c r="AD22" s="628"/>
      <c r="AE22" s="629"/>
      <c r="AF22" s="214"/>
      <c r="AG22" s="214"/>
      <c r="AH22" s="597" t="s">
        <v>169</v>
      </c>
      <c r="AI22" s="627" t="s">
        <v>10</v>
      </c>
      <c r="AJ22" s="628"/>
      <c r="AK22" s="628"/>
      <c r="AL22" s="628"/>
      <c r="AM22" s="629"/>
      <c r="AN22" s="439" t="s">
        <v>129</v>
      </c>
    </row>
    <row r="23" spans="2:45" ht="30.75" customHeight="1" thickBot="1" x14ac:dyDescent="0.3">
      <c r="B23" s="249" t="s">
        <v>11</v>
      </c>
      <c r="C23" s="29">
        <v>0.04</v>
      </c>
      <c r="D23" s="161" t="s">
        <v>81</v>
      </c>
      <c r="E23" s="161" t="s">
        <v>89</v>
      </c>
      <c r="F23" s="161" t="s">
        <v>94</v>
      </c>
      <c r="G23" s="200"/>
      <c r="H23" t="e">
        <f>+E19*1.86</f>
        <v>#VALUE!</v>
      </c>
      <c r="J23" s="599"/>
      <c r="K23" s="219" t="s">
        <v>11</v>
      </c>
      <c r="L23" s="258">
        <v>0.04</v>
      </c>
      <c r="M23" s="177" t="s">
        <v>81</v>
      </c>
      <c r="N23" s="193" t="s">
        <v>108</v>
      </c>
      <c r="O23" s="193" t="s">
        <v>109</v>
      </c>
      <c r="P23" s="214"/>
      <c r="Q23" s="208"/>
      <c r="R23" s="599"/>
      <c r="S23" s="377" t="s">
        <v>11</v>
      </c>
      <c r="T23" s="258">
        <v>0.04</v>
      </c>
      <c r="U23" s="177" t="s">
        <v>81</v>
      </c>
      <c r="V23" s="193" t="s">
        <v>108</v>
      </c>
      <c r="W23" s="193" t="s">
        <v>109</v>
      </c>
      <c r="X23" s="208"/>
      <c r="Y23" s="208"/>
      <c r="Z23" s="599"/>
      <c r="AA23" s="244" t="s">
        <v>11</v>
      </c>
      <c r="AB23" s="258">
        <v>0.04</v>
      </c>
      <c r="AC23" s="177" t="s">
        <v>81</v>
      </c>
      <c r="AD23" s="193" t="s">
        <v>108</v>
      </c>
      <c r="AE23" s="193" t="s">
        <v>109</v>
      </c>
      <c r="AF23" s="208"/>
      <c r="AG23" s="208"/>
      <c r="AH23" s="599"/>
      <c r="AI23" s="244" t="s">
        <v>11</v>
      </c>
      <c r="AJ23" s="258">
        <v>0.04</v>
      </c>
      <c r="AK23" s="177" t="s">
        <v>81</v>
      </c>
      <c r="AL23" s="193" t="s">
        <v>108</v>
      </c>
      <c r="AM23" s="193" t="s">
        <v>109</v>
      </c>
      <c r="AN23" s="441" t="s">
        <v>124</v>
      </c>
    </row>
    <row r="24" spans="2:45" ht="35.25" customHeight="1" thickBot="1" x14ac:dyDescent="0.3">
      <c r="B24" s="249" t="s">
        <v>12</v>
      </c>
      <c r="C24" s="29">
        <v>0.06</v>
      </c>
      <c r="D24" s="162" t="s">
        <v>82</v>
      </c>
      <c r="E24" s="162" t="s">
        <v>88</v>
      </c>
      <c r="F24" s="162" t="s">
        <v>93</v>
      </c>
      <c r="G24" s="200"/>
      <c r="J24" s="599"/>
      <c r="K24" s="219" t="s">
        <v>12</v>
      </c>
      <c r="L24" s="258">
        <v>0.06</v>
      </c>
      <c r="M24" s="178" t="s">
        <v>82</v>
      </c>
      <c r="N24" s="185" t="s">
        <v>110</v>
      </c>
      <c r="O24" s="185" t="s">
        <v>114</v>
      </c>
      <c r="P24" s="214"/>
      <c r="Q24" s="208"/>
      <c r="R24" s="599"/>
      <c r="S24" s="377" t="s">
        <v>12</v>
      </c>
      <c r="T24" s="258">
        <v>0.06</v>
      </c>
      <c r="U24" s="178" t="s">
        <v>82</v>
      </c>
      <c r="V24" s="185" t="s">
        <v>110</v>
      </c>
      <c r="W24" s="185" t="s">
        <v>114</v>
      </c>
      <c r="X24" s="208"/>
      <c r="Y24" s="208"/>
      <c r="Z24" s="599"/>
      <c r="AA24" s="244" t="s">
        <v>12</v>
      </c>
      <c r="AB24" s="258">
        <v>0.06</v>
      </c>
      <c r="AC24" s="178" t="s">
        <v>82</v>
      </c>
      <c r="AD24" s="185" t="s">
        <v>110</v>
      </c>
      <c r="AE24" s="185" t="s">
        <v>114</v>
      </c>
      <c r="AF24" s="208"/>
      <c r="AG24" s="208"/>
      <c r="AH24" s="599"/>
      <c r="AI24" s="244" t="s">
        <v>12</v>
      </c>
      <c r="AJ24" s="258">
        <v>0.06</v>
      </c>
      <c r="AK24" s="178" t="s">
        <v>82</v>
      </c>
      <c r="AL24" s="185" t="s">
        <v>110</v>
      </c>
      <c r="AM24" s="185" t="s">
        <v>114</v>
      </c>
      <c r="AN24" s="442"/>
    </row>
    <row r="25" spans="2:45" ht="43.5" customHeight="1" x14ac:dyDescent="0.25">
      <c r="B25" s="249" t="s">
        <v>13</v>
      </c>
      <c r="C25" s="29">
        <v>0.05</v>
      </c>
      <c r="D25" s="162" t="s">
        <v>84</v>
      </c>
      <c r="E25" s="162" t="s">
        <v>87</v>
      </c>
      <c r="F25" s="162" t="s">
        <v>92</v>
      </c>
      <c r="G25" s="200"/>
      <c r="J25" s="599"/>
      <c r="K25" s="219" t="s">
        <v>13</v>
      </c>
      <c r="L25" s="258">
        <v>0.05</v>
      </c>
      <c r="M25" s="178" t="s">
        <v>233</v>
      </c>
      <c r="N25" s="185" t="s">
        <v>111</v>
      </c>
      <c r="O25" s="185" t="s">
        <v>115</v>
      </c>
      <c r="P25" s="215"/>
      <c r="Q25" s="208"/>
      <c r="R25" s="599"/>
      <c r="S25" s="377" t="s">
        <v>13</v>
      </c>
      <c r="T25" s="258">
        <v>0.05</v>
      </c>
      <c r="U25" s="178" t="s">
        <v>233</v>
      </c>
      <c r="V25" s="185" t="s">
        <v>111</v>
      </c>
      <c r="W25" s="185" t="s">
        <v>115</v>
      </c>
      <c r="X25" s="208"/>
      <c r="Y25" s="208"/>
      <c r="Z25" s="599"/>
      <c r="AA25" s="244" t="s">
        <v>13</v>
      </c>
      <c r="AB25" s="258">
        <v>0.05</v>
      </c>
      <c r="AC25" s="178" t="s">
        <v>233</v>
      </c>
      <c r="AD25" s="185" t="s">
        <v>111</v>
      </c>
      <c r="AE25" s="185" t="s">
        <v>115</v>
      </c>
      <c r="AF25" s="208"/>
      <c r="AG25" s="208"/>
      <c r="AH25" s="599"/>
      <c r="AI25" s="244" t="s">
        <v>13</v>
      </c>
      <c r="AJ25" s="258">
        <v>0.05</v>
      </c>
      <c r="AK25" s="178" t="s">
        <v>233</v>
      </c>
      <c r="AL25" s="178" t="s">
        <v>233</v>
      </c>
      <c r="AM25" s="178" t="s">
        <v>233</v>
      </c>
      <c r="AN25" s="443" t="s">
        <v>53</v>
      </c>
      <c r="AS25" s="435">
        <v>4</v>
      </c>
    </row>
    <row r="26" spans="2:45" ht="38.25" customHeight="1" thickBot="1" x14ac:dyDescent="0.3">
      <c r="B26" s="249" t="s">
        <v>14</v>
      </c>
      <c r="C26" s="29">
        <v>0.02</v>
      </c>
      <c r="D26" s="162" t="s">
        <v>83</v>
      </c>
      <c r="E26" s="162" t="s">
        <v>86</v>
      </c>
      <c r="F26" s="162" t="s">
        <v>91</v>
      </c>
      <c r="G26" s="200"/>
      <c r="J26" s="599"/>
      <c r="K26" s="219" t="s">
        <v>14</v>
      </c>
      <c r="L26" s="258">
        <v>0.02</v>
      </c>
      <c r="M26" s="178" t="s">
        <v>83</v>
      </c>
      <c r="N26" s="185" t="s">
        <v>112</v>
      </c>
      <c r="O26" s="185" t="s">
        <v>112</v>
      </c>
      <c r="P26" s="214"/>
      <c r="Q26" s="208"/>
      <c r="R26" s="599"/>
      <c r="S26" s="377" t="s">
        <v>14</v>
      </c>
      <c r="T26" s="258">
        <v>0.02</v>
      </c>
      <c r="U26" s="178" t="s">
        <v>83</v>
      </c>
      <c r="V26" s="185" t="s">
        <v>112</v>
      </c>
      <c r="W26" s="185" t="s">
        <v>112</v>
      </c>
      <c r="X26" s="208"/>
      <c r="Y26" s="208"/>
      <c r="Z26" s="599"/>
      <c r="AA26" s="244" t="s">
        <v>14</v>
      </c>
      <c r="AB26" s="258">
        <v>0.02</v>
      </c>
      <c r="AC26" s="178" t="s">
        <v>83</v>
      </c>
      <c r="AD26" s="185" t="s">
        <v>112</v>
      </c>
      <c r="AE26" s="185" t="s">
        <v>112</v>
      </c>
      <c r="AF26" s="208"/>
      <c r="AG26" s="208"/>
      <c r="AH26" s="599"/>
      <c r="AI26" s="244" t="s">
        <v>14</v>
      </c>
      <c r="AJ26" s="258">
        <v>0.02</v>
      </c>
      <c r="AK26" s="178" t="s">
        <v>83</v>
      </c>
      <c r="AL26" s="185" t="s">
        <v>112</v>
      </c>
      <c r="AM26" s="185" t="s">
        <v>112</v>
      </c>
      <c r="AN26" s="444" t="s">
        <v>125</v>
      </c>
    </row>
    <row r="27" spans="2:45" ht="36" customHeight="1" x14ac:dyDescent="0.25">
      <c r="B27" s="249" t="s">
        <v>37</v>
      </c>
      <c r="C27" s="29">
        <v>0.05</v>
      </c>
      <c r="D27" s="162" t="s">
        <v>84</v>
      </c>
      <c r="E27" s="162" t="s">
        <v>85</v>
      </c>
      <c r="F27" s="162" t="s">
        <v>90</v>
      </c>
      <c r="G27" s="200"/>
      <c r="J27" s="599"/>
      <c r="K27" s="219" t="s">
        <v>37</v>
      </c>
      <c r="L27" s="258">
        <v>0.05</v>
      </c>
      <c r="M27" s="178" t="s">
        <v>84</v>
      </c>
      <c r="N27" s="185" t="s">
        <v>113</v>
      </c>
      <c r="O27" s="185" t="s">
        <v>116</v>
      </c>
      <c r="P27" s="214"/>
      <c r="Q27" s="208"/>
      <c r="R27" s="599"/>
      <c r="S27" s="377" t="s">
        <v>37</v>
      </c>
      <c r="T27" s="258">
        <v>0.05</v>
      </c>
      <c r="U27" s="178" t="s">
        <v>84</v>
      </c>
      <c r="V27" s="185" t="s">
        <v>113</v>
      </c>
      <c r="W27" s="185" t="s">
        <v>116</v>
      </c>
      <c r="X27" s="208"/>
      <c r="Y27" s="208"/>
      <c r="Z27" s="599"/>
      <c r="AA27" s="244" t="s">
        <v>37</v>
      </c>
      <c r="AB27" s="258">
        <v>0.05</v>
      </c>
      <c r="AC27" s="178" t="s">
        <v>84</v>
      </c>
      <c r="AD27" s="185" t="s">
        <v>113</v>
      </c>
      <c r="AE27" s="185" t="s">
        <v>116</v>
      </c>
      <c r="AF27" s="208"/>
      <c r="AG27" s="208"/>
      <c r="AH27" s="599"/>
      <c r="AI27" s="244" t="s">
        <v>37</v>
      </c>
      <c r="AJ27" s="258">
        <v>0.05</v>
      </c>
      <c r="AK27" s="178" t="s">
        <v>84</v>
      </c>
      <c r="AL27" s="185" t="s">
        <v>113</v>
      </c>
      <c r="AM27" s="185" t="s">
        <v>116</v>
      </c>
      <c r="AN27" s="443" t="s">
        <v>128</v>
      </c>
    </row>
    <row r="28" spans="2:45" ht="51" customHeight="1" thickBot="1" x14ac:dyDescent="0.3">
      <c r="B28" s="249" t="s">
        <v>41</v>
      </c>
      <c r="C28" s="29"/>
      <c r="D28" s="163" t="s">
        <v>95</v>
      </c>
      <c r="E28" s="163" t="s">
        <v>96</v>
      </c>
      <c r="F28" s="163" t="s">
        <v>96</v>
      </c>
      <c r="G28" s="200"/>
      <c r="J28" s="599"/>
      <c r="K28" s="219" t="s">
        <v>41</v>
      </c>
      <c r="L28" s="175"/>
      <c r="M28" s="179" t="s">
        <v>95</v>
      </c>
      <c r="N28" s="185" t="s">
        <v>96</v>
      </c>
      <c r="O28" s="185" t="s">
        <v>96</v>
      </c>
      <c r="P28" s="214"/>
      <c r="Q28" s="208"/>
      <c r="R28" s="599"/>
      <c r="S28" s="377" t="s">
        <v>41</v>
      </c>
      <c r="T28" s="258"/>
      <c r="U28" s="179" t="s">
        <v>95</v>
      </c>
      <c r="V28" s="185" t="s">
        <v>96</v>
      </c>
      <c r="W28" s="185" t="s">
        <v>96</v>
      </c>
      <c r="X28" s="208"/>
      <c r="Y28" s="208"/>
      <c r="Z28" s="599"/>
      <c r="AA28" s="244" t="s">
        <v>41</v>
      </c>
      <c r="AB28" s="175"/>
      <c r="AC28" s="179" t="s">
        <v>95</v>
      </c>
      <c r="AD28" s="185" t="s">
        <v>96</v>
      </c>
      <c r="AE28" s="185" t="s">
        <v>96</v>
      </c>
      <c r="AF28" s="208"/>
      <c r="AG28" s="208"/>
      <c r="AH28" s="599"/>
      <c r="AI28" s="244" t="s">
        <v>41</v>
      </c>
      <c r="AJ28" s="258"/>
      <c r="AK28" s="179" t="s">
        <v>95</v>
      </c>
      <c r="AL28" s="185" t="s">
        <v>96</v>
      </c>
      <c r="AM28" s="185" t="s">
        <v>96</v>
      </c>
      <c r="AN28" s="445" t="s">
        <v>126</v>
      </c>
    </row>
    <row r="29" spans="2:45" ht="42" customHeight="1" thickBot="1" x14ac:dyDescent="0.3">
      <c r="B29" s="552"/>
      <c r="C29" s="549"/>
      <c r="D29" s="553"/>
      <c r="E29" s="553"/>
      <c r="F29" s="553"/>
      <c r="G29" s="200"/>
      <c r="J29" s="599"/>
      <c r="K29" s="555" t="s">
        <v>227</v>
      </c>
      <c r="L29" s="556" t="s">
        <v>228</v>
      </c>
      <c r="M29" s="554" t="s">
        <v>232</v>
      </c>
      <c r="N29" s="554" t="s">
        <v>232</v>
      </c>
      <c r="O29" s="553" t="s">
        <v>232</v>
      </c>
      <c r="P29" s="214"/>
      <c r="Q29" s="208"/>
      <c r="R29" s="599"/>
      <c r="S29" s="555" t="s">
        <v>227</v>
      </c>
      <c r="T29" s="556" t="s">
        <v>228</v>
      </c>
      <c r="U29" s="554" t="s">
        <v>232</v>
      </c>
      <c r="V29" s="554" t="s">
        <v>232</v>
      </c>
      <c r="W29" s="553" t="s">
        <v>232</v>
      </c>
      <c r="X29" s="208"/>
      <c r="Y29" s="208"/>
      <c r="Z29" s="599"/>
      <c r="AA29" s="555" t="s">
        <v>227</v>
      </c>
      <c r="AB29" s="556" t="s">
        <v>228</v>
      </c>
      <c r="AC29" s="554" t="s">
        <v>232</v>
      </c>
      <c r="AD29" s="554" t="s">
        <v>232</v>
      </c>
      <c r="AE29" s="553" t="s">
        <v>232</v>
      </c>
      <c r="AF29" s="208"/>
      <c r="AG29" s="208"/>
      <c r="AH29" s="599"/>
      <c r="AI29" s="555" t="s">
        <v>227</v>
      </c>
      <c r="AJ29" s="556" t="s">
        <v>228</v>
      </c>
      <c r="AK29" s="554" t="s">
        <v>232</v>
      </c>
      <c r="AL29" s="554" t="s">
        <v>232</v>
      </c>
      <c r="AM29" s="553" t="s">
        <v>232</v>
      </c>
      <c r="AN29" s="557"/>
    </row>
    <row r="30" spans="2:45" ht="66.75" customHeight="1" thickBot="1" x14ac:dyDescent="0.3">
      <c r="B30" s="250" t="s">
        <v>39</v>
      </c>
      <c r="C30" s="30"/>
      <c r="D30" s="164" t="s">
        <v>97</v>
      </c>
      <c r="E30" s="164" t="s">
        <v>98</v>
      </c>
      <c r="F30" s="164" t="s">
        <v>98</v>
      </c>
      <c r="G30" s="199"/>
      <c r="J30" s="598"/>
      <c r="K30" s="224" t="s">
        <v>39</v>
      </c>
      <c r="L30" s="173"/>
      <c r="M30" s="180" t="s">
        <v>97</v>
      </c>
      <c r="N30" s="164" t="s">
        <v>98</v>
      </c>
      <c r="O30" s="164" t="s">
        <v>98</v>
      </c>
      <c r="P30" s="214"/>
      <c r="Q30" s="214"/>
      <c r="R30" s="598"/>
      <c r="S30" s="378" t="s">
        <v>39</v>
      </c>
      <c r="T30" s="379"/>
      <c r="U30" s="180" t="s">
        <v>97</v>
      </c>
      <c r="V30" s="164" t="s">
        <v>98</v>
      </c>
      <c r="W30" s="164" t="s">
        <v>98</v>
      </c>
      <c r="X30" s="214"/>
      <c r="Y30" s="214"/>
      <c r="Z30" s="598"/>
      <c r="AA30" s="264" t="s">
        <v>39</v>
      </c>
      <c r="AB30" s="173"/>
      <c r="AC30" s="180" t="s">
        <v>97</v>
      </c>
      <c r="AD30" s="164" t="s">
        <v>98</v>
      </c>
      <c r="AE30" s="164" t="s">
        <v>98</v>
      </c>
      <c r="AF30" s="214"/>
      <c r="AG30" s="214"/>
      <c r="AH30" s="598"/>
      <c r="AI30" s="264" t="s">
        <v>39</v>
      </c>
      <c r="AJ30" s="379"/>
      <c r="AK30" s="180" t="s">
        <v>97</v>
      </c>
      <c r="AL30" s="164" t="s">
        <v>98</v>
      </c>
      <c r="AM30" s="164" t="s">
        <v>98</v>
      </c>
      <c r="AN30" s="446"/>
    </row>
    <row r="31" spans="2:45" ht="51.75" customHeight="1" x14ac:dyDescent="0.25">
      <c r="B31" s="533" t="s">
        <v>16</v>
      </c>
      <c r="C31" s="526"/>
      <c r="D31" s="534" t="s">
        <v>135</v>
      </c>
      <c r="E31" s="534" t="s">
        <v>136</v>
      </c>
      <c r="F31" s="534" t="s">
        <v>136</v>
      </c>
      <c r="G31" s="199"/>
      <c r="J31" s="597" t="s">
        <v>170</v>
      </c>
      <c r="K31" s="537" t="s">
        <v>156</v>
      </c>
      <c r="L31" s="538"/>
      <c r="M31" s="534" t="s">
        <v>135</v>
      </c>
      <c r="N31" s="534" t="s">
        <v>136</v>
      </c>
      <c r="O31" s="534" t="s">
        <v>136</v>
      </c>
      <c r="P31" s="214"/>
      <c r="Q31" s="214"/>
      <c r="R31" s="597" t="s">
        <v>170</v>
      </c>
      <c r="S31" s="541" t="s">
        <v>156</v>
      </c>
      <c r="T31" s="538"/>
      <c r="U31" s="534" t="s">
        <v>135</v>
      </c>
      <c r="V31" s="534" t="s">
        <v>136</v>
      </c>
      <c r="W31" s="534" t="s">
        <v>136</v>
      </c>
      <c r="X31" s="214"/>
      <c r="Y31" s="214"/>
      <c r="Z31" s="597" t="s">
        <v>170</v>
      </c>
      <c r="AA31" s="543" t="s">
        <v>156</v>
      </c>
      <c r="AB31" s="538"/>
      <c r="AC31" s="534" t="s">
        <v>135</v>
      </c>
      <c r="AD31" s="534" t="s">
        <v>136</v>
      </c>
      <c r="AE31" s="534" t="s">
        <v>136</v>
      </c>
      <c r="AF31" s="214"/>
      <c r="AG31" s="214"/>
      <c r="AH31" s="597" t="s">
        <v>170</v>
      </c>
      <c r="AI31" s="543" t="s">
        <v>156</v>
      </c>
      <c r="AJ31" s="545"/>
      <c r="AK31" s="534" t="s">
        <v>135</v>
      </c>
      <c r="AL31" s="534" t="s">
        <v>136</v>
      </c>
      <c r="AM31" s="534" t="s">
        <v>136</v>
      </c>
      <c r="AN31" s="447" t="s">
        <v>54</v>
      </c>
    </row>
    <row r="32" spans="2:45" ht="37.15" customHeight="1" thickBot="1" x14ac:dyDescent="0.3">
      <c r="B32" s="535" t="s">
        <v>34</v>
      </c>
      <c r="C32" s="530"/>
      <c r="D32" s="536" t="s">
        <v>99</v>
      </c>
      <c r="E32" s="536" t="s">
        <v>99</v>
      </c>
      <c r="F32" s="536" t="s">
        <v>99</v>
      </c>
      <c r="G32" s="201"/>
      <c r="J32" s="598"/>
      <c r="K32" s="539" t="s">
        <v>34</v>
      </c>
      <c r="L32" s="540"/>
      <c r="M32" s="536" t="s">
        <v>99</v>
      </c>
      <c r="N32" s="536" t="s">
        <v>99</v>
      </c>
      <c r="O32" s="536" t="s">
        <v>99</v>
      </c>
      <c r="P32" s="214"/>
      <c r="Q32" s="215"/>
      <c r="R32" s="598"/>
      <c r="S32" s="542" t="s">
        <v>34</v>
      </c>
      <c r="T32" s="540"/>
      <c r="U32" s="536" t="s">
        <v>99</v>
      </c>
      <c r="V32" s="536" t="s">
        <v>99</v>
      </c>
      <c r="W32" s="536" t="s">
        <v>99</v>
      </c>
      <c r="X32" s="215"/>
      <c r="Y32" s="215"/>
      <c r="Z32" s="598"/>
      <c r="AA32" s="544" t="s">
        <v>34</v>
      </c>
      <c r="AB32" s="540"/>
      <c r="AC32" s="536" t="s">
        <v>99</v>
      </c>
      <c r="AD32" s="536" t="s">
        <v>99</v>
      </c>
      <c r="AE32" s="536" t="s">
        <v>99</v>
      </c>
      <c r="AF32" s="215"/>
      <c r="AG32" s="215"/>
      <c r="AH32" s="598"/>
      <c r="AI32" s="544" t="s">
        <v>34</v>
      </c>
      <c r="AJ32" s="540"/>
      <c r="AK32" s="536" t="s">
        <v>99</v>
      </c>
      <c r="AL32" s="536" t="s">
        <v>99</v>
      </c>
      <c r="AM32" s="536" t="s">
        <v>99</v>
      </c>
      <c r="AN32" s="434" t="s">
        <v>127</v>
      </c>
    </row>
    <row r="33" spans="2:40" ht="18" customHeight="1" thickBot="1" x14ac:dyDescent="0.3">
      <c r="B33" s="604" t="s">
        <v>17</v>
      </c>
      <c r="C33" s="605"/>
      <c r="D33" s="605"/>
      <c r="E33" s="605"/>
      <c r="F33" s="606"/>
      <c r="G33" s="199"/>
      <c r="J33" s="597" t="s">
        <v>171</v>
      </c>
      <c r="K33" s="604" t="s">
        <v>17</v>
      </c>
      <c r="L33" s="605"/>
      <c r="M33" s="605"/>
      <c r="N33" s="605"/>
      <c r="O33" s="606"/>
      <c r="P33" s="214"/>
      <c r="Q33" s="214"/>
      <c r="R33" s="597" t="s">
        <v>171</v>
      </c>
      <c r="S33" s="604" t="s">
        <v>17</v>
      </c>
      <c r="T33" s="605"/>
      <c r="U33" s="605"/>
      <c r="V33" s="605"/>
      <c r="W33" s="606"/>
      <c r="X33" s="214"/>
      <c r="Y33" s="214"/>
      <c r="Z33" s="597" t="s">
        <v>171</v>
      </c>
      <c r="AA33" s="604" t="s">
        <v>17</v>
      </c>
      <c r="AB33" s="605"/>
      <c r="AC33" s="605"/>
      <c r="AD33" s="605"/>
      <c r="AE33" s="606"/>
      <c r="AF33" s="214"/>
      <c r="AG33" s="214"/>
      <c r="AH33" s="597" t="s">
        <v>171</v>
      </c>
      <c r="AI33" s="604" t="s">
        <v>17</v>
      </c>
      <c r="AJ33" s="605"/>
      <c r="AK33" s="605"/>
      <c r="AL33" s="605"/>
      <c r="AM33" s="606"/>
      <c r="AN33" s="448" t="s">
        <v>55</v>
      </c>
    </row>
    <row r="34" spans="2:40" ht="52.5" customHeight="1" thickBot="1" x14ac:dyDescent="0.3">
      <c r="B34" s="244" t="s">
        <v>18</v>
      </c>
      <c r="C34" s="34"/>
      <c r="D34" s="161" t="s">
        <v>100</v>
      </c>
      <c r="E34" s="161" t="s">
        <v>100</v>
      </c>
      <c r="F34" s="161" t="s">
        <v>100</v>
      </c>
      <c r="G34" s="199"/>
      <c r="J34" s="599"/>
      <c r="K34" s="220" t="s">
        <v>18</v>
      </c>
      <c r="L34" s="438"/>
      <c r="M34" s="194" t="s">
        <v>117</v>
      </c>
      <c r="N34" s="194" t="s">
        <v>117</v>
      </c>
      <c r="O34" s="194" t="s">
        <v>117</v>
      </c>
      <c r="P34" s="214"/>
      <c r="Q34" s="214"/>
      <c r="R34" s="599"/>
      <c r="S34" s="377" t="s">
        <v>18</v>
      </c>
      <c r="T34" s="438"/>
      <c r="U34" s="194" t="s">
        <v>117</v>
      </c>
      <c r="V34" s="194" t="s">
        <v>117</v>
      </c>
      <c r="W34" s="194" t="s">
        <v>117</v>
      </c>
      <c r="X34" s="214"/>
      <c r="Y34" s="214"/>
      <c r="Z34" s="599"/>
      <c r="AA34" s="244" t="s">
        <v>18</v>
      </c>
      <c r="AB34" s="438"/>
      <c r="AC34" s="194" t="s">
        <v>117</v>
      </c>
      <c r="AD34" s="194" t="s">
        <v>117</v>
      </c>
      <c r="AE34" s="194" t="s">
        <v>117</v>
      </c>
      <c r="AF34" s="214"/>
      <c r="AG34" s="214"/>
      <c r="AH34" s="599"/>
      <c r="AI34" s="244" t="s">
        <v>18</v>
      </c>
      <c r="AJ34" s="438"/>
      <c r="AK34" s="194" t="s">
        <v>117</v>
      </c>
      <c r="AL34" s="394" t="s">
        <v>122</v>
      </c>
      <c r="AM34" s="394" t="s">
        <v>122</v>
      </c>
      <c r="AN34" s="394" t="s">
        <v>130</v>
      </c>
    </row>
    <row r="35" spans="2:40" ht="18" customHeight="1" thickBot="1" x14ac:dyDescent="0.3">
      <c r="B35" s="251" t="s">
        <v>19</v>
      </c>
      <c r="C35" s="35"/>
      <c r="D35" s="165" t="s">
        <v>101</v>
      </c>
      <c r="E35" s="165" t="s">
        <v>101</v>
      </c>
      <c r="F35" s="165" t="s">
        <v>101</v>
      </c>
      <c r="G35" s="199"/>
      <c r="J35" s="598"/>
      <c r="K35" s="221" t="s">
        <v>19</v>
      </c>
      <c r="L35" s="437"/>
      <c r="M35" s="165" t="s">
        <v>101</v>
      </c>
      <c r="N35" s="165" t="s">
        <v>101</v>
      </c>
      <c r="O35" s="165" t="s">
        <v>101</v>
      </c>
      <c r="P35" s="214"/>
      <c r="Q35" s="214"/>
      <c r="R35" s="598"/>
      <c r="S35" s="380" t="s">
        <v>19</v>
      </c>
      <c r="T35" s="437"/>
      <c r="U35" s="165" t="s">
        <v>101</v>
      </c>
      <c r="V35" s="165" t="s">
        <v>101</v>
      </c>
      <c r="W35" s="165" t="s">
        <v>101</v>
      </c>
      <c r="X35" s="214"/>
      <c r="Y35" s="214"/>
      <c r="Z35" s="598"/>
      <c r="AA35" s="251" t="s">
        <v>19</v>
      </c>
      <c r="AB35" s="437"/>
      <c r="AC35" s="165" t="s">
        <v>101</v>
      </c>
      <c r="AD35" s="165" t="s">
        <v>101</v>
      </c>
      <c r="AE35" s="165" t="s">
        <v>101</v>
      </c>
      <c r="AF35" s="214"/>
      <c r="AG35" s="214"/>
      <c r="AH35" s="598"/>
      <c r="AI35" s="251" t="s">
        <v>19</v>
      </c>
      <c r="AJ35" s="437"/>
      <c r="AK35" s="195" t="s">
        <v>101</v>
      </c>
      <c r="AL35" s="393" t="s">
        <v>101</v>
      </c>
      <c r="AM35" s="393" t="s">
        <v>101</v>
      </c>
      <c r="AN35" s="214"/>
    </row>
    <row r="36" spans="2:40" ht="19.149999999999999" customHeight="1" thickBot="1" x14ac:dyDescent="0.3">
      <c r="B36" s="630" t="s">
        <v>20</v>
      </c>
      <c r="C36" s="631"/>
      <c r="D36" s="605"/>
      <c r="E36" s="605"/>
      <c r="F36" s="606"/>
      <c r="G36" s="199"/>
      <c r="J36" s="597" t="s">
        <v>172</v>
      </c>
      <c r="K36" s="630" t="s">
        <v>20</v>
      </c>
      <c r="L36" s="631"/>
      <c r="M36" s="605"/>
      <c r="N36" s="605"/>
      <c r="O36" s="606"/>
      <c r="P36" s="214"/>
      <c r="Q36" s="214"/>
      <c r="R36" s="597" t="s">
        <v>172</v>
      </c>
      <c r="S36" s="630" t="s">
        <v>20</v>
      </c>
      <c r="T36" s="631"/>
      <c r="U36" s="605"/>
      <c r="V36" s="605"/>
      <c r="W36" s="606"/>
      <c r="X36" s="214"/>
      <c r="Y36" s="214"/>
      <c r="Z36" s="597" t="s">
        <v>172</v>
      </c>
      <c r="AA36" s="630" t="s">
        <v>20</v>
      </c>
      <c r="AB36" s="631"/>
      <c r="AC36" s="605"/>
      <c r="AD36" s="605"/>
      <c r="AE36" s="606"/>
      <c r="AF36" s="214"/>
      <c r="AG36" s="214"/>
      <c r="AH36" s="597" t="s">
        <v>172</v>
      </c>
      <c r="AI36" s="630" t="s">
        <v>20</v>
      </c>
      <c r="AJ36" s="631"/>
      <c r="AK36" s="605"/>
      <c r="AL36" s="605"/>
      <c r="AM36" s="606"/>
      <c r="AN36" s="214"/>
    </row>
    <row r="37" spans="2:40" ht="23.25" customHeight="1" x14ac:dyDescent="0.25">
      <c r="B37" s="9" t="s">
        <v>21</v>
      </c>
      <c r="C37" s="37"/>
      <c r="D37" s="161" t="s">
        <v>102</v>
      </c>
      <c r="E37" s="161" t="s">
        <v>103</v>
      </c>
      <c r="F37" s="161" t="s">
        <v>103</v>
      </c>
      <c r="G37" s="199"/>
      <c r="J37" s="599"/>
      <c r="K37" s="219" t="s">
        <v>21</v>
      </c>
      <c r="L37" s="438"/>
      <c r="M37" s="161" t="s">
        <v>102</v>
      </c>
      <c r="N37" s="161" t="s">
        <v>103</v>
      </c>
      <c r="O37" s="161" t="s">
        <v>103</v>
      </c>
      <c r="Q37" s="214"/>
      <c r="R37" s="599"/>
      <c r="S37" s="377" t="s">
        <v>21</v>
      </c>
      <c r="T37" s="438"/>
      <c r="U37" s="161" t="s">
        <v>102</v>
      </c>
      <c r="V37" s="161" t="s">
        <v>103</v>
      </c>
      <c r="W37" s="161" t="s">
        <v>103</v>
      </c>
      <c r="X37" s="214"/>
      <c r="Y37" s="214"/>
      <c r="Z37" s="599"/>
      <c r="AA37" s="244" t="s">
        <v>21</v>
      </c>
      <c r="AB37" s="438"/>
      <c r="AC37" s="161" t="s">
        <v>102</v>
      </c>
      <c r="AD37" s="161" t="s">
        <v>103</v>
      </c>
      <c r="AE37" s="161" t="s">
        <v>103</v>
      </c>
      <c r="AF37" s="214"/>
      <c r="AG37" s="214"/>
      <c r="AH37" s="599"/>
      <c r="AI37" s="244" t="s">
        <v>21</v>
      </c>
      <c r="AJ37" s="438"/>
      <c r="AK37" s="161" t="s">
        <v>102</v>
      </c>
      <c r="AL37" s="161" t="s">
        <v>103</v>
      </c>
      <c r="AM37" s="161" t="s">
        <v>103</v>
      </c>
      <c r="AN37" s="214"/>
    </row>
    <row r="38" spans="2:40" ht="25.5" customHeight="1" x14ac:dyDescent="0.25">
      <c r="B38" s="9" t="s">
        <v>35</v>
      </c>
      <c r="C38" s="66"/>
      <c r="D38" s="162" t="s">
        <v>104</v>
      </c>
      <c r="E38" s="162" t="s">
        <v>104</v>
      </c>
      <c r="F38" s="162" t="s">
        <v>104</v>
      </c>
      <c r="G38" s="199"/>
      <c r="J38" s="599"/>
      <c r="K38" s="219" t="s">
        <v>35</v>
      </c>
      <c r="L38" s="92"/>
      <c r="M38" s="162" t="s">
        <v>104</v>
      </c>
      <c r="N38" s="162" t="s">
        <v>104</v>
      </c>
      <c r="O38" s="162" t="s">
        <v>104</v>
      </c>
      <c r="Q38" s="214"/>
      <c r="R38" s="599"/>
      <c r="S38" s="377" t="s">
        <v>35</v>
      </c>
      <c r="T38" s="92"/>
      <c r="U38" s="162" t="s">
        <v>104</v>
      </c>
      <c r="V38" s="162" t="s">
        <v>104</v>
      </c>
      <c r="W38" s="162" t="s">
        <v>104</v>
      </c>
      <c r="X38" s="214"/>
      <c r="Y38" s="214"/>
      <c r="Z38" s="599"/>
      <c r="AA38" s="244" t="s">
        <v>35</v>
      </c>
      <c r="AB38" s="92"/>
      <c r="AC38" s="162" t="s">
        <v>104</v>
      </c>
      <c r="AD38" s="162" t="s">
        <v>104</v>
      </c>
      <c r="AE38" s="162" t="s">
        <v>104</v>
      </c>
      <c r="AF38" s="214"/>
      <c r="AG38" s="214"/>
      <c r="AH38" s="599"/>
      <c r="AI38" s="244" t="s">
        <v>35</v>
      </c>
      <c r="AJ38" s="92"/>
      <c r="AK38" s="162" t="s">
        <v>104</v>
      </c>
      <c r="AL38" s="162" t="s">
        <v>104</v>
      </c>
      <c r="AM38" s="162" t="s">
        <v>104</v>
      </c>
      <c r="AN38" s="214"/>
    </row>
    <row r="39" spans="2:40" ht="52.5" customHeight="1" x14ac:dyDescent="0.25">
      <c r="B39" s="9" t="s">
        <v>27</v>
      </c>
      <c r="C39" s="37"/>
      <c r="D39" s="163" t="s">
        <v>105</v>
      </c>
      <c r="E39" s="163" t="s">
        <v>105</v>
      </c>
      <c r="F39" s="163" t="s">
        <v>105</v>
      </c>
      <c r="G39" s="199"/>
      <c r="J39" s="599"/>
      <c r="K39" s="219" t="s">
        <v>27</v>
      </c>
      <c r="L39" s="438"/>
      <c r="M39" s="163" t="s">
        <v>105</v>
      </c>
      <c r="N39" s="163" t="s">
        <v>105</v>
      </c>
      <c r="O39" s="163" t="s">
        <v>105</v>
      </c>
      <c r="P39"/>
      <c r="Q39" s="214"/>
      <c r="R39" s="599"/>
      <c r="S39" s="377" t="s">
        <v>27</v>
      </c>
      <c r="T39" s="438"/>
      <c r="U39" s="163" t="s">
        <v>105</v>
      </c>
      <c r="V39" s="163" t="s">
        <v>105</v>
      </c>
      <c r="W39" s="163" t="s">
        <v>105</v>
      </c>
      <c r="X39" s="214"/>
      <c r="Y39" s="214"/>
      <c r="Z39" s="599"/>
      <c r="AA39" s="244" t="s">
        <v>27</v>
      </c>
      <c r="AB39" s="438"/>
      <c r="AC39" s="163" t="s">
        <v>105</v>
      </c>
      <c r="AD39" s="163" t="s">
        <v>105</v>
      </c>
      <c r="AE39" s="163" t="s">
        <v>105</v>
      </c>
      <c r="AF39" s="214"/>
      <c r="AG39" s="214"/>
      <c r="AH39" s="599"/>
      <c r="AI39" s="244" t="s">
        <v>27</v>
      </c>
      <c r="AJ39" s="438"/>
      <c r="AK39" s="163" t="s">
        <v>105</v>
      </c>
      <c r="AL39" s="163" t="s">
        <v>105</v>
      </c>
      <c r="AM39" s="163" t="s">
        <v>105</v>
      </c>
      <c r="AN39" s="214"/>
    </row>
    <row r="40" spans="2:40" ht="53.25" customHeight="1" thickBot="1" x14ac:dyDescent="0.3">
      <c r="B40" s="15" t="s">
        <v>22</v>
      </c>
      <c r="C40" s="63"/>
      <c r="D40" s="166" t="s">
        <v>106</v>
      </c>
      <c r="E40" s="166" t="s">
        <v>106</v>
      </c>
      <c r="F40" s="166" t="s">
        <v>106</v>
      </c>
      <c r="G40" s="199"/>
      <c r="J40" s="598"/>
      <c r="K40" s="225" t="s">
        <v>22</v>
      </c>
      <c r="L40" s="181"/>
      <c r="M40" s="182" t="s">
        <v>106</v>
      </c>
      <c r="N40" s="182" t="s">
        <v>106</v>
      </c>
      <c r="O40" s="182" t="s">
        <v>106</v>
      </c>
      <c r="Q40" s="214"/>
      <c r="R40" s="598"/>
      <c r="S40" s="381" t="s">
        <v>22</v>
      </c>
      <c r="T40" s="181"/>
      <c r="U40" s="182" t="s">
        <v>106</v>
      </c>
      <c r="V40" s="182" t="s">
        <v>106</v>
      </c>
      <c r="W40" s="182" t="s">
        <v>106</v>
      </c>
      <c r="X40" s="214"/>
      <c r="Y40" s="214"/>
      <c r="Z40" s="598"/>
      <c r="AA40" s="265" t="s">
        <v>22</v>
      </c>
      <c r="AB40" s="181"/>
      <c r="AC40" s="182" t="s">
        <v>106</v>
      </c>
      <c r="AD40" s="182" t="s">
        <v>106</v>
      </c>
      <c r="AE40" s="182" t="s">
        <v>106</v>
      </c>
      <c r="AF40" s="214"/>
      <c r="AG40" s="214"/>
      <c r="AH40" s="598"/>
      <c r="AI40" s="265" t="s">
        <v>22</v>
      </c>
      <c r="AJ40" s="181"/>
      <c r="AK40" s="182" t="s">
        <v>106</v>
      </c>
      <c r="AL40" s="182" t="s">
        <v>106</v>
      </c>
      <c r="AM40" s="182" t="s">
        <v>106</v>
      </c>
      <c r="AN40" s="214"/>
    </row>
    <row r="41" spans="2:40" ht="61.5" customHeight="1" thickBot="1" x14ac:dyDescent="0.3">
      <c r="B41" s="207" t="s">
        <v>36</v>
      </c>
      <c r="C41" s="123"/>
      <c r="D41" s="167" t="s">
        <v>137</v>
      </c>
      <c r="E41" s="167" t="s">
        <v>137</v>
      </c>
      <c r="F41" s="167" t="s">
        <v>137</v>
      </c>
      <c r="G41" s="199"/>
      <c r="J41" s="597" t="s">
        <v>173</v>
      </c>
      <c r="K41" s="226" t="s">
        <v>36</v>
      </c>
      <c r="L41" s="184"/>
      <c r="M41" s="167" t="s">
        <v>137</v>
      </c>
      <c r="N41" s="167" t="s">
        <v>137</v>
      </c>
      <c r="O41" s="167" t="s">
        <v>137</v>
      </c>
      <c r="Q41" s="214"/>
      <c r="R41" s="597" t="s">
        <v>173</v>
      </c>
      <c r="S41" s="183" t="s">
        <v>36</v>
      </c>
      <c r="T41" s="184"/>
      <c r="U41" s="167" t="s">
        <v>137</v>
      </c>
      <c r="V41" s="167" t="s">
        <v>137</v>
      </c>
      <c r="W41" s="167" t="s">
        <v>137</v>
      </c>
      <c r="X41" s="214"/>
      <c r="Y41" s="214"/>
      <c r="Z41" s="597" t="s">
        <v>173</v>
      </c>
      <c r="AA41" s="183" t="s">
        <v>36</v>
      </c>
      <c r="AB41" s="184"/>
      <c r="AC41" s="167" t="s">
        <v>137</v>
      </c>
      <c r="AD41" s="167" t="s">
        <v>137</v>
      </c>
      <c r="AE41" s="167" t="s">
        <v>137</v>
      </c>
      <c r="AF41" s="214"/>
      <c r="AG41" s="214"/>
      <c r="AH41" s="597" t="s">
        <v>173</v>
      </c>
      <c r="AI41" s="183" t="s">
        <v>36</v>
      </c>
      <c r="AJ41" s="184"/>
      <c r="AK41" s="167" t="s">
        <v>137</v>
      </c>
      <c r="AL41" s="167" t="s">
        <v>137</v>
      </c>
      <c r="AM41" s="167" t="s">
        <v>137</v>
      </c>
      <c r="AN41" s="214"/>
    </row>
    <row r="42" spans="2:40" ht="19.5" customHeight="1" thickBot="1" x14ac:dyDescent="0.35">
      <c r="B42" s="11" t="s">
        <v>140</v>
      </c>
      <c r="C42" s="38"/>
      <c r="D42" s="168" t="s">
        <v>131</v>
      </c>
      <c r="E42" s="168" t="s">
        <v>131</v>
      </c>
      <c r="F42" s="168" t="s">
        <v>131</v>
      </c>
      <c r="G42" s="199"/>
      <c r="J42" s="598"/>
      <c r="K42" s="11" t="s">
        <v>139</v>
      </c>
      <c r="L42" s="176"/>
      <c r="M42" s="168" t="s">
        <v>131</v>
      </c>
      <c r="N42" s="168" t="s">
        <v>131</v>
      </c>
      <c r="O42" s="168" t="s">
        <v>131</v>
      </c>
      <c r="Q42" s="214"/>
      <c r="R42" s="598"/>
      <c r="S42" s="11" t="s">
        <v>158</v>
      </c>
      <c r="T42" s="176"/>
      <c r="U42" s="168" t="s">
        <v>131</v>
      </c>
      <c r="V42" s="168" t="s">
        <v>131</v>
      </c>
      <c r="W42" s="168" t="s">
        <v>131</v>
      </c>
      <c r="X42" s="214"/>
      <c r="Y42" s="214"/>
      <c r="Z42" s="598"/>
      <c r="AA42" s="11" t="s">
        <v>139</v>
      </c>
      <c r="AB42" s="176"/>
      <c r="AC42" s="168" t="s">
        <v>131</v>
      </c>
      <c r="AD42" s="168" t="s">
        <v>131</v>
      </c>
      <c r="AE42" s="168" t="s">
        <v>131</v>
      </c>
      <c r="AF42" s="214"/>
      <c r="AG42" s="214"/>
      <c r="AH42" s="598"/>
      <c r="AI42" s="11" t="s">
        <v>138</v>
      </c>
      <c r="AJ42" s="176"/>
      <c r="AK42" s="168" t="s">
        <v>131</v>
      </c>
      <c r="AL42" s="168" t="s">
        <v>131</v>
      </c>
      <c r="AM42" s="168" t="s">
        <v>131</v>
      </c>
      <c r="AN42" s="214"/>
    </row>
    <row r="43" spans="2:40" ht="31.5" x14ac:dyDescent="0.25">
      <c r="J43" s="600"/>
      <c r="K43" s="600"/>
      <c r="L43" s="600"/>
      <c r="M43" s="600"/>
      <c r="N43" s="600"/>
      <c r="O43" s="600"/>
      <c r="R43" s="56"/>
      <c r="Z43" s="600"/>
      <c r="AA43" s="600"/>
      <c r="AB43" s="600"/>
      <c r="AC43" s="600"/>
      <c r="AD43" s="600"/>
      <c r="AE43" s="600"/>
      <c r="AF43" s="203"/>
      <c r="AG43" s="203"/>
      <c r="AN43" s="56"/>
    </row>
    <row r="44" spans="2:40" ht="15.75" thickBot="1" x14ac:dyDescent="0.3">
      <c r="J44" s="590" t="s">
        <v>194</v>
      </c>
      <c r="K44" s="590"/>
      <c r="L44" s="590"/>
      <c r="M44" s="590"/>
      <c r="N44" s="590"/>
      <c r="O44" s="590"/>
      <c r="R44" s="590" t="s">
        <v>194</v>
      </c>
      <c r="S44" s="590"/>
      <c r="T44" s="590"/>
      <c r="U44" s="590"/>
      <c r="V44" s="590"/>
      <c r="W44" s="590"/>
      <c r="Z44" s="590" t="s">
        <v>194</v>
      </c>
      <c r="AA44" s="590"/>
      <c r="AB44" s="590"/>
      <c r="AC44" s="590"/>
      <c r="AD44" s="590"/>
      <c r="AE44" s="590"/>
      <c r="AH44" s="590" t="s">
        <v>194</v>
      </c>
      <c r="AI44" s="590"/>
      <c r="AJ44" s="590"/>
      <c r="AK44" s="590"/>
      <c r="AL44" s="590"/>
      <c r="AM44" s="590"/>
    </row>
    <row r="45" spans="2:40" ht="39.75" customHeight="1" thickBot="1" x14ac:dyDescent="0.3">
      <c r="J45" s="436"/>
      <c r="K45" s="436"/>
      <c r="L45" s="436"/>
      <c r="M45" s="436"/>
      <c r="N45" s="436"/>
      <c r="O45" s="436"/>
      <c r="R45" s="372" t="s">
        <v>186</v>
      </c>
      <c r="S45" s="587" t="s">
        <v>196</v>
      </c>
      <c r="T45" s="588"/>
      <c r="U45" s="588"/>
      <c r="V45" s="588"/>
      <c r="W45" s="589"/>
      <c r="Z45" s="372" t="s">
        <v>186</v>
      </c>
      <c r="AA45" s="587" t="s">
        <v>203</v>
      </c>
      <c r="AB45" s="588"/>
      <c r="AC45" s="588"/>
      <c r="AD45" s="588"/>
      <c r="AE45" s="589"/>
      <c r="AH45" s="432"/>
      <c r="AI45" s="587" t="s">
        <v>212</v>
      </c>
      <c r="AJ45" s="588"/>
      <c r="AK45" s="588"/>
      <c r="AL45" s="588"/>
      <c r="AM45" s="589"/>
    </row>
    <row r="46" spans="2:40" ht="65.25" customHeight="1" thickBot="1" x14ac:dyDescent="0.3">
      <c r="G46" s="56"/>
      <c r="J46" s="310" t="s">
        <v>187</v>
      </c>
      <c r="K46" s="591" t="s">
        <v>195</v>
      </c>
      <c r="L46" s="592"/>
      <c r="M46" s="592"/>
      <c r="N46" s="592"/>
      <c r="O46" s="593"/>
      <c r="Q46"/>
      <c r="R46" s="310" t="s">
        <v>187</v>
      </c>
      <c r="S46" s="591" t="s">
        <v>195</v>
      </c>
      <c r="T46" s="592"/>
      <c r="U46" s="592"/>
      <c r="V46" s="592"/>
      <c r="W46" s="593"/>
      <c r="X46"/>
      <c r="Y46"/>
      <c r="Z46" s="310" t="s">
        <v>187</v>
      </c>
      <c r="AA46" s="591" t="s">
        <v>195</v>
      </c>
      <c r="AB46" s="592"/>
      <c r="AC46" s="592"/>
      <c r="AD46" s="592"/>
      <c r="AE46" s="593"/>
      <c r="AF46"/>
      <c r="AG46"/>
      <c r="AH46" s="310" t="s">
        <v>187</v>
      </c>
      <c r="AI46" s="591" t="s">
        <v>195</v>
      </c>
      <c r="AJ46" s="592"/>
      <c r="AK46" s="592"/>
      <c r="AL46" s="592"/>
      <c r="AM46" s="593"/>
    </row>
    <row r="47" spans="2:40" ht="18" customHeight="1" thickBot="1" x14ac:dyDescent="0.3">
      <c r="J47" s="326" t="s">
        <v>186</v>
      </c>
      <c r="K47" s="587" t="s">
        <v>196</v>
      </c>
      <c r="L47" s="588"/>
      <c r="M47" s="588"/>
      <c r="N47" s="588"/>
      <c r="O47" s="589"/>
      <c r="R47" s="386"/>
      <c r="S47" s="594" t="s">
        <v>209</v>
      </c>
      <c r="T47" s="595"/>
      <c r="U47" s="595"/>
      <c r="V47" s="595"/>
      <c r="W47" s="596"/>
      <c r="Z47" s="368"/>
      <c r="AA47" s="587" t="s">
        <v>205</v>
      </c>
      <c r="AB47" s="588"/>
      <c r="AC47" s="588"/>
      <c r="AD47" s="588"/>
      <c r="AE47" s="589"/>
      <c r="AH47" s="389"/>
      <c r="AI47" s="594" t="s">
        <v>213</v>
      </c>
      <c r="AJ47" s="595"/>
      <c r="AK47" s="595"/>
      <c r="AL47" s="595"/>
      <c r="AM47" s="596"/>
    </row>
    <row r="48" spans="2:40" ht="24" customHeight="1" thickBot="1" x14ac:dyDescent="0.3">
      <c r="J48" s="329" t="s">
        <v>192</v>
      </c>
      <c r="K48" s="587" t="s">
        <v>197</v>
      </c>
      <c r="L48" s="588"/>
      <c r="M48" s="588"/>
      <c r="N48" s="588"/>
      <c r="O48" s="589"/>
      <c r="R48" s="371" t="s">
        <v>192</v>
      </c>
      <c r="S48" s="587" t="s">
        <v>222</v>
      </c>
      <c r="T48" s="588"/>
      <c r="U48" s="588"/>
      <c r="V48" s="588"/>
      <c r="W48" s="589"/>
      <c r="Z48" s="371" t="s">
        <v>192</v>
      </c>
      <c r="AA48" s="587" t="s">
        <v>222</v>
      </c>
      <c r="AB48" s="588"/>
      <c r="AC48" s="588"/>
      <c r="AD48" s="588"/>
      <c r="AE48" s="589"/>
      <c r="AH48" s="419"/>
      <c r="AI48" s="587" t="s">
        <v>214</v>
      </c>
      <c r="AJ48" s="588"/>
      <c r="AK48" s="588"/>
      <c r="AL48" s="588"/>
      <c r="AM48" s="589"/>
    </row>
    <row r="49" spans="18:39" ht="20.25" customHeight="1" thickBot="1" x14ac:dyDescent="0.3">
      <c r="R49" s="369" t="s">
        <v>202</v>
      </c>
      <c r="S49" s="632" t="s">
        <v>223</v>
      </c>
      <c r="T49" s="633"/>
      <c r="U49" s="633"/>
      <c r="V49" s="633"/>
      <c r="W49" s="634"/>
      <c r="Z49" s="369" t="s">
        <v>202</v>
      </c>
      <c r="AA49" s="632" t="s">
        <v>223</v>
      </c>
      <c r="AB49" s="633"/>
      <c r="AC49" s="633"/>
      <c r="AD49" s="633"/>
      <c r="AE49" s="634"/>
      <c r="AH49" s="391"/>
      <c r="AI49" s="587" t="s">
        <v>215</v>
      </c>
      <c r="AJ49" s="588"/>
      <c r="AK49" s="588"/>
      <c r="AL49" s="588"/>
      <c r="AM49" s="589"/>
    </row>
    <row r="50" spans="18:39" ht="34.5" customHeight="1" thickBot="1" x14ac:dyDescent="0.3">
      <c r="AH50" s="392"/>
      <c r="AI50" s="587" t="s">
        <v>216</v>
      </c>
      <c r="AJ50" s="588"/>
      <c r="AK50" s="588"/>
      <c r="AL50" s="588"/>
      <c r="AM50" s="589"/>
    </row>
    <row r="51" spans="18:39" ht="51" customHeight="1" thickBot="1" x14ac:dyDescent="0.3">
      <c r="AH51" s="368"/>
      <c r="AI51" s="587" t="s">
        <v>205</v>
      </c>
      <c r="AJ51" s="588"/>
      <c r="AK51" s="588"/>
      <c r="AL51" s="588"/>
      <c r="AM51" s="589"/>
    </row>
  </sheetData>
  <mergeCells count="94">
    <mergeCell ref="T5:W5"/>
    <mergeCell ref="AB5:AE5"/>
    <mergeCell ref="AJ5:AM5"/>
    <mergeCell ref="B6:C7"/>
    <mergeCell ref="B3:F3"/>
    <mergeCell ref="K3:O3"/>
    <mergeCell ref="S3:W3"/>
    <mergeCell ref="AA3:AE3"/>
    <mergeCell ref="AI3:AM3"/>
    <mergeCell ref="C4:F4"/>
    <mergeCell ref="J4:J17"/>
    <mergeCell ref="L4:O4"/>
    <mergeCell ref="R4:R17"/>
    <mergeCell ref="T4:W4"/>
    <mergeCell ref="K6:L7"/>
    <mergeCell ref="S6:T7"/>
    <mergeCell ref="AA6:AB7"/>
    <mergeCell ref="AI6:AJ7"/>
    <mergeCell ref="B18:F18"/>
    <mergeCell ref="J18:J20"/>
    <mergeCell ref="K18:O18"/>
    <mergeCell ref="R18:R20"/>
    <mergeCell ref="S18:W18"/>
    <mergeCell ref="Z18:Z20"/>
    <mergeCell ref="Z4:Z17"/>
    <mergeCell ref="AB4:AE4"/>
    <mergeCell ref="AH4:AH17"/>
    <mergeCell ref="AJ4:AM4"/>
    <mergeCell ref="C5:F5"/>
    <mergeCell ref="L5:O5"/>
    <mergeCell ref="AA18:AE18"/>
    <mergeCell ref="AH18:AH20"/>
    <mergeCell ref="AI18:AM18"/>
    <mergeCell ref="B22:F22"/>
    <mergeCell ref="J22:J30"/>
    <mergeCell ref="K22:O22"/>
    <mergeCell ref="R22:R30"/>
    <mergeCell ref="S22:W22"/>
    <mergeCell ref="Z22:Z30"/>
    <mergeCell ref="AA22:AE22"/>
    <mergeCell ref="AH22:AH30"/>
    <mergeCell ref="AI22:AM22"/>
    <mergeCell ref="J31:J32"/>
    <mergeCell ref="R31:R32"/>
    <mergeCell ref="Z31:Z32"/>
    <mergeCell ref="AH31:AH32"/>
    <mergeCell ref="AA33:AE33"/>
    <mergeCell ref="AH33:AH35"/>
    <mergeCell ref="AI33:AM33"/>
    <mergeCell ref="B36:F36"/>
    <mergeCell ref="J36:J40"/>
    <mergeCell ref="K36:O36"/>
    <mergeCell ref="R36:R40"/>
    <mergeCell ref="S36:W36"/>
    <mergeCell ref="Z36:Z40"/>
    <mergeCell ref="AA36:AE36"/>
    <mergeCell ref="B33:F33"/>
    <mergeCell ref="J33:J35"/>
    <mergeCell ref="K33:O33"/>
    <mergeCell ref="R33:R35"/>
    <mergeCell ref="S33:W33"/>
    <mergeCell ref="Z33:Z35"/>
    <mergeCell ref="AH44:AM44"/>
    <mergeCell ref="AH36:AH40"/>
    <mergeCell ref="AI36:AM36"/>
    <mergeCell ref="J41:J42"/>
    <mergeCell ref="R41:R42"/>
    <mergeCell ref="Z41:Z42"/>
    <mergeCell ref="AH41:AH42"/>
    <mergeCell ref="J43:O43"/>
    <mergeCell ref="Z43:AE43"/>
    <mergeCell ref="J44:O44"/>
    <mergeCell ref="R44:W44"/>
    <mergeCell ref="Z44:AE44"/>
    <mergeCell ref="K48:O48"/>
    <mergeCell ref="S48:W48"/>
    <mergeCell ref="AA48:AE48"/>
    <mergeCell ref="AI48:AM48"/>
    <mergeCell ref="S45:W45"/>
    <mergeCell ref="AA45:AE45"/>
    <mergeCell ref="AI45:AM45"/>
    <mergeCell ref="S46:W46"/>
    <mergeCell ref="AA46:AE46"/>
    <mergeCell ref="AI46:AM46"/>
    <mergeCell ref="K46:O46"/>
    <mergeCell ref="K47:O47"/>
    <mergeCell ref="S47:W47"/>
    <mergeCell ref="AA47:AE47"/>
    <mergeCell ref="AI47:AM47"/>
    <mergeCell ref="S49:W49"/>
    <mergeCell ref="AA49:AE49"/>
    <mergeCell ref="AI49:AM49"/>
    <mergeCell ref="AI50:AM50"/>
    <mergeCell ref="AI51:AM51"/>
  </mergeCells>
  <pageMargins left="0.70000000000000007" right="0.70000000000000007" top="0.75000000000000011" bottom="0.75000000000000011" header="0.30000000000000004" footer="0.30000000000000004"/>
  <pageSetup paperSize="8" scale="59" orientation="landscape"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H62"/>
  <sheetViews>
    <sheetView zoomScale="87" zoomScaleNormal="87" zoomScalePageLayoutView="75" workbookViewId="0">
      <selection activeCell="AG30" sqref="AG30:AH30"/>
    </sheetView>
  </sheetViews>
  <sheetFormatPr baseColWidth="10" defaultRowHeight="15" x14ac:dyDescent="0.25"/>
  <cols>
    <col min="1" max="1" width="11" customWidth="1"/>
    <col min="2" max="2" width="4.875" customWidth="1"/>
    <col min="3" max="3" width="40.375" customWidth="1"/>
    <col min="4" max="4" width="14.75" bestFit="1" customWidth="1"/>
    <col min="5" max="5" width="18.625" customWidth="1"/>
    <col min="6" max="6" width="23.375" bestFit="1" customWidth="1"/>
    <col min="7" max="7" width="20.375" customWidth="1"/>
    <col min="8" max="8" width="15.625" customWidth="1"/>
    <col min="9" max="9" width="4.25" customWidth="1"/>
    <col min="10" max="10" width="40.25" customWidth="1"/>
    <col min="11" max="11" width="14.75" bestFit="1" customWidth="1"/>
    <col min="12" max="12" width="18.625" customWidth="1"/>
    <col min="13" max="13" width="18.875" customWidth="1"/>
    <col min="14" max="14" width="20.375" customWidth="1"/>
    <col min="15" max="16" width="16.625" customWidth="1"/>
    <col min="17" max="17" width="4.25" customWidth="1"/>
    <col min="18" max="18" width="45.75" customWidth="1"/>
    <col min="19" max="19" width="15.5" customWidth="1"/>
    <col min="20" max="20" width="18.625" customWidth="1"/>
    <col min="21" max="21" width="19.5" customWidth="1"/>
    <col min="22" max="22" width="18.25" customWidth="1"/>
    <col min="23" max="24" width="16.75" customWidth="1"/>
    <col min="25" max="25" width="4.25" customWidth="1"/>
    <col min="26" max="26" width="45.75" customWidth="1"/>
    <col min="27" max="27" width="13.625" customWidth="1"/>
    <col min="28" max="28" width="22.375" customWidth="1"/>
    <col min="29" max="29" width="24.5" customWidth="1"/>
    <col min="30" max="30" width="23.5" customWidth="1"/>
    <col min="31" max="31" width="30" customWidth="1"/>
    <col min="32" max="32" width="9.125" customWidth="1"/>
    <col min="33" max="33" width="20.5" customWidth="1"/>
    <col min="34" max="34" width="23" customWidth="1"/>
  </cols>
  <sheetData>
    <row r="1" spans="2:34" ht="15.75" thickBot="1" x14ac:dyDescent="0.3">
      <c r="H1" s="56"/>
      <c r="O1" s="56"/>
      <c r="P1" s="56"/>
      <c r="W1" s="56"/>
      <c r="X1" s="56"/>
      <c r="AE1" s="56"/>
    </row>
    <row r="2" spans="2:34" ht="40.15" customHeight="1" thickBot="1" x14ac:dyDescent="0.35">
      <c r="B2" s="274"/>
      <c r="C2" s="639" t="s">
        <v>237</v>
      </c>
      <c r="D2" s="640"/>
      <c r="E2" s="640"/>
      <c r="F2" s="640"/>
      <c r="G2" s="641"/>
      <c r="H2" s="216"/>
      <c r="I2" s="274"/>
      <c r="J2" s="659" t="s">
        <v>242</v>
      </c>
      <c r="K2" s="660"/>
      <c r="L2" s="660"/>
      <c r="M2" s="660"/>
      <c r="N2" s="661"/>
      <c r="O2" s="216"/>
      <c r="P2" s="216"/>
      <c r="Q2" s="274"/>
      <c r="R2" s="617" t="s">
        <v>238</v>
      </c>
      <c r="S2" s="618"/>
      <c r="T2" s="618"/>
      <c r="U2" s="618"/>
      <c r="V2" s="619"/>
      <c r="W2" s="216"/>
      <c r="X2" s="216"/>
      <c r="Y2" s="274"/>
      <c r="Z2" s="662" t="s">
        <v>244</v>
      </c>
      <c r="AA2" s="663"/>
      <c r="AB2" s="663"/>
      <c r="AC2" s="663"/>
      <c r="AD2" s="664"/>
      <c r="AE2" s="241"/>
    </row>
    <row r="3" spans="2:34" ht="15" customHeight="1" x14ac:dyDescent="0.25">
      <c r="B3" s="597" t="s">
        <v>167</v>
      </c>
      <c r="C3" s="52" t="s">
        <v>0</v>
      </c>
      <c r="D3" s="647" t="s">
        <v>45</v>
      </c>
      <c r="E3" s="648"/>
      <c r="F3" s="648"/>
      <c r="G3" s="649"/>
      <c r="H3" s="199"/>
      <c r="I3" s="597" t="s">
        <v>167</v>
      </c>
      <c r="J3" s="52" t="s">
        <v>0</v>
      </c>
      <c r="K3" s="647" t="s">
        <v>45</v>
      </c>
      <c r="L3" s="648"/>
      <c r="M3" s="648"/>
      <c r="N3" s="649"/>
      <c r="O3" s="203"/>
      <c r="P3" s="203"/>
      <c r="Q3" s="597" t="s">
        <v>167</v>
      </c>
      <c r="R3" s="52" t="s">
        <v>0</v>
      </c>
      <c r="S3" s="656" t="s">
        <v>45</v>
      </c>
      <c r="T3" s="657"/>
      <c r="U3" s="657"/>
      <c r="V3" s="658"/>
      <c r="W3" s="203"/>
      <c r="X3" s="203"/>
      <c r="Y3" s="597" t="s">
        <v>167</v>
      </c>
      <c r="Z3" s="52" t="s">
        <v>0</v>
      </c>
      <c r="AA3" s="656" t="s">
        <v>45</v>
      </c>
      <c r="AB3" s="657"/>
      <c r="AC3" s="657"/>
      <c r="AD3" s="658"/>
      <c r="AE3" s="203"/>
    </row>
    <row r="4" spans="2:34" ht="15.75" customHeight="1" thickBot="1" x14ac:dyDescent="0.3">
      <c r="B4" s="599"/>
      <c r="C4" s="53" t="s">
        <v>1</v>
      </c>
      <c r="D4" s="650" t="s">
        <v>2</v>
      </c>
      <c r="E4" s="651"/>
      <c r="F4" s="651"/>
      <c r="G4" s="652"/>
      <c r="H4" s="199"/>
      <c r="I4" s="599"/>
      <c r="J4" s="53" t="s">
        <v>1</v>
      </c>
      <c r="K4" s="650" t="s">
        <v>2</v>
      </c>
      <c r="L4" s="651"/>
      <c r="M4" s="651"/>
      <c r="N4" s="652"/>
      <c r="O4" s="203"/>
      <c r="P4" s="203"/>
      <c r="Q4" s="599"/>
      <c r="R4" s="53" t="s">
        <v>1</v>
      </c>
      <c r="S4" s="650" t="s">
        <v>2</v>
      </c>
      <c r="T4" s="651"/>
      <c r="U4" s="651"/>
      <c r="V4" s="652"/>
      <c r="W4" s="203"/>
      <c r="X4" s="203"/>
      <c r="Y4" s="599"/>
      <c r="Z4" s="53" t="s">
        <v>1</v>
      </c>
      <c r="AA4" s="650" t="s">
        <v>2</v>
      </c>
      <c r="AB4" s="651"/>
      <c r="AC4" s="651"/>
      <c r="AD4" s="652"/>
      <c r="AE4" s="203"/>
    </row>
    <row r="5" spans="2:34" ht="15.75" customHeight="1" x14ac:dyDescent="0.25">
      <c r="B5" s="599"/>
      <c r="C5" s="653" t="s">
        <v>6</v>
      </c>
      <c r="D5" s="654"/>
      <c r="E5" s="50" t="s">
        <v>3</v>
      </c>
      <c r="F5" s="51" t="s">
        <v>4</v>
      </c>
      <c r="G5" s="50" t="s">
        <v>5</v>
      </c>
      <c r="H5" s="199"/>
      <c r="I5" s="599"/>
      <c r="J5" s="653" t="s">
        <v>6</v>
      </c>
      <c r="K5" s="654"/>
      <c r="L5" s="50" t="s">
        <v>3</v>
      </c>
      <c r="M5" s="51" t="s">
        <v>4</v>
      </c>
      <c r="N5" s="50" t="s">
        <v>5</v>
      </c>
      <c r="O5" s="203"/>
      <c r="P5" s="203"/>
      <c r="Q5" s="599"/>
      <c r="R5" s="653" t="s">
        <v>6</v>
      </c>
      <c r="S5" s="654"/>
      <c r="T5" s="50" t="s">
        <v>3</v>
      </c>
      <c r="U5" s="51" t="s">
        <v>4</v>
      </c>
      <c r="V5" s="50" t="s">
        <v>5</v>
      </c>
      <c r="W5" s="203"/>
      <c r="X5" s="203"/>
      <c r="Y5" s="599"/>
      <c r="Z5" s="653" t="s">
        <v>6</v>
      </c>
      <c r="AA5" s="654"/>
      <c r="AB5" s="50" t="s">
        <v>3</v>
      </c>
      <c r="AC5" s="51" t="s">
        <v>4</v>
      </c>
      <c r="AD5" s="50" t="s">
        <v>5</v>
      </c>
      <c r="AE5" s="203"/>
    </row>
    <row r="6" spans="2:34" ht="16.5" customHeight="1" thickBot="1" x14ac:dyDescent="0.3">
      <c r="B6" s="599"/>
      <c r="C6" s="625"/>
      <c r="D6" s="655"/>
      <c r="E6" s="19" t="s">
        <v>23</v>
      </c>
      <c r="F6" s="299" t="s">
        <v>24</v>
      </c>
      <c r="G6" s="289" t="s">
        <v>25</v>
      </c>
      <c r="H6" s="199"/>
      <c r="I6" s="599"/>
      <c r="J6" s="625"/>
      <c r="K6" s="655"/>
      <c r="L6" s="19" t="s">
        <v>23</v>
      </c>
      <c r="M6" s="40" t="s">
        <v>24</v>
      </c>
      <c r="N6" s="19" t="s">
        <v>25</v>
      </c>
      <c r="O6" s="203"/>
      <c r="P6" s="203"/>
      <c r="Q6" s="599"/>
      <c r="R6" s="625"/>
      <c r="S6" s="655"/>
      <c r="T6" s="19" t="s">
        <v>23</v>
      </c>
      <c r="U6" s="40" t="s">
        <v>24</v>
      </c>
      <c r="V6" s="19" t="s">
        <v>23</v>
      </c>
      <c r="W6" s="203"/>
      <c r="X6" s="203"/>
      <c r="Y6" s="599"/>
      <c r="Z6" s="625"/>
      <c r="AA6" s="655"/>
      <c r="AB6" s="19" t="s">
        <v>23</v>
      </c>
      <c r="AC6" s="299" t="s">
        <v>24</v>
      </c>
      <c r="AD6" s="289" t="s">
        <v>23</v>
      </c>
      <c r="AE6" s="203"/>
    </row>
    <row r="7" spans="2:34" ht="15" customHeight="1" x14ac:dyDescent="0.25">
      <c r="B7" s="599"/>
      <c r="C7" s="6" t="s">
        <v>29</v>
      </c>
      <c r="D7" s="16"/>
      <c r="E7" s="20">
        <v>462</v>
      </c>
      <c r="F7" s="300">
        <v>462</v>
      </c>
      <c r="G7" s="20">
        <v>462</v>
      </c>
      <c r="H7" s="199"/>
      <c r="I7" s="599"/>
      <c r="J7" s="6" t="s">
        <v>29</v>
      </c>
      <c r="K7" s="16"/>
      <c r="L7" s="20">
        <v>462</v>
      </c>
      <c r="M7" s="300">
        <v>462</v>
      </c>
      <c r="N7" s="20">
        <v>462</v>
      </c>
      <c r="O7" s="203"/>
      <c r="P7" s="203"/>
      <c r="Q7" s="599"/>
      <c r="R7" s="6" t="s">
        <v>29</v>
      </c>
      <c r="S7" s="16"/>
      <c r="T7" s="20">
        <v>462</v>
      </c>
      <c r="U7" s="300">
        <v>462</v>
      </c>
      <c r="V7" s="20">
        <v>462</v>
      </c>
      <c r="W7" s="203"/>
      <c r="X7" s="203"/>
      <c r="Y7" s="599"/>
      <c r="Z7" s="6" t="s">
        <v>29</v>
      </c>
      <c r="AA7" s="16"/>
      <c r="AB7" s="300">
        <v>462</v>
      </c>
      <c r="AC7" s="20">
        <v>462</v>
      </c>
      <c r="AD7" s="20">
        <v>462</v>
      </c>
      <c r="AE7" s="203"/>
    </row>
    <row r="8" spans="2:34" ht="15.75" customHeight="1" thickBot="1" x14ac:dyDescent="0.3">
      <c r="B8" s="599"/>
      <c r="C8" s="293" t="s">
        <v>40</v>
      </c>
      <c r="D8" s="294"/>
      <c r="E8" s="295">
        <v>6</v>
      </c>
      <c r="F8" s="302">
        <v>9</v>
      </c>
      <c r="G8" s="295">
        <v>7</v>
      </c>
      <c r="H8" s="199"/>
      <c r="I8" s="599"/>
      <c r="J8" s="7" t="s">
        <v>40</v>
      </c>
      <c r="K8" s="294"/>
      <c r="L8" s="295">
        <v>6</v>
      </c>
      <c r="M8" s="345">
        <v>9</v>
      </c>
      <c r="N8" s="295">
        <v>7</v>
      </c>
      <c r="O8" s="203"/>
      <c r="P8" s="203"/>
      <c r="Q8" s="599"/>
      <c r="R8" s="7" t="s">
        <v>40</v>
      </c>
      <c r="S8" s="294"/>
      <c r="T8" s="295">
        <v>6</v>
      </c>
      <c r="U8" s="345">
        <v>9</v>
      </c>
      <c r="V8" s="295">
        <v>7</v>
      </c>
      <c r="W8" s="203"/>
      <c r="X8" s="203"/>
      <c r="Y8" s="599"/>
      <c r="Z8" s="7" t="s">
        <v>40</v>
      </c>
      <c r="AA8" s="294"/>
      <c r="AB8" s="302">
        <v>6</v>
      </c>
      <c r="AC8" s="295">
        <v>9</v>
      </c>
      <c r="AD8" s="295">
        <v>7</v>
      </c>
      <c r="AE8" s="203"/>
    </row>
    <row r="9" spans="2:34" ht="15" customHeight="1" x14ac:dyDescent="0.25">
      <c r="B9" s="599"/>
      <c r="C9" s="327" t="s">
        <v>181</v>
      </c>
      <c r="D9" s="304"/>
      <c r="E9" s="305">
        <f>F7*0.5*12</f>
        <v>2772</v>
      </c>
      <c r="F9" s="306">
        <f>G7*0.5*18</f>
        <v>4158</v>
      </c>
      <c r="G9" s="305">
        <f>G7*0.5*14</f>
        <v>3234</v>
      </c>
      <c r="H9" s="199"/>
      <c r="I9" s="599"/>
      <c r="J9" s="481" t="s">
        <v>181</v>
      </c>
      <c r="K9" s="471"/>
      <c r="L9" s="114">
        <f>M7*0.5*12</f>
        <v>2772</v>
      </c>
      <c r="M9" s="306">
        <f>N7*0.5*18</f>
        <v>4158</v>
      </c>
      <c r="N9" s="305">
        <f>N7*0.5*14</f>
        <v>3234</v>
      </c>
      <c r="O9" s="203"/>
      <c r="P9" s="203"/>
      <c r="Q9" s="599"/>
      <c r="R9" s="467" t="s">
        <v>181</v>
      </c>
      <c r="S9" s="471"/>
      <c r="T9" s="114">
        <f>U7*0.5*12</f>
        <v>2772</v>
      </c>
      <c r="U9" s="474">
        <f>V7*0.5*18</f>
        <v>4158</v>
      </c>
      <c r="V9" s="114">
        <f>V7*0.5*14</f>
        <v>3234</v>
      </c>
      <c r="W9" s="203"/>
      <c r="X9" s="203"/>
      <c r="Y9" s="599"/>
      <c r="Z9" s="481" t="s">
        <v>181</v>
      </c>
      <c r="AA9" s="471"/>
      <c r="AB9" s="490">
        <f>AC7*0.5*12</f>
        <v>2772</v>
      </c>
      <c r="AC9" s="129">
        <f>AD7*0.5*18</f>
        <v>4158</v>
      </c>
      <c r="AD9" s="129">
        <f>AD7*0.5*14</f>
        <v>3234</v>
      </c>
      <c r="AE9" s="203"/>
    </row>
    <row r="10" spans="2:34" ht="15.75" customHeight="1" thickBot="1" x14ac:dyDescent="0.3">
      <c r="B10" s="599"/>
      <c r="C10" s="328" t="s">
        <v>30</v>
      </c>
      <c r="D10" s="307"/>
      <c r="E10" s="308">
        <f>94%*E8*E7</f>
        <v>2605.6799999999998</v>
      </c>
      <c r="F10" s="309">
        <f>94%*F8*F7</f>
        <v>3908.5199999999995</v>
      </c>
      <c r="G10" s="308">
        <f>94%*G8*G7</f>
        <v>3039.96</v>
      </c>
      <c r="H10" s="268"/>
      <c r="I10" s="599"/>
      <c r="J10" s="482" t="s">
        <v>30</v>
      </c>
      <c r="K10" s="472"/>
      <c r="L10" s="308">
        <f>94%*L8*L7</f>
        <v>2605.6799999999998</v>
      </c>
      <c r="M10" s="309">
        <f>94%*M8*M7</f>
        <v>3908.5199999999995</v>
      </c>
      <c r="N10" s="308">
        <f>94%*N8*N7</f>
        <v>3039.96</v>
      </c>
      <c r="O10" s="204"/>
      <c r="P10" s="204"/>
      <c r="Q10" s="599"/>
      <c r="R10" s="468" t="s">
        <v>30</v>
      </c>
      <c r="S10" s="472"/>
      <c r="T10" s="308">
        <f>94%*T8*T7</f>
        <v>2605.6799999999998</v>
      </c>
      <c r="U10" s="475">
        <f>100%*U8*U7</f>
        <v>4158</v>
      </c>
      <c r="V10" s="308">
        <f>94%*V8*V7</f>
        <v>3039.96</v>
      </c>
      <c r="W10" s="204"/>
      <c r="X10" s="204"/>
      <c r="Y10" s="599"/>
      <c r="Z10" s="482" t="s">
        <v>30</v>
      </c>
      <c r="AA10" s="472"/>
      <c r="AB10" s="309">
        <f>94%*AB8*AB7</f>
        <v>2605.6799999999998</v>
      </c>
      <c r="AC10" s="308">
        <f>94%*AC8*AC7</f>
        <v>3908.5199999999995</v>
      </c>
      <c r="AD10" s="308">
        <f>94%*AD8*AD7</f>
        <v>3039.96</v>
      </c>
      <c r="AE10" s="204"/>
    </row>
    <row r="11" spans="2:34" ht="15.75" customHeight="1" thickBot="1" x14ac:dyDescent="0.3">
      <c r="B11" s="599"/>
      <c r="C11" s="296" t="s">
        <v>31</v>
      </c>
      <c r="D11" s="297"/>
      <c r="E11" s="298">
        <f>E10*E12</f>
        <v>4690.2240000000002</v>
      </c>
      <c r="F11" s="303">
        <f>F10*F12</f>
        <v>7269.8471999999992</v>
      </c>
      <c r="G11" s="20">
        <f>G10*G12</f>
        <v>5775.924</v>
      </c>
      <c r="H11" s="199"/>
      <c r="I11" s="599"/>
      <c r="J11" s="7" t="s">
        <v>31</v>
      </c>
      <c r="K11" s="297"/>
      <c r="L11" s="298">
        <f>L10*L12</f>
        <v>4690.2240000000002</v>
      </c>
      <c r="M11" s="303">
        <f>M10*M12</f>
        <v>7269.8471999999992</v>
      </c>
      <c r="N11" s="298">
        <f>N10*N12</f>
        <v>5775.924</v>
      </c>
      <c r="O11" s="203"/>
      <c r="P11" s="203"/>
      <c r="Q11" s="599"/>
      <c r="R11" s="7" t="s">
        <v>31</v>
      </c>
      <c r="S11" s="297"/>
      <c r="T11" s="469">
        <f>T10*T12</f>
        <v>4690.2240000000002</v>
      </c>
      <c r="U11" s="476">
        <f>U10*U12</f>
        <v>7068.5999999999995</v>
      </c>
      <c r="V11" s="469">
        <f>V10*V12</f>
        <v>5775.924</v>
      </c>
      <c r="W11" s="203"/>
      <c r="X11" s="203"/>
      <c r="Y11" s="599"/>
      <c r="Z11" s="7" t="s">
        <v>31</v>
      </c>
      <c r="AA11" s="297"/>
      <c r="AB11" s="494">
        <f>AB10*AB12</f>
        <v>4690.2240000000002</v>
      </c>
      <c r="AC11" s="469">
        <f>AC10*AC12</f>
        <v>7269.8471999999992</v>
      </c>
      <c r="AD11" s="469">
        <f>AD10*AD12</f>
        <v>5775.924</v>
      </c>
      <c r="AE11" s="203"/>
    </row>
    <row r="12" spans="2:34" ht="15.75" customHeight="1" thickBot="1" x14ac:dyDescent="0.3">
      <c r="B12" s="599"/>
      <c r="C12" s="332" t="s">
        <v>191</v>
      </c>
      <c r="D12" s="242"/>
      <c r="E12" s="23">
        <v>1.8</v>
      </c>
      <c r="F12" s="291">
        <v>1.86</v>
      </c>
      <c r="G12" s="23">
        <v>1.9</v>
      </c>
      <c r="H12" s="199"/>
      <c r="I12" s="599"/>
      <c r="J12" s="332" t="s">
        <v>191</v>
      </c>
      <c r="K12" s="106"/>
      <c r="L12" s="23">
        <v>1.8</v>
      </c>
      <c r="M12" s="43">
        <v>1.86</v>
      </c>
      <c r="N12" s="23">
        <v>1.9</v>
      </c>
      <c r="O12" s="203"/>
      <c r="P12" s="203"/>
      <c r="Q12" s="599"/>
      <c r="R12" s="332" t="s">
        <v>191</v>
      </c>
      <c r="S12" s="106"/>
      <c r="T12" s="87">
        <v>1.8</v>
      </c>
      <c r="U12" s="477">
        <v>1.7</v>
      </c>
      <c r="V12" s="87">
        <v>1.9</v>
      </c>
      <c r="W12" s="203"/>
      <c r="X12" s="203"/>
      <c r="Y12" s="599"/>
      <c r="Z12" s="7" t="s">
        <v>32</v>
      </c>
      <c r="AA12" s="106"/>
      <c r="AB12" s="408">
        <v>1.8</v>
      </c>
      <c r="AC12" s="87">
        <v>1.86</v>
      </c>
      <c r="AD12" s="87">
        <v>1.9</v>
      </c>
      <c r="AE12" s="203"/>
    </row>
    <row r="13" spans="2:34" ht="15.75" customHeight="1" thickBot="1" x14ac:dyDescent="0.3">
      <c r="B13" s="599"/>
      <c r="C13" s="296" t="s">
        <v>185</v>
      </c>
      <c r="D13" s="438"/>
      <c r="E13" s="23"/>
      <c r="F13" s="301">
        <f>+F10-E9</f>
        <v>1136.5199999999995</v>
      </c>
      <c r="G13" s="456">
        <f>+G10-E9</f>
        <v>267.96000000000004</v>
      </c>
      <c r="H13" s="199"/>
      <c r="I13" s="599"/>
      <c r="J13" s="296" t="s">
        <v>185</v>
      </c>
      <c r="K13" s="438"/>
      <c r="L13" s="23"/>
      <c r="M13" s="485">
        <f>+M10-L9</f>
        <v>1136.5199999999995</v>
      </c>
      <c r="N13" s="340">
        <f>+N10-L9</f>
        <v>267.96000000000004</v>
      </c>
      <c r="O13" s="203"/>
      <c r="P13" s="203"/>
      <c r="Q13" s="599"/>
      <c r="R13" s="296" t="s">
        <v>185</v>
      </c>
      <c r="S13" s="438"/>
      <c r="T13" s="87"/>
      <c r="U13" s="478">
        <f>+U10-T9</f>
        <v>1386</v>
      </c>
      <c r="V13" s="340">
        <f>+V10-T9</f>
        <v>267.96000000000004</v>
      </c>
      <c r="W13" s="203"/>
      <c r="X13" s="203"/>
      <c r="Y13" s="599"/>
      <c r="Z13" s="296" t="s">
        <v>185</v>
      </c>
      <c r="AA13" s="438"/>
      <c r="AB13" s="408"/>
      <c r="AC13" s="456">
        <f>+AC10-AB9</f>
        <v>1136.5199999999995</v>
      </c>
      <c r="AD13" s="456">
        <f>+AD10-AB9</f>
        <v>267.96000000000004</v>
      </c>
      <c r="AE13" s="199"/>
    </row>
    <row r="14" spans="2:34" ht="15" customHeight="1" thickBot="1" x14ac:dyDescent="0.3">
      <c r="B14" s="599"/>
      <c r="C14" s="7" t="s">
        <v>7</v>
      </c>
      <c r="D14" s="98">
        <v>1201</v>
      </c>
      <c r="E14" s="97">
        <f>D14*E7</f>
        <v>554862</v>
      </c>
      <c r="F14" s="111">
        <f>E14</f>
        <v>554862</v>
      </c>
      <c r="G14" s="97">
        <f>F14</f>
        <v>554862</v>
      </c>
      <c r="H14" s="199"/>
      <c r="I14" s="599"/>
      <c r="J14" s="7" t="s">
        <v>7</v>
      </c>
      <c r="K14" s="483">
        <v>1201</v>
      </c>
      <c r="L14" s="484">
        <f>K14*L7</f>
        <v>554862</v>
      </c>
      <c r="M14" s="484">
        <f>L14</f>
        <v>554862</v>
      </c>
      <c r="N14" s="484">
        <f>M14</f>
        <v>554862</v>
      </c>
      <c r="O14" s="203"/>
      <c r="P14" s="461"/>
      <c r="Q14" s="599"/>
      <c r="R14" s="7" t="s">
        <v>7</v>
      </c>
      <c r="S14" s="479">
        <v>1201</v>
      </c>
      <c r="T14" s="480">
        <f>S14*T7</f>
        <v>554862</v>
      </c>
      <c r="U14" s="480">
        <f>T14</f>
        <v>554862</v>
      </c>
      <c r="V14" s="480">
        <f>U14</f>
        <v>554862</v>
      </c>
      <c r="W14" s="203"/>
      <c r="X14" s="464"/>
      <c r="Y14" s="599"/>
      <c r="Z14" s="7" t="s">
        <v>7</v>
      </c>
      <c r="AA14" s="57">
        <v>1201</v>
      </c>
      <c r="AB14" s="113">
        <f>AA14*AB7</f>
        <v>554862</v>
      </c>
      <c r="AC14" s="58">
        <f>AB14</f>
        <v>554862</v>
      </c>
      <c r="AD14" s="58">
        <f>AC14</f>
        <v>554862</v>
      </c>
      <c r="AE14" s="487"/>
    </row>
    <row r="15" spans="2:34" ht="16.5" thickBot="1" x14ac:dyDescent="0.3">
      <c r="B15" s="599"/>
      <c r="C15" s="247" t="s">
        <v>153</v>
      </c>
      <c r="D15" s="256" t="s">
        <v>149</v>
      </c>
      <c r="E15" s="97"/>
      <c r="F15" s="457">
        <f>F7*580*F13/E9</f>
        <v>109863.59999999995</v>
      </c>
      <c r="G15" s="566">
        <f>G7*580*G13/E9</f>
        <v>25902.800000000003</v>
      </c>
      <c r="H15" s="200"/>
      <c r="I15" s="599"/>
      <c r="J15" s="247" t="s">
        <v>153</v>
      </c>
      <c r="K15" s="256" t="s">
        <v>157</v>
      </c>
      <c r="L15" s="89"/>
      <c r="M15" s="486">
        <f>(M7*580*M13/L9)*0.5</f>
        <v>54931.799999999974</v>
      </c>
      <c r="N15" s="486">
        <f>(N7*580*N13/L9)*0.5</f>
        <v>12951.400000000001</v>
      </c>
      <c r="O15" s="203"/>
      <c r="P15" s="239"/>
      <c r="Q15" s="599"/>
      <c r="R15" s="247" t="s">
        <v>153</v>
      </c>
      <c r="S15" s="256" t="s">
        <v>149</v>
      </c>
      <c r="T15" s="24"/>
      <c r="U15" s="96">
        <f>(U7*580*U13/T9)</f>
        <v>133980</v>
      </c>
      <c r="V15" s="97">
        <f>(V7*580*V13/T9)</f>
        <v>25902.800000000003</v>
      </c>
      <c r="W15" s="203"/>
      <c r="X15" s="239"/>
      <c r="Y15" s="599"/>
      <c r="Z15" s="247" t="s">
        <v>153</v>
      </c>
      <c r="AA15" s="432" t="s">
        <v>150</v>
      </c>
      <c r="AB15" s="492"/>
      <c r="AC15" s="491">
        <f>(AC7*580*(AC10-AB9)/AB9)*0</f>
        <v>0</v>
      </c>
      <c r="AD15" s="491">
        <f>+AC15*12/18</f>
        <v>0</v>
      </c>
      <c r="AE15" s="199"/>
    </row>
    <row r="16" spans="2:34" ht="15.75" customHeight="1" thickBot="1" x14ac:dyDescent="0.3">
      <c r="B16" s="598"/>
      <c r="C16" s="8" t="s">
        <v>33</v>
      </c>
      <c r="D16" s="243"/>
      <c r="E16" s="54">
        <f>(E14+E15)/E10</f>
        <v>212.94326241134752</v>
      </c>
      <c r="F16" s="83">
        <f>(F14+F15)/F10</f>
        <v>170.07092198581563</v>
      </c>
      <c r="G16" s="54">
        <f>(G14+G15)/G10</f>
        <v>191.04356636271532</v>
      </c>
      <c r="H16" s="200"/>
      <c r="I16" s="598"/>
      <c r="J16" s="8" t="s">
        <v>33</v>
      </c>
      <c r="K16" s="107"/>
      <c r="L16" s="54">
        <f>(L14+L15)/L10</f>
        <v>212.94326241134752</v>
      </c>
      <c r="M16" s="55">
        <f>(M14+M15)/M10</f>
        <v>156.01654846335697</v>
      </c>
      <c r="N16" s="54">
        <f>(N14+N15)/N10</f>
        <v>186.78318135764945</v>
      </c>
      <c r="O16" s="208"/>
      <c r="P16" s="462"/>
      <c r="Q16" s="598"/>
      <c r="R16" s="8" t="s">
        <v>33</v>
      </c>
      <c r="S16" s="107"/>
      <c r="T16" s="54">
        <f>(T14+T15)/T10</f>
        <v>212.94326241134752</v>
      </c>
      <c r="U16" s="55">
        <f>(U14+U15)/U10</f>
        <v>165.66666666666666</v>
      </c>
      <c r="V16" s="54">
        <f>(V14+V15)/V10</f>
        <v>191.04356636271532</v>
      </c>
      <c r="W16" s="208"/>
      <c r="X16" s="465"/>
      <c r="Y16" s="598"/>
      <c r="Z16" s="8" t="s">
        <v>33</v>
      </c>
      <c r="AA16" s="107"/>
      <c r="AB16" s="54">
        <f>(AB14+AB15)/AB10</f>
        <v>212.94326241134752</v>
      </c>
      <c r="AC16" s="55">
        <f>(AC14+AC15)/AC10</f>
        <v>141.96217494089836</v>
      </c>
      <c r="AD16" s="83">
        <f>(AD14+AD15)/AD10</f>
        <v>182.52279635258358</v>
      </c>
      <c r="AE16" s="199"/>
      <c r="AH16" s="5"/>
    </row>
    <row r="17" spans="2:34" ht="15.75" customHeight="1" thickBot="1" x14ac:dyDescent="0.3">
      <c r="B17" s="601" t="s">
        <v>168</v>
      </c>
      <c r="C17" s="646" t="s">
        <v>8</v>
      </c>
      <c r="D17" s="637"/>
      <c r="E17" s="637"/>
      <c r="F17" s="605"/>
      <c r="G17" s="606"/>
      <c r="H17" s="200"/>
      <c r="I17" s="601" t="s">
        <v>168</v>
      </c>
      <c r="J17" s="646" t="s">
        <v>8</v>
      </c>
      <c r="K17" s="637"/>
      <c r="L17" s="637"/>
      <c r="M17" s="637"/>
      <c r="N17" s="638"/>
      <c r="O17" s="208"/>
      <c r="P17" s="463"/>
      <c r="Q17" s="601" t="s">
        <v>168</v>
      </c>
      <c r="R17" s="646" t="s">
        <v>8</v>
      </c>
      <c r="S17" s="637"/>
      <c r="T17" s="637"/>
      <c r="U17" s="637"/>
      <c r="V17" s="637"/>
      <c r="W17" s="208"/>
      <c r="X17" s="466"/>
      <c r="Y17" s="601" t="s">
        <v>168</v>
      </c>
      <c r="Z17" s="646" t="s">
        <v>8</v>
      </c>
      <c r="AA17" s="637"/>
      <c r="AB17" s="637"/>
      <c r="AC17" s="637"/>
      <c r="AD17" s="637"/>
      <c r="AE17" s="285"/>
    </row>
    <row r="18" spans="2:34" ht="15.75" customHeight="1" thickBot="1" x14ac:dyDescent="0.3">
      <c r="B18" s="602"/>
      <c r="C18" s="7" t="s">
        <v>9</v>
      </c>
      <c r="D18" s="25"/>
      <c r="E18" s="27">
        <v>460</v>
      </c>
      <c r="F18" s="460">
        <f>+E18*1.1</f>
        <v>506.00000000000006</v>
      </c>
      <c r="G18" s="27">
        <v>480</v>
      </c>
      <c r="H18" s="200"/>
      <c r="I18" s="602"/>
      <c r="J18" s="7" t="s">
        <v>9</v>
      </c>
      <c r="K18" s="25"/>
      <c r="L18" s="27">
        <v>460</v>
      </c>
      <c r="M18" s="460">
        <f>+L18*1.1</f>
        <v>506.00000000000006</v>
      </c>
      <c r="N18" s="27">
        <v>480</v>
      </c>
      <c r="O18" s="208"/>
      <c r="P18" s="203"/>
      <c r="Q18" s="602"/>
      <c r="R18" s="7" t="s">
        <v>9</v>
      </c>
      <c r="S18" s="25"/>
      <c r="T18" s="27">
        <v>460</v>
      </c>
      <c r="U18" s="460">
        <f>+T18*1.1</f>
        <v>506.00000000000006</v>
      </c>
      <c r="V18" s="27">
        <v>480</v>
      </c>
      <c r="W18" s="208"/>
      <c r="X18" s="203"/>
      <c r="Y18" s="602"/>
      <c r="Z18" s="7" t="s">
        <v>9</v>
      </c>
      <c r="AA18" s="25"/>
      <c r="AB18" s="27">
        <v>460</v>
      </c>
      <c r="AC18" s="62">
        <f>+AB18*1.1</f>
        <v>506.00000000000006</v>
      </c>
      <c r="AD18" s="27">
        <v>480</v>
      </c>
      <c r="AE18" s="130"/>
    </row>
    <row r="19" spans="2:34" ht="15.75" customHeight="1" thickBot="1" x14ac:dyDescent="0.3">
      <c r="B19" s="603"/>
      <c r="C19" s="10" t="s">
        <v>26</v>
      </c>
      <c r="D19" s="26"/>
      <c r="E19" s="28">
        <f>E18*E11</f>
        <v>2157503.04</v>
      </c>
      <c r="F19" s="44">
        <f>F18*F11</f>
        <v>3678542.6831999999</v>
      </c>
      <c r="G19" s="28">
        <f>G18*G11</f>
        <v>2772443.52</v>
      </c>
      <c r="H19" s="200"/>
      <c r="I19" s="603"/>
      <c r="J19" s="10" t="s">
        <v>26</v>
      </c>
      <c r="K19" s="26"/>
      <c r="L19" s="28">
        <f>L18*L11</f>
        <v>2157503.04</v>
      </c>
      <c r="M19" s="44">
        <f>M18*M11</f>
        <v>3678542.6831999999</v>
      </c>
      <c r="N19" s="28">
        <f>N18*N11</f>
        <v>2772443.52</v>
      </c>
      <c r="O19" s="208"/>
      <c r="P19" s="203"/>
      <c r="Q19" s="603"/>
      <c r="R19" s="10" t="s">
        <v>26</v>
      </c>
      <c r="S19" s="26"/>
      <c r="T19" s="28">
        <f>T18*T11</f>
        <v>2157503.04</v>
      </c>
      <c r="U19" s="44">
        <f>U18*U11</f>
        <v>3576711.6</v>
      </c>
      <c r="V19" s="28">
        <f>V18*V11</f>
        <v>2772443.52</v>
      </c>
      <c r="W19" s="208"/>
      <c r="X19" s="203"/>
      <c r="Y19" s="603"/>
      <c r="Z19" s="10" t="s">
        <v>26</v>
      </c>
      <c r="AA19" s="26"/>
      <c r="AB19" s="28">
        <f>AB18*AB11</f>
        <v>2157503.04</v>
      </c>
      <c r="AC19" s="44">
        <f>AC18*AC11</f>
        <v>3678542.6831999999</v>
      </c>
      <c r="AD19" s="124">
        <f>AD18*AD11</f>
        <v>2772443.52</v>
      </c>
      <c r="AE19" s="389" t="s">
        <v>52</v>
      </c>
      <c r="AG19" s="74">
        <f>AC10*AB33</f>
        <v>6644483.9999999991</v>
      </c>
      <c r="AH19" s="579" t="s">
        <v>248</v>
      </c>
    </row>
    <row r="20" spans="2:34" ht="17.25" customHeight="1" thickBot="1" x14ac:dyDescent="0.3">
      <c r="B20" s="275"/>
      <c r="C20" s="120"/>
      <c r="D20" s="1"/>
      <c r="E20" s="4"/>
      <c r="F20" s="4"/>
      <c r="G20" s="121"/>
      <c r="H20" s="200"/>
      <c r="I20" s="275"/>
      <c r="J20" s="1"/>
      <c r="K20" s="1"/>
      <c r="L20" s="4"/>
      <c r="M20" s="4"/>
      <c r="N20" s="4"/>
      <c r="O20" s="208"/>
      <c r="P20" s="203"/>
      <c r="Q20" s="275"/>
      <c r="R20" s="1"/>
      <c r="S20" s="1"/>
      <c r="T20" s="4"/>
      <c r="U20" s="4"/>
      <c r="V20" s="4"/>
      <c r="W20" s="208"/>
      <c r="X20" s="203"/>
      <c r="Y20" s="275"/>
      <c r="Z20" s="1"/>
      <c r="AA20" s="1"/>
      <c r="AB20" s="4"/>
      <c r="AC20" s="4"/>
      <c r="AD20" s="4"/>
      <c r="AE20" s="498">
        <f>AC10*0.1</f>
        <v>390.85199999999998</v>
      </c>
      <c r="AG20" s="74">
        <f>AE25*AB33</f>
        <v>5980035.5999999996</v>
      </c>
      <c r="AH20" s="579" t="s">
        <v>249</v>
      </c>
    </row>
    <row r="21" spans="2:34" ht="15.75" customHeight="1" thickBot="1" x14ac:dyDescent="0.3">
      <c r="B21" s="597" t="s">
        <v>169</v>
      </c>
      <c r="C21" s="646" t="s">
        <v>10</v>
      </c>
      <c r="D21" s="637"/>
      <c r="E21" s="637"/>
      <c r="F21" s="637"/>
      <c r="G21" s="638"/>
      <c r="H21" s="199"/>
      <c r="I21" s="597" t="s">
        <v>169</v>
      </c>
      <c r="J21" s="646" t="s">
        <v>10</v>
      </c>
      <c r="K21" s="637"/>
      <c r="L21" s="637"/>
      <c r="M21" s="637"/>
      <c r="N21" s="638"/>
      <c r="O21" s="208"/>
      <c r="P21" s="203"/>
      <c r="Q21" s="597" t="s">
        <v>169</v>
      </c>
      <c r="R21" s="646" t="s">
        <v>10</v>
      </c>
      <c r="S21" s="637"/>
      <c r="T21" s="637"/>
      <c r="U21" s="637"/>
      <c r="V21" s="638"/>
      <c r="W21" s="208"/>
      <c r="X21" s="203"/>
      <c r="Y21" s="597" t="s">
        <v>169</v>
      </c>
      <c r="Z21" s="646" t="s">
        <v>10</v>
      </c>
      <c r="AA21" s="637"/>
      <c r="AB21" s="637"/>
      <c r="AC21" s="637"/>
      <c r="AD21" s="637"/>
      <c r="AE21" s="389" t="s">
        <v>57</v>
      </c>
      <c r="AG21" s="74">
        <f>AE20*980</f>
        <v>383034.95999999996</v>
      </c>
      <c r="AH21" s="579" t="s">
        <v>250</v>
      </c>
    </row>
    <row r="22" spans="2:34" ht="15.75" customHeight="1" x14ac:dyDescent="0.25">
      <c r="B22" s="599"/>
      <c r="C22" s="9" t="s">
        <v>11</v>
      </c>
      <c r="D22" s="99">
        <v>0.04</v>
      </c>
      <c r="E22" s="91">
        <f>E19*D22</f>
        <v>86300.121599999999</v>
      </c>
      <c r="F22" s="100">
        <f>E22*18/12</f>
        <v>129450.18239999999</v>
      </c>
      <c r="G22" s="91">
        <f>E22*14/12</f>
        <v>100683.4752</v>
      </c>
      <c r="H22" s="199"/>
      <c r="I22" s="599"/>
      <c r="J22" s="9" t="s">
        <v>11</v>
      </c>
      <c r="K22" s="29">
        <v>0.04</v>
      </c>
      <c r="L22" s="31">
        <f>L19*K22</f>
        <v>86300.121599999999</v>
      </c>
      <c r="M22" s="72">
        <f>L22*18/12</f>
        <v>129450.18239999999</v>
      </c>
      <c r="N22" s="74">
        <f>L22*14/12</f>
        <v>100683.4752</v>
      </c>
      <c r="O22" s="203"/>
      <c r="P22" s="208"/>
      <c r="Q22" s="599"/>
      <c r="R22" s="9" t="s">
        <v>11</v>
      </c>
      <c r="S22" s="29">
        <v>0.04</v>
      </c>
      <c r="T22" s="31">
        <f>T19*S22</f>
        <v>86300.121599999999</v>
      </c>
      <c r="U22" s="72">
        <f>T22*18/12</f>
        <v>129450.18239999999</v>
      </c>
      <c r="V22" s="31">
        <f>T22*14/12</f>
        <v>100683.4752</v>
      </c>
      <c r="W22" s="203"/>
      <c r="X22" s="208"/>
      <c r="Y22" s="599"/>
      <c r="Z22" s="9" t="s">
        <v>11</v>
      </c>
      <c r="AA22" s="29">
        <v>0.04</v>
      </c>
      <c r="AB22" s="31">
        <f>AB19*AA22</f>
        <v>86300.121599999999</v>
      </c>
      <c r="AC22" s="72">
        <f>AB22*18/12</f>
        <v>129450.18239999999</v>
      </c>
      <c r="AD22" s="125">
        <f>AB22*14/12</f>
        <v>100683.4752</v>
      </c>
      <c r="AE22" s="488">
        <f>AE20*980</f>
        <v>383034.95999999996</v>
      </c>
      <c r="AG22" s="74">
        <f>AG20+AG21</f>
        <v>6363070.5599999996</v>
      </c>
      <c r="AH22" s="579" t="s">
        <v>246</v>
      </c>
    </row>
    <row r="23" spans="2:34" ht="15.75" customHeight="1" x14ac:dyDescent="0.25">
      <c r="B23" s="599"/>
      <c r="C23" s="9" t="s">
        <v>12</v>
      </c>
      <c r="D23" s="99">
        <v>0.06</v>
      </c>
      <c r="E23" s="60">
        <f>E19*D23</f>
        <v>129450.18239999999</v>
      </c>
      <c r="F23" s="93">
        <f>E23*18/12</f>
        <v>194175.27359999999</v>
      </c>
      <c r="G23" s="60">
        <f>E23*14/12</f>
        <v>151025.21279999998</v>
      </c>
      <c r="H23" s="201"/>
      <c r="I23" s="599"/>
      <c r="J23" s="9" t="s">
        <v>12</v>
      </c>
      <c r="K23" s="29">
        <v>0.06</v>
      </c>
      <c r="L23" s="32">
        <f>L19*K23</f>
        <v>129450.18239999999</v>
      </c>
      <c r="M23" s="73">
        <f>L23*18/12</f>
        <v>194175.27359999999</v>
      </c>
      <c r="N23" s="74">
        <f>L23*14/12</f>
        <v>151025.21279999998</v>
      </c>
      <c r="O23" s="203"/>
      <c r="P23" s="208"/>
      <c r="Q23" s="599"/>
      <c r="R23" s="9" t="s">
        <v>12</v>
      </c>
      <c r="S23" s="29">
        <v>0.06</v>
      </c>
      <c r="T23" s="32">
        <f>T19*S23</f>
        <v>129450.18239999999</v>
      </c>
      <c r="U23" s="73">
        <f>T23*18/12</f>
        <v>194175.27359999999</v>
      </c>
      <c r="V23" s="32">
        <f>T23*14/12</f>
        <v>151025.21279999998</v>
      </c>
      <c r="W23" s="203"/>
      <c r="X23" s="208"/>
      <c r="Y23" s="599"/>
      <c r="Z23" s="9" t="s">
        <v>12</v>
      </c>
      <c r="AA23" s="29">
        <v>0.06</v>
      </c>
      <c r="AB23" s="32">
        <f>AB19*AA23</f>
        <v>129450.18239999999</v>
      </c>
      <c r="AC23" s="73">
        <f>AB23*18/12</f>
        <v>194175.27359999999</v>
      </c>
      <c r="AD23" s="126">
        <f>AB23*14/12</f>
        <v>151025.21279999998</v>
      </c>
      <c r="AE23" s="59"/>
      <c r="AG23" s="580">
        <f>AG19-AG22</f>
        <v>281413.43999999948</v>
      </c>
      <c r="AH23" s="579" t="s">
        <v>247</v>
      </c>
    </row>
    <row r="24" spans="2:34" ht="15" customHeight="1" thickBot="1" x14ac:dyDescent="0.3">
      <c r="B24" s="599"/>
      <c r="C24" s="9" t="s">
        <v>13</v>
      </c>
      <c r="D24" s="99">
        <v>0.05</v>
      </c>
      <c r="E24" s="60">
        <f>E34*D24</f>
        <v>221482.80000000002</v>
      </c>
      <c r="F24" s="93">
        <f>E24*18/12</f>
        <v>332224.2</v>
      </c>
      <c r="G24" s="60">
        <f>E24*14/12</f>
        <v>258396.6</v>
      </c>
      <c r="H24" s="199"/>
      <c r="I24" s="599"/>
      <c r="J24" s="9" t="s">
        <v>13</v>
      </c>
      <c r="K24" s="29">
        <v>0.05</v>
      </c>
      <c r="L24" s="32">
        <f>L34*K24</f>
        <v>221482.80000000002</v>
      </c>
      <c r="M24" s="73">
        <f>L24*18/12</f>
        <v>332224.2</v>
      </c>
      <c r="N24" s="74">
        <f>L24*14/12</f>
        <v>258396.6</v>
      </c>
      <c r="O24" s="209"/>
      <c r="P24" s="208"/>
      <c r="Q24" s="599"/>
      <c r="R24" s="9" t="s">
        <v>13</v>
      </c>
      <c r="S24" s="29">
        <v>0.05</v>
      </c>
      <c r="T24" s="32">
        <f>T34*S24</f>
        <v>221482.80000000002</v>
      </c>
      <c r="U24" s="73">
        <f>T24*18/12</f>
        <v>332224.2</v>
      </c>
      <c r="V24" s="32">
        <f>T24*14/12</f>
        <v>258396.6</v>
      </c>
      <c r="W24" s="209"/>
      <c r="X24" s="208"/>
      <c r="Y24" s="599"/>
      <c r="Z24" s="9" t="s">
        <v>13</v>
      </c>
      <c r="AA24" s="29">
        <v>0.05</v>
      </c>
      <c r="AB24" s="32">
        <f>AB34*AA24</f>
        <v>221482.80000000002</v>
      </c>
      <c r="AC24" s="32">
        <f>AC34*AA24</f>
        <v>318153.52799999999</v>
      </c>
      <c r="AD24" s="32">
        <f>AD34*AA24</f>
        <v>247452.74400000001</v>
      </c>
      <c r="AE24" s="419" t="s">
        <v>53</v>
      </c>
      <c r="AG24" s="581"/>
      <c r="AH24" s="579"/>
    </row>
    <row r="25" spans="2:34" ht="15" customHeight="1" thickBot="1" x14ac:dyDescent="0.3">
      <c r="B25" s="599"/>
      <c r="C25" s="9" t="s">
        <v>14</v>
      </c>
      <c r="D25" s="99">
        <v>0.02</v>
      </c>
      <c r="E25" s="60">
        <f>E19*D25</f>
        <v>43150.060799999999</v>
      </c>
      <c r="F25" s="93">
        <f>E25*18/12</f>
        <v>64725.091199999995</v>
      </c>
      <c r="G25" s="60">
        <f>E25*14/12</f>
        <v>50341.7376</v>
      </c>
      <c r="H25" s="199"/>
      <c r="I25" s="599"/>
      <c r="J25" s="9" t="s">
        <v>14</v>
      </c>
      <c r="K25" s="29">
        <v>0.02</v>
      </c>
      <c r="L25" s="60">
        <f>L19*K25</f>
        <v>43150.060799999999</v>
      </c>
      <c r="M25" s="93">
        <f>L25*18/12</f>
        <v>64725.091199999995</v>
      </c>
      <c r="N25" s="94">
        <f>L25*14/12</f>
        <v>50341.7376</v>
      </c>
      <c r="O25" s="203"/>
      <c r="P25" s="208"/>
      <c r="Q25" s="599"/>
      <c r="R25" s="9" t="s">
        <v>14</v>
      </c>
      <c r="S25" s="29">
        <v>0.02</v>
      </c>
      <c r="T25" s="78">
        <f>T19*S25</f>
        <v>43150.060799999999</v>
      </c>
      <c r="U25" s="85">
        <f>T25*18/12</f>
        <v>64725.091199999995</v>
      </c>
      <c r="V25" s="78">
        <f>T25*14/12</f>
        <v>50341.7376</v>
      </c>
      <c r="W25" s="203"/>
      <c r="X25" s="208"/>
      <c r="Y25" s="599"/>
      <c r="Z25" s="9" t="s">
        <v>14</v>
      </c>
      <c r="AA25" s="29">
        <v>0.02</v>
      </c>
      <c r="AB25" s="78">
        <f>AB19*AA25</f>
        <v>43150.060799999999</v>
      </c>
      <c r="AC25" s="85">
        <f>AB25*18/12</f>
        <v>64725.091199999995</v>
      </c>
      <c r="AD25" s="78">
        <f>AB25*14/12</f>
        <v>50341.7376</v>
      </c>
      <c r="AE25" s="497">
        <f>AC10-AE20</f>
        <v>3517.6679999999997</v>
      </c>
      <c r="AG25" s="582">
        <f>F15</f>
        <v>109863.59999999995</v>
      </c>
      <c r="AH25" s="579" t="s">
        <v>149</v>
      </c>
    </row>
    <row r="26" spans="2:34" ht="15" customHeight="1" thickBot="1" x14ac:dyDescent="0.3">
      <c r="B26" s="599"/>
      <c r="C26" s="9" t="s">
        <v>37</v>
      </c>
      <c r="D26" s="99">
        <v>0.05</v>
      </c>
      <c r="E26" s="60">
        <f>E19*D26</f>
        <v>107875.152</v>
      </c>
      <c r="F26" s="93">
        <f>F19*D26</f>
        <v>183927.13416000002</v>
      </c>
      <c r="G26" s="60">
        <f>G19*D26</f>
        <v>138622.17600000001</v>
      </c>
      <c r="H26" s="199"/>
      <c r="I26" s="599"/>
      <c r="J26" s="9" t="s">
        <v>37</v>
      </c>
      <c r="K26" s="29">
        <v>0.05</v>
      </c>
      <c r="L26" s="60">
        <f>L19*K26</f>
        <v>107875.152</v>
      </c>
      <c r="M26" s="95">
        <f>M19*K26</f>
        <v>183927.13416000002</v>
      </c>
      <c r="N26" s="60">
        <f>N19*K26</f>
        <v>138622.17600000001</v>
      </c>
      <c r="O26" s="203"/>
      <c r="P26" s="208"/>
      <c r="Q26" s="599"/>
      <c r="R26" s="9" t="s">
        <v>37</v>
      </c>
      <c r="S26" s="29">
        <v>0.05</v>
      </c>
      <c r="T26" s="78">
        <f>T19*S26</f>
        <v>107875.152</v>
      </c>
      <c r="U26" s="85">
        <f>U19*S26</f>
        <v>178835.58000000002</v>
      </c>
      <c r="V26" s="78">
        <f>V19*S26</f>
        <v>138622.17600000001</v>
      </c>
      <c r="W26" s="203"/>
      <c r="X26" s="208"/>
      <c r="Y26" s="599"/>
      <c r="Z26" s="9" t="s">
        <v>37</v>
      </c>
      <c r="AA26" s="29">
        <v>0.05</v>
      </c>
      <c r="AB26" s="78">
        <f>AB19*AA26</f>
        <v>107875.152</v>
      </c>
      <c r="AC26" s="85">
        <f>AC19*AA26</f>
        <v>183927.13416000002</v>
      </c>
      <c r="AD26" s="78">
        <f>AD19*AA26</f>
        <v>138622.17600000001</v>
      </c>
      <c r="AE26" s="419" t="s">
        <v>58</v>
      </c>
      <c r="AF26" s="115"/>
      <c r="AG26" s="583">
        <f>AG23-AG25</f>
        <v>171549.83999999953</v>
      </c>
      <c r="AH26" s="579" t="s">
        <v>251</v>
      </c>
    </row>
    <row r="27" spans="2:34" ht="15.75" customHeight="1" thickBot="1" x14ac:dyDescent="0.3">
      <c r="B27" s="599"/>
      <c r="C27" s="9" t="s">
        <v>41</v>
      </c>
      <c r="D27" s="99">
        <f>+E27/E19</f>
        <v>1.2344536951382464E-2</v>
      </c>
      <c r="E27" s="60">
        <f>0.3*(E14+E15)*8%*2</f>
        <v>26633.376</v>
      </c>
      <c r="F27" s="90">
        <f>0.3*(F14+F15)*8%*2</f>
        <v>31906.828799999999</v>
      </c>
      <c r="G27" s="60">
        <f>0.3*(G14+G15)*8%*2</f>
        <v>27876.7104</v>
      </c>
      <c r="H27" s="199"/>
      <c r="I27" s="599"/>
      <c r="J27" s="9" t="s">
        <v>41</v>
      </c>
      <c r="K27" s="29">
        <f>+L27/L19</f>
        <v>1.2344536951382464E-2</v>
      </c>
      <c r="L27" s="60">
        <f>0.3*(L14+L15)*8%*2</f>
        <v>26633.376</v>
      </c>
      <c r="M27" s="60">
        <f>0.3*(M14+M15)*8%*2</f>
        <v>29270.1024</v>
      </c>
      <c r="N27" s="60">
        <f>0.3*(N14+N15)*8%*2</f>
        <v>27255.0432</v>
      </c>
      <c r="O27" s="203"/>
      <c r="P27" s="208"/>
      <c r="Q27" s="599"/>
      <c r="R27" s="9" t="s">
        <v>41</v>
      </c>
      <c r="S27" s="29">
        <f>+T27/T19</f>
        <v>1.2344536951382464E-2</v>
      </c>
      <c r="T27" s="78">
        <f>0.3*(T14+T15)*8%*2</f>
        <v>26633.376</v>
      </c>
      <c r="U27" s="80">
        <f>0.3*(U14+U15)*8%*2</f>
        <v>33064.416000000005</v>
      </c>
      <c r="V27" s="78">
        <f>0.3*(V14+V15)*8%*2</f>
        <v>27876.7104</v>
      </c>
      <c r="W27" s="203"/>
      <c r="X27" s="208"/>
      <c r="Y27" s="599"/>
      <c r="Z27" s="9" t="s">
        <v>41</v>
      </c>
      <c r="AA27" s="29">
        <f>+AB27/AB19</f>
        <v>1.2344536951382464E-2</v>
      </c>
      <c r="AB27" s="78">
        <f>0.3*(AB14+AB15)*8%*2</f>
        <v>26633.376</v>
      </c>
      <c r="AC27" s="80">
        <f>0.3*(AC14+AC15)*8%*2</f>
        <v>26633.376</v>
      </c>
      <c r="AD27" s="86">
        <f>0.3*(AD14+AD15)*8%*2</f>
        <v>26633.376</v>
      </c>
      <c r="AE27" s="419">
        <f>AE25*1700</f>
        <v>5980035.5999999996</v>
      </c>
      <c r="AG27" s="583">
        <f>AG26/AE25</f>
        <v>48.768058838980693</v>
      </c>
      <c r="AH27" s="579" t="s">
        <v>253</v>
      </c>
    </row>
    <row r="28" spans="2:34" ht="15.75" customHeight="1" thickBot="1" x14ac:dyDescent="0.3">
      <c r="B28" s="599"/>
      <c r="C28" s="8" t="s">
        <v>227</v>
      </c>
      <c r="D28" s="551" t="s">
        <v>228</v>
      </c>
      <c r="E28" s="550">
        <f>E29/E11</f>
        <v>131.10070921985817</v>
      </c>
      <c r="F28" s="550">
        <f t="shared" ref="F28:G28" si="0">F29/F11</f>
        <v>128.80720658888129</v>
      </c>
      <c r="G28" s="550">
        <f t="shared" si="0"/>
        <v>125.85794272916331</v>
      </c>
      <c r="H28" s="199"/>
      <c r="I28" s="599"/>
      <c r="J28" s="8" t="s">
        <v>227</v>
      </c>
      <c r="K28" s="551" t="s">
        <v>228</v>
      </c>
      <c r="L28" s="550">
        <f>L29/L11</f>
        <v>131.10070921985817</v>
      </c>
      <c r="M28" s="550">
        <f t="shared" ref="M28" si="1">M29/M11</f>
        <v>128.44451307862428</v>
      </c>
      <c r="N28" s="550">
        <f t="shared" ref="N28" si="2">N29/N11</f>
        <v>125.75031195008796</v>
      </c>
      <c r="O28" s="203"/>
      <c r="P28" s="208"/>
      <c r="Q28" s="599"/>
      <c r="R28" s="8" t="s">
        <v>227</v>
      </c>
      <c r="S28" s="551" t="s">
        <v>228</v>
      </c>
      <c r="T28" s="550">
        <f>T29/T11</f>
        <v>131.10070921985817</v>
      </c>
      <c r="U28" s="567">
        <f t="shared" ref="U28" si="3">U29/U11</f>
        <v>131.91788235294118</v>
      </c>
      <c r="V28" s="78">
        <f t="shared" ref="V28" si="4">V29/V11</f>
        <v>125.85794272916331</v>
      </c>
      <c r="W28" s="203"/>
      <c r="X28" s="208"/>
      <c r="Y28" s="599"/>
      <c r="Z28" s="8" t="s">
        <v>227</v>
      </c>
      <c r="AA28" s="551" t="s">
        <v>228</v>
      </c>
      <c r="AB28" s="550">
        <f>AB29/AB11</f>
        <v>131.10070921985817</v>
      </c>
      <c r="AC28" s="550">
        <f t="shared" ref="AC28" si="5">AC29/AC11</f>
        <v>126.14633569739955</v>
      </c>
      <c r="AD28" s="550">
        <f t="shared" ref="AD28" si="6">AD29/AD11</f>
        <v>123.74794432890738</v>
      </c>
      <c r="AE28" s="558"/>
    </row>
    <row r="29" spans="2:34" ht="15.75" customHeight="1" thickBot="1" x14ac:dyDescent="0.3">
      <c r="B29" s="598"/>
      <c r="C29" s="10" t="s">
        <v>39</v>
      </c>
      <c r="D29" s="30"/>
      <c r="E29" s="33">
        <f>SUM(E22:E27)</f>
        <v>614891.69280000008</v>
      </c>
      <c r="F29" s="108">
        <f>SUM(F22:F27)</f>
        <v>936408.71016000002</v>
      </c>
      <c r="G29" s="33">
        <f>SUM(G22:G27)</f>
        <v>726945.91199999989</v>
      </c>
      <c r="H29" s="199"/>
      <c r="I29" s="598"/>
      <c r="J29" s="10" t="s">
        <v>39</v>
      </c>
      <c r="K29" s="30"/>
      <c r="L29" s="33">
        <f>SUM(L22:L27)</f>
        <v>614891.69280000008</v>
      </c>
      <c r="M29" s="71">
        <f>SUM(M22:M27)</f>
        <v>933771.98375999997</v>
      </c>
      <c r="N29" s="33">
        <f>SUM(N22:N27)</f>
        <v>726324.24479999987</v>
      </c>
      <c r="O29" s="203"/>
      <c r="P29" s="203"/>
      <c r="Q29" s="598"/>
      <c r="R29" s="10" t="s">
        <v>39</v>
      </c>
      <c r="S29" s="30"/>
      <c r="T29" s="33">
        <f>SUM(T22:T27)</f>
        <v>614891.69280000008</v>
      </c>
      <c r="U29" s="108">
        <f>SUM(U22:U27)</f>
        <v>932474.74319999991</v>
      </c>
      <c r="V29" s="33">
        <f>SUM(V22:V27)</f>
        <v>726945.91199999989</v>
      </c>
      <c r="W29" s="203"/>
      <c r="X29" s="203"/>
      <c r="Y29" s="598"/>
      <c r="Z29" s="10" t="s">
        <v>39</v>
      </c>
      <c r="AA29" s="30"/>
      <c r="AB29" s="33">
        <f>SUM(AB22:AB27)</f>
        <v>614891.69280000008</v>
      </c>
      <c r="AC29" s="71">
        <f>SUM(AC22:AC27)</f>
        <v>917064.58536000003</v>
      </c>
      <c r="AD29" s="70">
        <f>SUM(AD22:AD27)</f>
        <v>714758.72160000005</v>
      </c>
      <c r="AE29" s="130"/>
    </row>
    <row r="30" spans="2:34" ht="15" customHeight="1" thickBot="1" x14ac:dyDescent="0.3">
      <c r="B30" s="597" t="s">
        <v>170</v>
      </c>
      <c r="C30" s="525" t="s">
        <v>156</v>
      </c>
      <c r="D30" s="526"/>
      <c r="E30" s="527">
        <f>E14+E15+E19+E29</f>
        <v>3327256.7328000003</v>
      </c>
      <c r="F30" s="528">
        <f>F14+F15+F19+F29</f>
        <v>5279676.9933599997</v>
      </c>
      <c r="G30" s="527">
        <f>G14+G15+G19+G29</f>
        <v>4080154.2320000003</v>
      </c>
      <c r="H30" s="199"/>
      <c r="I30" s="597" t="s">
        <v>170</v>
      </c>
      <c r="J30" s="525" t="s">
        <v>156</v>
      </c>
      <c r="K30" s="526"/>
      <c r="L30" s="527">
        <f>L14+L15+L19+L29</f>
        <v>3327256.7328000003</v>
      </c>
      <c r="M30" s="528">
        <f>M14+M15+M19+M29</f>
        <v>5222108.4669599999</v>
      </c>
      <c r="N30" s="527">
        <f>N14+N15+N19+N29</f>
        <v>4066581.1647999999</v>
      </c>
      <c r="O30" s="203"/>
      <c r="P30" s="203"/>
      <c r="Q30" s="597" t="s">
        <v>170</v>
      </c>
      <c r="R30" s="525" t="s">
        <v>156</v>
      </c>
      <c r="S30" s="526"/>
      <c r="T30" s="527">
        <f>T14+T15+T19+T29</f>
        <v>3327256.7328000003</v>
      </c>
      <c r="U30" s="528">
        <f>U14+U15+U19+U29</f>
        <v>5198028.3432</v>
      </c>
      <c r="V30" s="568">
        <f>V14+V15+V19+V29</f>
        <v>4080154.2320000003</v>
      </c>
      <c r="W30" s="203"/>
      <c r="X30" s="203"/>
      <c r="Y30" s="597" t="s">
        <v>170</v>
      </c>
      <c r="Z30" s="525" t="s">
        <v>156</v>
      </c>
      <c r="AA30" s="526"/>
      <c r="AB30" s="527">
        <f>AB14+AB15+AB19+AB29</f>
        <v>3327256.7328000003</v>
      </c>
      <c r="AC30" s="528">
        <f>AC14+AC15+AC19+AC29</f>
        <v>5150469.2685599998</v>
      </c>
      <c r="AD30" s="527">
        <f>AD14+AD15+AD19+AD29</f>
        <v>4042064.2416000003</v>
      </c>
      <c r="AE30" s="391" t="s">
        <v>54</v>
      </c>
      <c r="AG30" s="585">
        <f>AG25/AC10</f>
        <v>28.108747044917248</v>
      </c>
      <c r="AH30" s="586" t="s">
        <v>254</v>
      </c>
    </row>
    <row r="31" spans="2:34" ht="15.75" customHeight="1" thickBot="1" x14ac:dyDescent="0.3">
      <c r="B31" s="598"/>
      <c r="C31" s="529" t="s">
        <v>34</v>
      </c>
      <c r="D31" s="530"/>
      <c r="E31" s="531">
        <f>E30/E10</f>
        <v>1276.9245390070923</v>
      </c>
      <c r="F31" s="532">
        <f>F30/F10</f>
        <v>1350.8123262411348</v>
      </c>
      <c r="G31" s="531">
        <f>G30/G10</f>
        <v>1342.1736575481257</v>
      </c>
      <c r="H31" s="199"/>
      <c r="I31" s="598"/>
      <c r="J31" s="529" t="s">
        <v>34</v>
      </c>
      <c r="K31" s="530"/>
      <c r="L31" s="531">
        <f>L30/L10</f>
        <v>1276.9245390070923</v>
      </c>
      <c r="M31" s="532">
        <f>M30/M10</f>
        <v>1336.0833427895982</v>
      </c>
      <c r="N31" s="531">
        <f>N30/N10</f>
        <v>1337.7087740628165</v>
      </c>
      <c r="O31" s="203"/>
      <c r="P31" s="209"/>
      <c r="Q31" s="598"/>
      <c r="R31" s="529" t="s">
        <v>34</v>
      </c>
      <c r="S31" s="530"/>
      <c r="T31" s="531">
        <f>T30/T10</f>
        <v>1276.9245390070923</v>
      </c>
      <c r="U31" s="532">
        <f>U30/U10</f>
        <v>1250.1270666666667</v>
      </c>
      <c r="V31" s="531">
        <f>V30/V10</f>
        <v>1342.1736575481257</v>
      </c>
      <c r="W31" s="203"/>
      <c r="X31" s="209"/>
      <c r="Y31" s="598"/>
      <c r="Z31" s="529" t="s">
        <v>34</v>
      </c>
      <c r="AA31" s="530"/>
      <c r="AB31" s="531">
        <f>AB30/AB10</f>
        <v>1276.9245390070923</v>
      </c>
      <c r="AC31" s="532">
        <f>AC30/AC10</f>
        <v>1317.7543593380615</v>
      </c>
      <c r="AD31" s="546">
        <f>AD30/AD10</f>
        <v>1329.6438905775076</v>
      </c>
      <c r="AE31" s="391">
        <f>+AE27+AE22</f>
        <v>6363070.5599999996</v>
      </c>
      <c r="AG31" s="102"/>
    </row>
    <row r="32" spans="2:34" ht="15.75" customHeight="1" thickBot="1" x14ac:dyDescent="0.3">
      <c r="B32" s="597" t="s">
        <v>171</v>
      </c>
      <c r="C32" s="646" t="s">
        <v>17</v>
      </c>
      <c r="D32" s="637"/>
      <c r="E32" s="637"/>
      <c r="F32" s="637"/>
      <c r="G32" s="638"/>
      <c r="H32" s="199"/>
      <c r="I32" s="597" t="s">
        <v>171</v>
      </c>
      <c r="J32" s="646" t="s">
        <v>17</v>
      </c>
      <c r="K32" s="637"/>
      <c r="L32" s="637"/>
      <c r="M32" s="637"/>
      <c r="N32" s="638"/>
      <c r="O32" s="203"/>
      <c r="P32" s="203"/>
      <c r="Q32" s="597" t="s">
        <v>171</v>
      </c>
      <c r="R32" s="646" t="s">
        <v>17</v>
      </c>
      <c r="S32" s="637"/>
      <c r="T32" s="637"/>
      <c r="U32" s="637"/>
      <c r="V32" s="638"/>
      <c r="W32" s="203"/>
      <c r="X32" s="203"/>
      <c r="Y32" s="597" t="s">
        <v>171</v>
      </c>
      <c r="Z32" s="646" t="s">
        <v>17</v>
      </c>
      <c r="AA32" s="637"/>
      <c r="AB32" s="637"/>
      <c r="AC32" s="637"/>
      <c r="AD32" s="637"/>
      <c r="AE32" s="392" t="s">
        <v>55</v>
      </c>
      <c r="AG32" s="569"/>
    </row>
    <row r="33" spans="2:33" ht="15.75" customHeight="1" thickBot="1" x14ac:dyDescent="0.3">
      <c r="B33" s="599"/>
      <c r="C33" s="7" t="s">
        <v>18</v>
      </c>
      <c r="D33" s="34"/>
      <c r="E33" s="127">
        <v>1700</v>
      </c>
      <c r="F33" s="127">
        <v>1700</v>
      </c>
      <c r="G33" s="127">
        <v>1700</v>
      </c>
      <c r="H33" s="199"/>
      <c r="I33" s="599"/>
      <c r="J33" s="7" t="s">
        <v>18</v>
      </c>
      <c r="K33" s="34"/>
      <c r="L33" s="27">
        <v>1700</v>
      </c>
      <c r="M33" s="27">
        <v>1700</v>
      </c>
      <c r="N33" s="27">
        <v>1700</v>
      </c>
      <c r="O33" s="203"/>
      <c r="P33" s="203"/>
      <c r="Q33" s="599"/>
      <c r="R33" s="7" t="s">
        <v>18</v>
      </c>
      <c r="S33" s="34"/>
      <c r="T33" s="27">
        <v>1700</v>
      </c>
      <c r="U33" s="27">
        <v>1700</v>
      </c>
      <c r="V33" s="27">
        <v>1700</v>
      </c>
      <c r="W33" s="203"/>
      <c r="X33" s="203"/>
      <c r="Y33" s="599"/>
      <c r="Z33" s="7" t="s">
        <v>18</v>
      </c>
      <c r="AA33" s="34"/>
      <c r="AB33" s="197">
        <v>1700</v>
      </c>
      <c r="AC33" s="489">
        <f>AE33</f>
        <v>1628</v>
      </c>
      <c r="AD33" s="489">
        <f>AE33</f>
        <v>1628</v>
      </c>
      <c r="AE33" s="493">
        <f>AE31/AC10</f>
        <v>1628</v>
      </c>
      <c r="AG33" s="102"/>
    </row>
    <row r="34" spans="2:33" ht="15.75" customHeight="1" thickBot="1" x14ac:dyDescent="0.3">
      <c r="B34" s="598"/>
      <c r="C34" s="8" t="s">
        <v>19</v>
      </c>
      <c r="D34" s="35"/>
      <c r="E34" s="36">
        <f>E10*E33</f>
        <v>4429656</v>
      </c>
      <c r="F34" s="47">
        <f>F10*F33</f>
        <v>6644483.9999999991</v>
      </c>
      <c r="G34" s="36">
        <f>G10*G33</f>
        <v>5167932</v>
      </c>
      <c r="H34" s="199"/>
      <c r="I34" s="598"/>
      <c r="J34" s="8" t="s">
        <v>19</v>
      </c>
      <c r="K34" s="35"/>
      <c r="L34" s="36">
        <f>L10*L33</f>
        <v>4429656</v>
      </c>
      <c r="M34" s="47">
        <f>M10*M33</f>
        <v>6644483.9999999991</v>
      </c>
      <c r="N34" s="36">
        <f>N10*N33</f>
        <v>5167932</v>
      </c>
      <c r="O34" s="203"/>
      <c r="P34" s="203"/>
      <c r="Q34" s="598"/>
      <c r="R34" s="8" t="s">
        <v>19</v>
      </c>
      <c r="S34" s="35"/>
      <c r="T34" s="36">
        <f>T10*T33</f>
        <v>4429656</v>
      </c>
      <c r="U34" s="47">
        <f>U10*U33</f>
        <v>7068600</v>
      </c>
      <c r="V34" s="36">
        <f>V10*V33</f>
        <v>5167932</v>
      </c>
      <c r="W34" s="203"/>
      <c r="X34" s="203"/>
      <c r="Y34" s="598"/>
      <c r="Z34" s="8" t="s">
        <v>19</v>
      </c>
      <c r="AA34" s="35"/>
      <c r="AB34" s="36">
        <f>AB10*AB33</f>
        <v>4429656</v>
      </c>
      <c r="AC34" s="47">
        <f>AC10*AC33</f>
        <v>6363070.5599999996</v>
      </c>
      <c r="AD34" s="128">
        <f>AD10*AD33</f>
        <v>4949054.88</v>
      </c>
      <c r="AE34" s="203"/>
    </row>
    <row r="35" spans="2:33" ht="15.75" customHeight="1" thickBot="1" x14ac:dyDescent="0.3">
      <c r="B35" s="597" t="s">
        <v>172</v>
      </c>
      <c r="C35" s="646" t="s">
        <v>20</v>
      </c>
      <c r="D35" s="637"/>
      <c r="E35" s="637"/>
      <c r="F35" s="637"/>
      <c r="G35" s="638"/>
      <c r="H35" s="199"/>
      <c r="I35" s="597" t="s">
        <v>172</v>
      </c>
      <c r="J35" s="646" t="s">
        <v>20</v>
      </c>
      <c r="K35" s="637"/>
      <c r="L35" s="637"/>
      <c r="M35" s="637"/>
      <c r="N35" s="638"/>
      <c r="O35" s="203"/>
      <c r="P35" s="203"/>
      <c r="Q35" s="597" t="s">
        <v>172</v>
      </c>
      <c r="R35" s="646" t="s">
        <v>20</v>
      </c>
      <c r="S35" s="637"/>
      <c r="T35" s="637"/>
      <c r="U35" s="637"/>
      <c r="V35" s="638"/>
      <c r="W35" s="203"/>
      <c r="X35" s="203"/>
      <c r="Y35" s="597" t="s">
        <v>172</v>
      </c>
      <c r="Z35" s="646" t="s">
        <v>20</v>
      </c>
      <c r="AA35" s="637"/>
      <c r="AB35" s="637"/>
      <c r="AC35" s="637"/>
      <c r="AD35" s="638"/>
      <c r="AE35" s="203"/>
    </row>
    <row r="36" spans="2:33" ht="15" customHeight="1" x14ac:dyDescent="0.25">
      <c r="B36" s="599"/>
      <c r="C36" s="9" t="s">
        <v>21</v>
      </c>
      <c r="D36" s="37"/>
      <c r="E36" s="31">
        <f>E34-E30</f>
        <v>1102399.2671999997</v>
      </c>
      <c r="F36" s="45">
        <f>F34-F30</f>
        <v>1364807.0066399993</v>
      </c>
      <c r="G36" s="31">
        <f>G34-G30</f>
        <v>1087777.7679999997</v>
      </c>
      <c r="H36" s="118"/>
      <c r="I36" s="599"/>
      <c r="J36" s="9" t="s">
        <v>21</v>
      </c>
      <c r="K36" s="37"/>
      <c r="L36" s="31">
        <f>L34-L30</f>
        <v>1102399.2671999997</v>
      </c>
      <c r="M36" s="45">
        <f>M34-M30</f>
        <v>1422375.5330399992</v>
      </c>
      <c r="N36" s="31">
        <f>N34-N30</f>
        <v>1101350.8352000001</v>
      </c>
      <c r="P36" s="203"/>
      <c r="Q36" s="599"/>
      <c r="R36" s="9" t="s">
        <v>21</v>
      </c>
      <c r="S36" s="37"/>
      <c r="T36" s="31">
        <f>T34-T30</f>
        <v>1102399.2671999997</v>
      </c>
      <c r="U36" s="45">
        <f>U34-U30</f>
        <v>1870571.6568</v>
      </c>
      <c r="V36" s="31">
        <f>V34-V30</f>
        <v>1087777.7679999997</v>
      </c>
      <c r="X36" s="203"/>
      <c r="Y36" s="599"/>
      <c r="Z36" s="9" t="s">
        <v>21</v>
      </c>
      <c r="AA36" s="37"/>
      <c r="AB36" s="31">
        <f>AB34-AB30</f>
        <v>1102399.2671999997</v>
      </c>
      <c r="AC36" s="45">
        <f>AC34-AC30</f>
        <v>1212601.2914399998</v>
      </c>
      <c r="AD36" s="31">
        <f>AD34-AD30</f>
        <v>906990.63839999959</v>
      </c>
      <c r="AE36" s="203"/>
    </row>
    <row r="37" spans="2:33" ht="15" customHeight="1" x14ac:dyDescent="0.25">
      <c r="B37" s="599"/>
      <c r="C37" s="9" t="s">
        <v>35</v>
      </c>
      <c r="D37" s="66"/>
      <c r="E37" s="60">
        <f>-E36*15%</f>
        <v>-165359.89007999995</v>
      </c>
      <c r="F37" s="61">
        <f>-F36*15%</f>
        <v>-204721.05099599989</v>
      </c>
      <c r="G37" s="60">
        <f>-G36*15%</f>
        <v>-163166.66519999996</v>
      </c>
      <c r="I37" s="599"/>
      <c r="J37" s="9" t="s">
        <v>35</v>
      </c>
      <c r="K37" s="66"/>
      <c r="L37" s="60">
        <f>-L36*15%</f>
        <v>-165359.89007999995</v>
      </c>
      <c r="M37" s="61">
        <f>-M36*15%</f>
        <v>-213356.32995599988</v>
      </c>
      <c r="N37" s="60">
        <f>-N36*15%</f>
        <v>-165202.62528000001</v>
      </c>
      <c r="P37" s="203"/>
      <c r="Q37" s="599"/>
      <c r="R37" s="9" t="s">
        <v>35</v>
      </c>
      <c r="S37" s="81"/>
      <c r="T37" s="78">
        <f>-T36*15%</f>
        <v>-165359.89007999995</v>
      </c>
      <c r="U37" s="79">
        <f>-U36*15%</f>
        <v>-280585.74851999996</v>
      </c>
      <c r="V37" s="78">
        <f>-V36*15%</f>
        <v>-163166.66519999996</v>
      </c>
      <c r="X37" s="203"/>
      <c r="Y37" s="599"/>
      <c r="Z37" s="9" t="s">
        <v>35</v>
      </c>
      <c r="AA37" s="81"/>
      <c r="AB37" s="78">
        <f>-AB36*15%</f>
        <v>-165359.89007999995</v>
      </c>
      <c r="AC37" s="79">
        <f>-AC36*15%</f>
        <v>-181890.19371599998</v>
      </c>
      <c r="AD37" s="78">
        <f>-AD36*15%</f>
        <v>-136048.59575999994</v>
      </c>
      <c r="AE37" s="203"/>
    </row>
    <row r="38" spans="2:33" ht="15" customHeight="1" x14ac:dyDescent="0.25">
      <c r="B38" s="599"/>
      <c r="C38" s="9" t="s">
        <v>27</v>
      </c>
      <c r="D38" s="66"/>
      <c r="E38" s="60">
        <f>-(E36-E37)*22%</f>
        <v>-278907.01460159995</v>
      </c>
      <c r="F38" s="61">
        <f>-(F36-F37)*22%</f>
        <v>-345296.17267991987</v>
      </c>
      <c r="G38" s="60">
        <f>-(G36-G37)*22%</f>
        <v>-275207.77530399989</v>
      </c>
      <c r="I38" s="599"/>
      <c r="J38" s="9" t="s">
        <v>27</v>
      </c>
      <c r="K38" s="66"/>
      <c r="L38" s="60">
        <f>-(L36-L37)*22%</f>
        <v>-278907.01460159995</v>
      </c>
      <c r="M38" s="61">
        <f>-(M36-M37)*22%</f>
        <v>-359861.00985911983</v>
      </c>
      <c r="N38" s="60">
        <f>-(N36-N37)*22%</f>
        <v>-278641.76130560006</v>
      </c>
      <c r="P38" s="203"/>
      <c r="Q38" s="599"/>
      <c r="R38" s="9" t="s">
        <v>27</v>
      </c>
      <c r="S38" s="37"/>
      <c r="T38" s="32">
        <f>-(T36-T37)*22%</f>
        <v>-278907.01460159995</v>
      </c>
      <c r="U38" s="45">
        <f>-(U36-U37)*22%</f>
        <v>-473254.62917039997</v>
      </c>
      <c r="V38" s="32">
        <f>-(V36-V37)*22%</f>
        <v>-275207.77530399989</v>
      </c>
      <c r="X38" s="203"/>
      <c r="Y38" s="599"/>
      <c r="Z38" s="9" t="s">
        <v>27</v>
      </c>
      <c r="AA38" s="37"/>
      <c r="AB38" s="32">
        <f>-(AB36-AB37)*22%</f>
        <v>-278907.01460159995</v>
      </c>
      <c r="AC38" s="45">
        <f>-(AC36-AC37)*22%</f>
        <v>-306788.12673431996</v>
      </c>
      <c r="AD38" s="32">
        <f>-(AD36-AD37)*22%</f>
        <v>-229468.6315151999</v>
      </c>
      <c r="AE38" s="203"/>
    </row>
    <row r="39" spans="2:33" ht="15.75" customHeight="1" thickBot="1" x14ac:dyDescent="0.3">
      <c r="B39" s="598"/>
      <c r="C39" s="15" t="s">
        <v>22</v>
      </c>
      <c r="D39" s="63"/>
      <c r="E39" s="64">
        <f>-(E36-E37)*13%</f>
        <v>-164808.69044639997</v>
      </c>
      <c r="F39" s="65">
        <f>-(F36-F37)*13%</f>
        <v>-204038.64749267991</v>
      </c>
      <c r="G39" s="64">
        <f>-(G36-G37)*13%</f>
        <v>-162622.77631599994</v>
      </c>
      <c r="I39" s="598"/>
      <c r="J39" s="15" t="s">
        <v>22</v>
      </c>
      <c r="K39" s="63"/>
      <c r="L39" s="64">
        <f>-(L36-L37)*13%</f>
        <v>-164808.69044639997</v>
      </c>
      <c r="M39" s="65">
        <f>-(M36-M37)*13%</f>
        <v>-212645.1421894799</v>
      </c>
      <c r="N39" s="64">
        <f>-(N36-N37)*13%</f>
        <v>-164651.94986240001</v>
      </c>
      <c r="P39" s="203"/>
      <c r="Q39" s="598"/>
      <c r="R39" s="15" t="s">
        <v>22</v>
      </c>
      <c r="S39" s="63"/>
      <c r="T39" s="64">
        <f>-(T36-T37)*13%</f>
        <v>-164808.69044639997</v>
      </c>
      <c r="U39" s="65">
        <f>-(U36-U37)*13%</f>
        <v>-279650.46269159997</v>
      </c>
      <c r="V39" s="64">
        <f>-(V36-V37)*13%</f>
        <v>-162622.77631599994</v>
      </c>
      <c r="X39" s="203"/>
      <c r="Y39" s="598"/>
      <c r="Z39" s="15" t="s">
        <v>22</v>
      </c>
      <c r="AA39" s="63"/>
      <c r="AB39" s="64">
        <f>-(AB36-AB37)*13%</f>
        <v>-164808.69044639997</v>
      </c>
      <c r="AC39" s="65">
        <f>-(AC36-AC37)*13%</f>
        <v>-181283.89307028</v>
      </c>
      <c r="AD39" s="64">
        <f>-(AD36-AD37)*13%</f>
        <v>-135595.10044079996</v>
      </c>
      <c r="AE39" s="203"/>
    </row>
    <row r="40" spans="2:33" ht="15.75" customHeight="1" thickBot="1" x14ac:dyDescent="0.3">
      <c r="B40" s="597" t="s">
        <v>173</v>
      </c>
      <c r="C40" s="122" t="s">
        <v>36</v>
      </c>
      <c r="D40" s="123"/>
      <c r="E40" s="14">
        <f>SUM(E36:E39)</f>
        <v>493323.67207199975</v>
      </c>
      <c r="F40" s="48">
        <f>SUM(F36:F39)</f>
        <v>610751.13547139964</v>
      </c>
      <c r="G40" s="14">
        <f>SUM(G36:G39)</f>
        <v>486780.55117999995</v>
      </c>
      <c r="I40" s="597" t="s">
        <v>173</v>
      </c>
      <c r="J40" s="12" t="s">
        <v>36</v>
      </c>
      <c r="K40" s="13"/>
      <c r="L40" s="14">
        <f>SUM(L36:L39)</f>
        <v>493323.67207199975</v>
      </c>
      <c r="M40" s="48">
        <f>SUM(M36:M39)</f>
        <v>636513.05103539955</v>
      </c>
      <c r="N40" s="14">
        <f>SUM(N36:N39)</f>
        <v>492854.49875199998</v>
      </c>
      <c r="P40" s="203"/>
      <c r="Q40" s="597" t="s">
        <v>173</v>
      </c>
      <c r="R40" s="12" t="s">
        <v>36</v>
      </c>
      <c r="S40" s="13"/>
      <c r="T40" s="14">
        <f>SUM(T36:T39)</f>
        <v>493323.67207199975</v>
      </c>
      <c r="U40" s="48">
        <f>SUM(U36:U39)</f>
        <v>837080.81641800003</v>
      </c>
      <c r="V40" s="14">
        <f>SUM(V36:V39)</f>
        <v>486780.55117999995</v>
      </c>
      <c r="X40" s="203"/>
      <c r="Y40" s="597" t="s">
        <v>173</v>
      </c>
      <c r="Z40" s="12" t="s">
        <v>36</v>
      </c>
      <c r="AA40" s="13"/>
      <c r="AB40" s="14">
        <f>SUM(AB36:AB39)</f>
        <v>493323.67207199975</v>
      </c>
      <c r="AC40" s="48">
        <f>SUM(AC36:AC39)</f>
        <v>542639.07791939995</v>
      </c>
      <c r="AD40" s="14">
        <f>SUM(AD36:AD39)</f>
        <v>405878.31068399979</v>
      </c>
      <c r="AE40" s="203"/>
    </row>
    <row r="41" spans="2:33" ht="19.5" customHeight="1" thickBot="1" x14ac:dyDescent="0.35">
      <c r="B41" s="598"/>
      <c r="C41" s="11" t="s">
        <v>51</v>
      </c>
      <c r="D41" s="38"/>
      <c r="E41" s="39">
        <f>E40/E34</f>
        <v>0.11136839340842715</v>
      </c>
      <c r="F41" s="49">
        <f>F40/F34</f>
        <v>9.1918520004171847E-2</v>
      </c>
      <c r="G41" s="39">
        <f>G40/G34</f>
        <v>9.4192522498361034E-2</v>
      </c>
      <c r="I41" s="598"/>
      <c r="J41" s="11" t="s">
        <v>147</v>
      </c>
      <c r="K41" s="38"/>
      <c r="L41" s="39">
        <f>L40/L34</f>
        <v>0.11136839340842715</v>
      </c>
      <c r="M41" s="49">
        <f>M40/M34</f>
        <v>9.5795708295091028E-2</v>
      </c>
      <c r="N41" s="39">
        <f>N40/N34</f>
        <v>9.5367837415817391E-2</v>
      </c>
      <c r="P41" s="203"/>
      <c r="Q41" s="598"/>
      <c r="R41" s="103" t="s">
        <v>159</v>
      </c>
      <c r="S41" s="38"/>
      <c r="T41" s="39">
        <f>T40/T34</f>
        <v>0.11136839340842715</v>
      </c>
      <c r="U41" s="49">
        <f>U40/U34</f>
        <v>0.11842243392156863</v>
      </c>
      <c r="V41" s="39">
        <f>V40/V34</f>
        <v>9.4192522498361034E-2</v>
      </c>
      <c r="X41" s="203"/>
      <c r="Y41" s="598"/>
      <c r="Z41" s="103" t="s">
        <v>162</v>
      </c>
      <c r="AA41" s="38"/>
      <c r="AB41" s="39">
        <f>AB40/AB34</f>
        <v>0.11136839340842715</v>
      </c>
      <c r="AC41" s="49">
        <f>AC40/AC34</f>
        <v>8.5279437466964064E-2</v>
      </c>
      <c r="AD41" s="39">
        <f>AD40/AD34</f>
        <v>8.2011277006489733E-2</v>
      </c>
      <c r="AE41" s="203"/>
    </row>
    <row r="42" spans="2:33" ht="31.5" x14ac:dyDescent="0.25">
      <c r="B42" s="600"/>
      <c r="C42" s="600"/>
      <c r="D42" s="600"/>
      <c r="E42" s="600"/>
      <c r="F42" s="600"/>
      <c r="G42" s="600"/>
      <c r="I42" s="56"/>
      <c r="Q42" s="600"/>
      <c r="R42" s="600"/>
      <c r="S42" s="600"/>
      <c r="T42" s="600"/>
      <c r="U42" s="600"/>
      <c r="V42" s="600"/>
      <c r="AE42" s="203"/>
    </row>
    <row r="43" spans="2:33" ht="14.25" customHeight="1" thickBot="1" x14ac:dyDescent="0.3">
      <c r="B43" s="590" t="s">
        <v>194</v>
      </c>
      <c r="C43" s="590"/>
      <c r="D43" s="590"/>
      <c r="E43" s="590"/>
      <c r="F43" s="590"/>
      <c r="G43" s="590"/>
      <c r="I43" s="590" t="s">
        <v>194</v>
      </c>
      <c r="J43" s="590"/>
      <c r="K43" s="590"/>
      <c r="L43" s="590"/>
      <c r="M43" s="590"/>
      <c r="N43" s="590"/>
      <c r="Q43" s="590" t="s">
        <v>194</v>
      </c>
      <c r="R43" s="590"/>
      <c r="S43" s="590"/>
      <c r="T43" s="590"/>
      <c r="U43" s="590"/>
      <c r="V43" s="590"/>
      <c r="Y43" s="590" t="s">
        <v>194</v>
      </c>
      <c r="Z43" s="590"/>
      <c r="AA43" s="590"/>
      <c r="AB43" s="590"/>
      <c r="AC43" s="590"/>
      <c r="AD43" s="590"/>
    </row>
    <row r="44" spans="2:33" ht="50.25" customHeight="1" thickBot="1" x14ac:dyDescent="0.3">
      <c r="B44" s="310" t="s">
        <v>187</v>
      </c>
      <c r="C44" s="591" t="s">
        <v>195</v>
      </c>
      <c r="D44" s="592"/>
      <c r="E44" s="592"/>
      <c r="F44" s="592"/>
      <c r="G44" s="593"/>
      <c r="I44" s="372" t="s">
        <v>186</v>
      </c>
      <c r="J44" s="587" t="s">
        <v>196</v>
      </c>
      <c r="K44" s="588"/>
      <c r="L44" s="588"/>
      <c r="M44" s="588"/>
      <c r="N44" s="589"/>
      <c r="Q44" s="372" t="s">
        <v>186</v>
      </c>
      <c r="R44" s="587" t="s">
        <v>203</v>
      </c>
      <c r="S44" s="588"/>
      <c r="T44" s="588"/>
      <c r="U44" s="588"/>
      <c r="V44" s="589"/>
      <c r="Y44" s="432"/>
      <c r="Z44" s="587" t="s">
        <v>212</v>
      </c>
      <c r="AA44" s="588"/>
      <c r="AB44" s="588"/>
      <c r="AC44" s="588"/>
      <c r="AD44" s="589"/>
    </row>
    <row r="45" spans="2:33" ht="69" customHeight="1" thickBot="1" x14ac:dyDescent="0.3">
      <c r="B45" s="326" t="s">
        <v>186</v>
      </c>
      <c r="C45" s="587" t="s">
        <v>196</v>
      </c>
      <c r="D45" s="588"/>
      <c r="E45" s="588"/>
      <c r="F45" s="588"/>
      <c r="G45" s="589"/>
      <c r="I45" s="310" t="s">
        <v>187</v>
      </c>
      <c r="J45" s="591" t="s">
        <v>195</v>
      </c>
      <c r="K45" s="592"/>
      <c r="L45" s="592"/>
      <c r="M45" s="592"/>
      <c r="N45" s="593"/>
      <c r="Q45" s="310" t="s">
        <v>187</v>
      </c>
      <c r="R45" s="591" t="s">
        <v>195</v>
      </c>
      <c r="S45" s="592"/>
      <c r="T45" s="592"/>
      <c r="U45" s="592"/>
      <c r="V45" s="593"/>
      <c r="Y45" s="310" t="s">
        <v>187</v>
      </c>
      <c r="Z45" s="591" t="s">
        <v>195</v>
      </c>
      <c r="AA45" s="592"/>
      <c r="AB45" s="592"/>
      <c r="AC45" s="592"/>
      <c r="AD45" s="593"/>
    </row>
    <row r="46" spans="2:33" ht="32.25" customHeight="1" thickBot="1" x14ac:dyDescent="0.3">
      <c r="B46" s="329" t="s">
        <v>192</v>
      </c>
      <c r="C46" s="587" t="s">
        <v>197</v>
      </c>
      <c r="D46" s="588"/>
      <c r="E46" s="588"/>
      <c r="F46" s="588"/>
      <c r="G46" s="589"/>
      <c r="I46" s="386"/>
      <c r="J46" s="594" t="s">
        <v>209</v>
      </c>
      <c r="K46" s="595"/>
      <c r="L46" s="595"/>
      <c r="M46" s="595"/>
      <c r="N46" s="596"/>
      <c r="Q46" s="368"/>
      <c r="R46" s="587" t="s">
        <v>205</v>
      </c>
      <c r="S46" s="588"/>
      <c r="T46" s="588"/>
      <c r="U46" s="588"/>
      <c r="V46" s="589"/>
      <c r="Y46" s="389"/>
      <c r="Z46" s="594" t="s">
        <v>213</v>
      </c>
      <c r="AA46" s="595"/>
      <c r="AB46" s="595"/>
      <c r="AC46" s="595"/>
      <c r="AD46" s="596"/>
    </row>
    <row r="47" spans="2:33" ht="30.75" customHeight="1" thickBot="1" x14ac:dyDescent="0.3">
      <c r="I47" s="371" t="s">
        <v>192</v>
      </c>
      <c r="J47" s="587" t="s">
        <v>222</v>
      </c>
      <c r="K47" s="588"/>
      <c r="L47" s="588"/>
      <c r="M47" s="588"/>
      <c r="N47" s="589"/>
      <c r="Q47" s="371" t="s">
        <v>192</v>
      </c>
      <c r="R47" s="587" t="s">
        <v>222</v>
      </c>
      <c r="S47" s="588"/>
      <c r="T47" s="588"/>
      <c r="U47" s="588"/>
      <c r="V47" s="589"/>
      <c r="Y47" s="419"/>
      <c r="Z47" s="587" t="s">
        <v>214</v>
      </c>
      <c r="AA47" s="588"/>
      <c r="AB47" s="588"/>
      <c r="AC47" s="588"/>
      <c r="AD47" s="589"/>
    </row>
    <row r="48" spans="2:33" ht="31.5" customHeight="1" thickBot="1" x14ac:dyDescent="0.3">
      <c r="I48" s="369" t="s">
        <v>202</v>
      </c>
      <c r="J48" s="632" t="s">
        <v>223</v>
      </c>
      <c r="K48" s="633"/>
      <c r="L48" s="633"/>
      <c r="M48" s="633"/>
      <c r="N48" s="634"/>
      <c r="Q48" s="369" t="s">
        <v>202</v>
      </c>
      <c r="R48" s="632" t="s">
        <v>223</v>
      </c>
      <c r="S48" s="633"/>
      <c r="T48" s="633"/>
      <c r="U48" s="633"/>
      <c r="V48" s="634"/>
      <c r="Y48" s="391"/>
      <c r="Z48" s="587" t="s">
        <v>215</v>
      </c>
      <c r="AA48" s="588"/>
      <c r="AB48" s="588"/>
      <c r="AC48" s="588"/>
      <c r="AD48" s="589"/>
    </row>
    <row r="49" spans="25:30" ht="30" customHeight="1" thickBot="1" x14ac:dyDescent="0.3">
      <c r="Y49" s="392"/>
      <c r="Z49" s="587" t="s">
        <v>216</v>
      </c>
      <c r="AA49" s="588"/>
      <c r="AB49" s="588"/>
      <c r="AC49" s="588"/>
      <c r="AD49" s="589"/>
    </row>
    <row r="62" spans="25:30" ht="15.75" hidden="1" customHeight="1" thickBot="1" x14ac:dyDescent="0.25"/>
  </sheetData>
  <mergeCells count="85">
    <mergeCell ref="Z21:AD21"/>
    <mergeCell ref="Z32:AD32"/>
    <mergeCell ref="Z35:AD35"/>
    <mergeCell ref="R21:V21"/>
    <mergeCell ref="R32:V32"/>
    <mergeCell ref="R35:V35"/>
    <mergeCell ref="Y35:Y39"/>
    <mergeCell ref="Z2:AD2"/>
    <mergeCell ref="AA3:AD3"/>
    <mergeCell ref="AA4:AD4"/>
    <mergeCell ref="Z5:AA6"/>
    <mergeCell ref="Z17:AD17"/>
    <mergeCell ref="S3:V3"/>
    <mergeCell ref="S4:V4"/>
    <mergeCell ref="R5:S6"/>
    <mergeCell ref="R17:V17"/>
    <mergeCell ref="C2:G2"/>
    <mergeCell ref="J2:N2"/>
    <mergeCell ref="Q3:Q16"/>
    <mergeCell ref="Q17:Q19"/>
    <mergeCell ref="R2:V2"/>
    <mergeCell ref="J35:N35"/>
    <mergeCell ref="C21:G21"/>
    <mergeCell ref="C32:G32"/>
    <mergeCell ref="D3:G3"/>
    <mergeCell ref="D4:G4"/>
    <mergeCell ref="C5:D6"/>
    <mergeCell ref="C17:G17"/>
    <mergeCell ref="C35:G35"/>
    <mergeCell ref="K3:N3"/>
    <mergeCell ref="K4:N4"/>
    <mergeCell ref="J5:K6"/>
    <mergeCell ref="J17:N17"/>
    <mergeCell ref="J21:N21"/>
    <mergeCell ref="J32:N32"/>
    <mergeCell ref="B42:G42"/>
    <mergeCell ref="B43:G43"/>
    <mergeCell ref="C44:G44"/>
    <mergeCell ref="C45:G45"/>
    <mergeCell ref="C46:G46"/>
    <mergeCell ref="B35:B39"/>
    <mergeCell ref="B40:B41"/>
    <mergeCell ref="I3:I16"/>
    <mergeCell ref="I17:I19"/>
    <mergeCell ref="I21:I29"/>
    <mergeCell ref="I30:I31"/>
    <mergeCell ref="I32:I34"/>
    <mergeCell ref="I35:I39"/>
    <mergeCell ref="I40:I41"/>
    <mergeCell ref="B3:B16"/>
    <mergeCell ref="B17:B19"/>
    <mergeCell ref="B21:B29"/>
    <mergeCell ref="B30:B31"/>
    <mergeCell ref="B32:B34"/>
    <mergeCell ref="Y40:Y41"/>
    <mergeCell ref="Q21:Q29"/>
    <mergeCell ref="Q30:Q31"/>
    <mergeCell ref="Q32:Q34"/>
    <mergeCell ref="Q35:Q39"/>
    <mergeCell ref="Q40:Q41"/>
    <mergeCell ref="Y3:Y16"/>
    <mergeCell ref="Y17:Y19"/>
    <mergeCell ref="Y21:Y29"/>
    <mergeCell ref="Y30:Y31"/>
    <mergeCell ref="Y32:Y34"/>
    <mergeCell ref="Q42:V42"/>
    <mergeCell ref="Q43:V43"/>
    <mergeCell ref="R44:V44"/>
    <mergeCell ref="R45:V45"/>
    <mergeCell ref="R46:V46"/>
    <mergeCell ref="R47:V47"/>
    <mergeCell ref="R48:V48"/>
    <mergeCell ref="I43:N43"/>
    <mergeCell ref="J44:N44"/>
    <mergeCell ref="J45:N45"/>
    <mergeCell ref="J46:N46"/>
    <mergeCell ref="J47:N47"/>
    <mergeCell ref="J48:N48"/>
    <mergeCell ref="Z47:AD47"/>
    <mergeCell ref="Z48:AD48"/>
    <mergeCell ref="Z49:AD49"/>
    <mergeCell ref="Y43:AD43"/>
    <mergeCell ref="Z44:AD44"/>
    <mergeCell ref="Z45:AD45"/>
    <mergeCell ref="Z46:AD46"/>
  </mergeCells>
  <pageMargins left="0.7" right="0.7" top="0.75" bottom="0.75" header="0.3" footer="0.3"/>
  <pageSetup orientation="portrait" horizontalDpi="4294967295" verticalDpi="4294967295"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I62"/>
  <sheetViews>
    <sheetView tabSelected="1" topLeftCell="X1" zoomScale="80" zoomScaleNormal="80" zoomScalePageLayoutView="75" workbookViewId="0">
      <selection activeCell="AH30" sqref="AH30:AI30"/>
    </sheetView>
  </sheetViews>
  <sheetFormatPr baseColWidth="10" defaultRowHeight="15" x14ac:dyDescent="0.25"/>
  <cols>
    <col min="2" max="2" width="4.125" customWidth="1"/>
    <col min="3" max="3" width="39.875" customWidth="1"/>
    <col min="4" max="4" width="14.125" customWidth="1"/>
    <col min="5" max="5" width="17.5" customWidth="1"/>
    <col min="6" max="6" width="22.25" customWidth="1"/>
    <col min="7" max="7" width="20.375" customWidth="1"/>
    <col min="8" max="9" width="15.375" style="56" customWidth="1"/>
    <col min="10" max="10" width="4.125" customWidth="1"/>
    <col min="11" max="11" width="39.625" customWidth="1"/>
    <col min="12" max="13" width="17.625" customWidth="1"/>
    <col min="14" max="14" width="17.5" customWidth="1"/>
    <col min="15" max="15" width="16.5" customWidth="1"/>
    <col min="16" max="17" width="20" customWidth="1"/>
    <col min="18" max="18" width="4.125" customWidth="1"/>
    <col min="19" max="19" width="39.625" customWidth="1"/>
    <col min="20" max="20" width="13.125" customWidth="1"/>
    <col min="21" max="21" width="17.625" customWidth="1"/>
    <col min="22" max="22" width="18.125" customWidth="1"/>
    <col min="23" max="23" width="17.5" customWidth="1"/>
    <col min="24" max="25" width="20" customWidth="1"/>
    <col min="26" max="26" width="4.125" customWidth="1"/>
    <col min="27" max="27" width="40.25" customWidth="1"/>
    <col min="28" max="28" width="13.75" customWidth="1"/>
    <col min="29" max="29" width="17.625" customWidth="1"/>
    <col min="30" max="30" width="18.5" customWidth="1"/>
    <col min="31" max="31" width="20.375" customWidth="1"/>
    <col min="32" max="32" width="28.375" customWidth="1"/>
    <col min="33" max="33" width="8.625" customWidth="1"/>
    <col min="34" max="34" width="25.125" style="56" customWidth="1"/>
    <col min="35" max="35" width="30.125" customWidth="1"/>
  </cols>
  <sheetData>
    <row r="1" spans="2:34" ht="15.75" thickBot="1" x14ac:dyDescent="0.3">
      <c r="H1"/>
      <c r="I1"/>
      <c r="AH1"/>
    </row>
    <row r="2" spans="2:34" ht="37.15" customHeight="1" thickBot="1" x14ac:dyDescent="0.35">
      <c r="B2" s="274"/>
      <c r="C2" s="645" t="s">
        <v>239</v>
      </c>
      <c r="D2" s="615"/>
      <c r="E2" s="615"/>
      <c r="F2" s="615"/>
      <c r="G2" s="616"/>
      <c r="H2" s="216"/>
      <c r="I2" s="216"/>
      <c r="J2" s="274"/>
      <c r="K2" s="665" t="s">
        <v>224</v>
      </c>
      <c r="L2" s="663"/>
      <c r="M2" s="663"/>
      <c r="N2" s="663"/>
      <c r="O2" s="664"/>
      <c r="P2" s="216"/>
      <c r="Q2" s="216"/>
      <c r="R2" s="274"/>
      <c r="S2" s="666" t="s">
        <v>240</v>
      </c>
      <c r="T2" s="663"/>
      <c r="U2" s="663"/>
      <c r="V2" s="663"/>
      <c r="W2" s="664"/>
      <c r="X2" s="216"/>
      <c r="Y2" s="216"/>
      <c r="Z2" s="274"/>
      <c r="AA2" s="662" t="s">
        <v>225</v>
      </c>
      <c r="AB2" s="663"/>
      <c r="AC2" s="663"/>
      <c r="AD2" s="663"/>
      <c r="AE2" s="664"/>
      <c r="AF2" s="241"/>
      <c r="AG2" s="241"/>
      <c r="AH2"/>
    </row>
    <row r="3" spans="2:34" x14ac:dyDescent="0.25">
      <c r="B3" s="597" t="s">
        <v>167</v>
      </c>
      <c r="C3" s="52" t="s">
        <v>0</v>
      </c>
      <c r="D3" s="647" t="s">
        <v>42</v>
      </c>
      <c r="E3" s="648"/>
      <c r="F3" s="648"/>
      <c r="G3" s="649"/>
      <c r="H3" s="199"/>
      <c r="I3" s="199"/>
      <c r="J3" s="597" t="s">
        <v>167</v>
      </c>
      <c r="K3" s="52" t="s">
        <v>0</v>
      </c>
      <c r="L3" s="656" t="s">
        <v>42</v>
      </c>
      <c r="M3" s="657"/>
      <c r="N3" s="657"/>
      <c r="O3" s="658"/>
      <c r="P3" s="203"/>
      <c r="Q3" s="203"/>
      <c r="R3" s="597" t="s">
        <v>167</v>
      </c>
      <c r="S3" s="52" t="s">
        <v>0</v>
      </c>
      <c r="T3" s="656" t="s">
        <v>42</v>
      </c>
      <c r="U3" s="657"/>
      <c r="V3" s="657"/>
      <c r="W3" s="658"/>
      <c r="X3" s="203"/>
      <c r="Y3" s="203"/>
      <c r="Z3" s="597" t="s">
        <v>167</v>
      </c>
      <c r="AA3" s="52" t="s">
        <v>0</v>
      </c>
      <c r="AB3" s="656" t="s">
        <v>42</v>
      </c>
      <c r="AC3" s="657"/>
      <c r="AD3" s="657"/>
      <c r="AE3" s="658"/>
      <c r="AF3" s="203"/>
      <c r="AG3" s="203"/>
      <c r="AH3"/>
    </row>
    <row r="4" spans="2:34" ht="15.75" thickBot="1" x14ac:dyDescent="0.3">
      <c r="B4" s="599"/>
      <c r="C4" s="53" t="s">
        <v>1</v>
      </c>
      <c r="D4" s="650" t="s">
        <v>2</v>
      </c>
      <c r="E4" s="651"/>
      <c r="F4" s="651"/>
      <c r="G4" s="652"/>
      <c r="H4" s="199"/>
      <c r="I4" s="199"/>
      <c r="J4" s="599"/>
      <c r="K4" s="53" t="s">
        <v>1</v>
      </c>
      <c r="L4" s="650" t="s">
        <v>2</v>
      </c>
      <c r="M4" s="651"/>
      <c r="N4" s="651"/>
      <c r="O4" s="652"/>
      <c r="P4" s="203"/>
      <c r="Q4" s="203"/>
      <c r="R4" s="599"/>
      <c r="S4" s="53" t="s">
        <v>1</v>
      </c>
      <c r="T4" s="650" t="s">
        <v>2</v>
      </c>
      <c r="U4" s="651"/>
      <c r="V4" s="651"/>
      <c r="W4" s="652"/>
      <c r="X4" s="203"/>
      <c r="Y4" s="203"/>
      <c r="Z4" s="599"/>
      <c r="AA4" s="53" t="s">
        <v>1</v>
      </c>
      <c r="AB4" s="650" t="s">
        <v>2</v>
      </c>
      <c r="AC4" s="651"/>
      <c r="AD4" s="651"/>
      <c r="AE4" s="652"/>
      <c r="AF4" s="203"/>
      <c r="AG4" s="203"/>
      <c r="AH4"/>
    </row>
    <row r="5" spans="2:34" ht="15.75" x14ac:dyDescent="0.25">
      <c r="B5" s="599"/>
      <c r="C5" s="653" t="s">
        <v>6</v>
      </c>
      <c r="D5" s="654"/>
      <c r="E5" s="50" t="s">
        <v>3</v>
      </c>
      <c r="F5" s="51" t="s">
        <v>4</v>
      </c>
      <c r="G5" s="50" t="s">
        <v>5</v>
      </c>
      <c r="H5" s="199"/>
      <c r="I5" s="199"/>
      <c r="J5" s="599"/>
      <c r="K5" s="653" t="s">
        <v>6</v>
      </c>
      <c r="L5" s="654"/>
      <c r="M5" s="50" t="s">
        <v>3</v>
      </c>
      <c r="N5" s="51" t="s">
        <v>4</v>
      </c>
      <c r="O5" s="50" t="s">
        <v>5</v>
      </c>
      <c r="P5" s="203"/>
      <c r="Q5" s="203"/>
      <c r="R5" s="599"/>
      <c r="S5" s="653" t="s">
        <v>6</v>
      </c>
      <c r="T5" s="654"/>
      <c r="U5" s="50" t="s">
        <v>3</v>
      </c>
      <c r="V5" s="51" t="s">
        <v>4</v>
      </c>
      <c r="W5" s="50" t="s">
        <v>5</v>
      </c>
      <c r="X5" s="203"/>
      <c r="Y5" s="203"/>
      <c r="Z5" s="599"/>
      <c r="AA5" s="653" t="s">
        <v>6</v>
      </c>
      <c r="AB5" s="654"/>
      <c r="AC5" s="50" t="s">
        <v>3</v>
      </c>
      <c r="AD5" s="51" t="s">
        <v>4</v>
      </c>
      <c r="AE5" s="50" t="s">
        <v>5</v>
      </c>
      <c r="AF5" s="203"/>
      <c r="AG5" s="203"/>
      <c r="AH5"/>
    </row>
    <row r="6" spans="2:34" ht="16.5" thickBot="1" x14ac:dyDescent="0.3">
      <c r="B6" s="599"/>
      <c r="C6" s="625"/>
      <c r="D6" s="655"/>
      <c r="E6" s="19" t="s">
        <v>43</v>
      </c>
      <c r="F6" s="299" t="s">
        <v>44</v>
      </c>
      <c r="G6" s="289" t="s">
        <v>23</v>
      </c>
      <c r="H6" s="199"/>
      <c r="I6" s="199"/>
      <c r="J6" s="599"/>
      <c r="K6" s="625"/>
      <c r="L6" s="655"/>
      <c r="M6" s="19" t="s">
        <v>43</v>
      </c>
      <c r="N6" s="40" t="s">
        <v>44</v>
      </c>
      <c r="O6" s="19" t="s">
        <v>23</v>
      </c>
      <c r="P6" s="203"/>
      <c r="Q6" s="203"/>
      <c r="R6" s="599"/>
      <c r="S6" s="625"/>
      <c r="T6" s="655"/>
      <c r="U6" s="19" t="s">
        <v>43</v>
      </c>
      <c r="V6" s="40" t="s">
        <v>44</v>
      </c>
      <c r="W6" s="19" t="s">
        <v>23</v>
      </c>
      <c r="X6" s="203"/>
      <c r="Y6" s="203"/>
      <c r="Z6" s="599"/>
      <c r="AA6" s="625"/>
      <c r="AB6" s="655"/>
      <c r="AC6" s="19" t="s">
        <v>43</v>
      </c>
      <c r="AD6" s="40" t="s">
        <v>44</v>
      </c>
      <c r="AE6" s="19" t="s">
        <v>23</v>
      </c>
      <c r="AF6" s="203"/>
      <c r="AG6" s="203"/>
      <c r="AH6"/>
    </row>
    <row r="7" spans="2:34" x14ac:dyDescent="0.25">
      <c r="B7" s="599"/>
      <c r="C7" s="6" t="s">
        <v>29</v>
      </c>
      <c r="D7" s="16"/>
      <c r="E7" s="300">
        <v>1560</v>
      </c>
      <c r="F7" s="20">
        <v>1560</v>
      </c>
      <c r="G7" s="20">
        <v>1560</v>
      </c>
      <c r="H7" s="199"/>
      <c r="I7" s="199"/>
      <c r="J7" s="599"/>
      <c r="K7" s="6" t="s">
        <v>29</v>
      </c>
      <c r="L7" s="16"/>
      <c r="M7" s="20">
        <v>1560</v>
      </c>
      <c r="N7" s="20">
        <v>1560</v>
      </c>
      <c r="O7" s="20">
        <v>1560</v>
      </c>
      <c r="P7" s="203"/>
      <c r="Q7" s="203"/>
      <c r="R7" s="599"/>
      <c r="S7" s="6" t="s">
        <v>29</v>
      </c>
      <c r="T7" s="16"/>
      <c r="U7" s="20">
        <v>1560</v>
      </c>
      <c r="V7" s="20">
        <v>1560</v>
      </c>
      <c r="W7" s="20">
        <v>1560</v>
      </c>
      <c r="X7" s="203"/>
      <c r="Y7" s="203"/>
      <c r="Z7" s="599"/>
      <c r="AA7" s="6" t="s">
        <v>29</v>
      </c>
      <c r="AB7" s="16"/>
      <c r="AC7" s="20">
        <v>1560</v>
      </c>
      <c r="AD7" s="20">
        <v>1560</v>
      </c>
      <c r="AE7" s="20">
        <v>1560</v>
      </c>
      <c r="AF7" s="203"/>
      <c r="AG7" s="203"/>
      <c r="AH7"/>
    </row>
    <row r="8" spans="2:34" ht="15.75" thickBot="1" x14ac:dyDescent="0.3">
      <c r="B8" s="599"/>
      <c r="C8" s="7" t="s">
        <v>40</v>
      </c>
      <c r="D8" s="294"/>
      <c r="E8" s="302">
        <v>7</v>
      </c>
      <c r="F8" s="295">
        <v>10.5</v>
      </c>
      <c r="G8" s="295">
        <v>8.4</v>
      </c>
      <c r="H8" s="199"/>
      <c r="I8" s="199"/>
      <c r="J8" s="599"/>
      <c r="K8" s="7" t="s">
        <v>40</v>
      </c>
      <c r="L8" s="294"/>
      <c r="M8" s="295">
        <v>7</v>
      </c>
      <c r="N8" s="345">
        <v>10.5</v>
      </c>
      <c r="O8" s="295">
        <v>8.4</v>
      </c>
      <c r="P8" s="203"/>
      <c r="Q8" s="203"/>
      <c r="R8" s="599"/>
      <c r="S8" s="293" t="s">
        <v>40</v>
      </c>
      <c r="T8" s="294"/>
      <c r="U8" s="295">
        <v>7</v>
      </c>
      <c r="V8" s="345">
        <v>10.5</v>
      </c>
      <c r="W8" s="295">
        <v>8.4</v>
      </c>
      <c r="X8" s="203"/>
      <c r="Y8" s="203"/>
      <c r="Z8" s="599"/>
      <c r="AA8" s="7" t="s">
        <v>40</v>
      </c>
      <c r="AB8" s="294"/>
      <c r="AC8" s="295">
        <v>7</v>
      </c>
      <c r="AD8" s="345">
        <v>10.5</v>
      </c>
      <c r="AE8" s="295">
        <v>8.4</v>
      </c>
      <c r="AF8" s="203"/>
      <c r="AG8" s="203"/>
      <c r="AH8"/>
    </row>
    <row r="9" spans="2:34" x14ac:dyDescent="0.25">
      <c r="B9" s="599"/>
      <c r="C9" s="467" t="s">
        <v>181</v>
      </c>
      <c r="D9" s="471"/>
      <c r="E9" s="474">
        <f>F7*0.7*10</f>
        <v>10920</v>
      </c>
      <c r="F9" s="114">
        <f>G7*0.7*15</f>
        <v>16380</v>
      </c>
      <c r="G9" s="114">
        <f>G7*0.7*12</f>
        <v>13104</v>
      </c>
      <c r="H9" s="199"/>
      <c r="I9" s="199"/>
      <c r="J9" s="599"/>
      <c r="K9" s="481" t="s">
        <v>181</v>
      </c>
      <c r="L9" s="495"/>
      <c r="M9" s="101">
        <f>N7*0.7*10</f>
        <v>10920</v>
      </c>
      <c r="N9" s="101">
        <f>O7*0.7*15</f>
        <v>16380</v>
      </c>
      <c r="O9" s="101">
        <f>O7*0.7*12</f>
        <v>13104</v>
      </c>
      <c r="P9" s="203"/>
      <c r="Q9" s="203"/>
      <c r="R9" s="599"/>
      <c r="S9" s="481" t="s">
        <v>181</v>
      </c>
      <c r="T9" s="16"/>
      <c r="U9" s="101">
        <f>V7*0.7*10</f>
        <v>10920</v>
      </c>
      <c r="V9" s="101">
        <f>W7*0.7*15</f>
        <v>16380</v>
      </c>
      <c r="W9" s="101">
        <f>W7*0.7*12</f>
        <v>13104</v>
      </c>
      <c r="X9" s="203"/>
      <c r="Y9" s="203"/>
      <c r="Z9" s="599"/>
      <c r="AA9" s="481" t="s">
        <v>181</v>
      </c>
      <c r="AB9" s="495"/>
      <c r="AC9" s="101">
        <f>AD7*0.7*10</f>
        <v>10920</v>
      </c>
      <c r="AD9" s="101">
        <f>AE7*0.7*15</f>
        <v>16380</v>
      </c>
      <c r="AE9" s="101">
        <f>AE7*0.7*12</f>
        <v>13104</v>
      </c>
      <c r="AF9" s="203"/>
      <c r="AG9" s="203"/>
      <c r="AH9"/>
    </row>
    <row r="10" spans="2:34" ht="15.75" thickBot="1" x14ac:dyDescent="0.3">
      <c r="B10" s="599"/>
      <c r="C10" s="468" t="s">
        <v>30</v>
      </c>
      <c r="D10" s="472"/>
      <c r="E10" s="309">
        <f>94%*E8*E7</f>
        <v>10264.799999999999</v>
      </c>
      <c r="F10" s="308">
        <f>94%*F8*F7</f>
        <v>15397.199999999999</v>
      </c>
      <c r="G10" s="308">
        <f>94%*G8*G7</f>
        <v>12317.76</v>
      </c>
      <c r="H10" s="268"/>
      <c r="I10" s="268"/>
      <c r="J10" s="599"/>
      <c r="K10" s="482" t="s">
        <v>30</v>
      </c>
      <c r="L10" s="496"/>
      <c r="M10" s="459">
        <f>94%*M8*M7</f>
        <v>10264.799999999999</v>
      </c>
      <c r="N10" s="459">
        <f>94%*N8*N7</f>
        <v>15397.199999999999</v>
      </c>
      <c r="O10" s="459">
        <f>94%*O8*O7</f>
        <v>12317.76</v>
      </c>
      <c r="P10" s="204"/>
      <c r="Q10" s="204"/>
      <c r="R10" s="599"/>
      <c r="S10" s="482" t="s">
        <v>30</v>
      </c>
      <c r="T10" s="437"/>
      <c r="U10" s="459">
        <f>94%*U8*U7</f>
        <v>10264.799999999999</v>
      </c>
      <c r="V10" s="473">
        <f>100%*V8*V7</f>
        <v>16380</v>
      </c>
      <c r="W10" s="459">
        <f>94%*W8*W7</f>
        <v>12317.76</v>
      </c>
      <c r="X10" s="204"/>
      <c r="Y10" s="204"/>
      <c r="Z10" s="599"/>
      <c r="AA10" s="482" t="s">
        <v>30</v>
      </c>
      <c r="AB10" s="496"/>
      <c r="AC10" s="459">
        <f>94%*AC8*AC7</f>
        <v>10264.799999999999</v>
      </c>
      <c r="AD10" s="500">
        <f>94%*AD8*AD7</f>
        <v>15397.199999999999</v>
      </c>
      <c r="AE10" s="500">
        <f>94%*AE8*AE7</f>
        <v>12317.76</v>
      </c>
      <c r="AF10" s="204"/>
      <c r="AG10" s="204"/>
      <c r="AH10"/>
    </row>
    <row r="11" spans="2:34" ht="15.75" thickBot="1" x14ac:dyDescent="0.3">
      <c r="B11" s="599"/>
      <c r="C11" s="7" t="s">
        <v>31</v>
      </c>
      <c r="D11" s="297"/>
      <c r="E11" s="303">
        <f>E10*E12</f>
        <v>18476.64</v>
      </c>
      <c r="F11" s="298">
        <f>F10*F12</f>
        <v>28638.792000000001</v>
      </c>
      <c r="G11" s="298">
        <f>G10*G12</f>
        <v>23403.743999999999</v>
      </c>
      <c r="H11" s="199"/>
      <c r="I11" s="199"/>
      <c r="J11" s="599"/>
      <c r="K11" s="7" t="s">
        <v>31</v>
      </c>
      <c r="L11" s="297"/>
      <c r="M11" s="298">
        <f>M10*M12</f>
        <v>18476.64</v>
      </c>
      <c r="N11" s="298">
        <f>N10*N12</f>
        <v>28638.792000000001</v>
      </c>
      <c r="O11" s="298">
        <f>O10*O12</f>
        <v>23403.743999999999</v>
      </c>
      <c r="P11" s="203"/>
      <c r="Q11" s="203"/>
      <c r="R11" s="599"/>
      <c r="S11" s="296" t="s">
        <v>31</v>
      </c>
      <c r="T11" s="297"/>
      <c r="U11" s="469">
        <f>U10*U12</f>
        <v>18476.64</v>
      </c>
      <c r="V11" s="470">
        <f>V10*V12</f>
        <v>27846</v>
      </c>
      <c r="W11" s="469">
        <f>W10*W12</f>
        <v>23403.743999999999</v>
      </c>
      <c r="X11" s="203"/>
      <c r="Y11" s="203"/>
      <c r="Z11" s="599"/>
      <c r="AA11" s="7" t="s">
        <v>31</v>
      </c>
      <c r="AB11" s="297"/>
      <c r="AC11" s="494">
        <f>AC10*AC12</f>
        <v>18476.64</v>
      </c>
      <c r="AD11" s="501">
        <f>AD10*AD12</f>
        <v>28638.792000000001</v>
      </c>
      <c r="AE11" s="501">
        <f>AE10*AE12</f>
        <v>23403.743999999999</v>
      </c>
      <c r="AF11" s="199"/>
      <c r="AG11" s="199"/>
      <c r="AH11"/>
    </row>
    <row r="12" spans="2:34" ht="15.75" thickBot="1" x14ac:dyDescent="0.3">
      <c r="B12" s="599"/>
      <c r="C12" s="332" t="s">
        <v>191</v>
      </c>
      <c r="D12" s="242"/>
      <c r="E12" s="291">
        <v>1.8</v>
      </c>
      <c r="F12" s="23">
        <v>1.86</v>
      </c>
      <c r="G12" s="23">
        <v>1.9</v>
      </c>
      <c r="H12" s="199"/>
      <c r="I12" s="199"/>
      <c r="J12" s="599"/>
      <c r="K12" s="332" t="s">
        <v>191</v>
      </c>
      <c r="L12" s="106"/>
      <c r="M12" s="23">
        <v>1.8</v>
      </c>
      <c r="N12" s="43">
        <v>1.86</v>
      </c>
      <c r="O12" s="23">
        <v>1.9</v>
      </c>
      <c r="P12" s="203"/>
      <c r="Q12" s="203"/>
      <c r="R12" s="599"/>
      <c r="S12" s="332" t="s">
        <v>191</v>
      </c>
      <c r="T12" s="106"/>
      <c r="U12" s="87">
        <v>1.8</v>
      </c>
      <c r="V12" s="77">
        <v>1.7</v>
      </c>
      <c r="W12" s="87">
        <v>1.9</v>
      </c>
      <c r="X12" s="203"/>
      <c r="Y12" s="203"/>
      <c r="Z12" s="599"/>
      <c r="AA12" s="332" t="s">
        <v>191</v>
      </c>
      <c r="AB12" s="106"/>
      <c r="AC12" s="408">
        <v>1.8</v>
      </c>
      <c r="AD12" s="87">
        <v>1.86</v>
      </c>
      <c r="AE12" s="87">
        <v>1.9</v>
      </c>
      <c r="AF12" s="199"/>
      <c r="AG12" s="199"/>
      <c r="AH12"/>
    </row>
    <row r="13" spans="2:34" ht="15.75" thickBot="1" x14ac:dyDescent="0.3">
      <c r="B13" s="599"/>
      <c r="C13" s="296" t="s">
        <v>185</v>
      </c>
      <c r="D13" s="438"/>
      <c r="E13" s="291"/>
      <c r="F13" s="456">
        <f>+F10-E9</f>
        <v>4477.1999999999989</v>
      </c>
      <c r="G13" s="456">
        <f>+G10-E9</f>
        <v>1397.7600000000002</v>
      </c>
      <c r="H13" s="269"/>
      <c r="I13" s="199"/>
      <c r="J13" s="599"/>
      <c r="K13" s="296" t="s">
        <v>185</v>
      </c>
      <c r="L13" s="438"/>
      <c r="M13" s="23"/>
      <c r="N13" s="340">
        <f>+N10-M9</f>
        <v>4477.1999999999989</v>
      </c>
      <c r="O13" s="340">
        <f>+O10-M9</f>
        <v>1397.7600000000002</v>
      </c>
      <c r="P13" s="208"/>
      <c r="Q13" s="203"/>
      <c r="R13" s="599"/>
      <c r="S13" s="296" t="s">
        <v>185</v>
      </c>
      <c r="T13" s="438"/>
      <c r="U13" s="87"/>
      <c r="V13" s="453">
        <f>+V10-U9</f>
        <v>5460</v>
      </c>
      <c r="W13" s="340">
        <f>+W10-U9</f>
        <v>1397.7600000000002</v>
      </c>
      <c r="X13" s="203"/>
      <c r="Y13" s="203"/>
      <c r="Z13" s="599"/>
      <c r="AA13" s="296" t="s">
        <v>185</v>
      </c>
      <c r="AB13" s="438"/>
      <c r="AC13" s="408"/>
      <c r="AD13" s="456">
        <f>+AD10-AC9</f>
        <v>4477.1999999999989</v>
      </c>
      <c r="AE13" s="456">
        <f>+AE10-AC9</f>
        <v>1397.7600000000002</v>
      </c>
      <c r="AF13" s="199"/>
      <c r="AG13" s="199"/>
      <c r="AH13"/>
    </row>
    <row r="14" spans="2:34" ht="15.75" thickBot="1" x14ac:dyDescent="0.3">
      <c r="B14" s="599"/>
      <c r="C14" s="7" t="s">
        <v>7</v>
      </c>
      <c r="D14" s="88">
        <v>641.02599999999995</v>
      </c>
      <c r="E14" s="112">
        <f>D14*E7</f>
        <v>1000000.5599999999</v>
      </c>
      <c r="F14" s="89">
        <f>E14</f>
        <v>1000000.5599999999</v>
      </c>
      <c r="G14" s="89">
        <f>F14</f>
        <v>1000000.5599999999</v>
      </c>
      <c r="H14" s="269"/>
      <c r="I14" s="464"/>
      <c r="J14" s="599"/>
      <c r="K14" s="7" t="s">
        <v>7</v>
      </c>
      <c r="L14" s="479">
        <v>641.02599999999995</v>
      </c>
      <c r="M14" s="480">
        <f>L14*M7</f>
        <v>1000000.5599999999</v>
      </c>
      <c r="N14" s="480">
        <f>M14</f>
        <v>1000000.5599999999</v>
      </c>
      <c r="O14" s="480">
        <f>N14</f>
        <v>1000000.5599999999</v>
      </c>
      <c r="P14" s="208"/>
      <c r="Q14" s="464"/>
      <c r="R14" s="599"/>
      <c r="S14" s="7" t="s">
        <v>7</v>
      </c>
      <c r="T14" s="479">
        <v>641.02599999999995</v>
      </c>
      <c r="U14" s="480">
        <f>T14*U7</f>
        <v>1000000.5599999999</v>
      </c>
      <c r="V14" s="480">
        <f>U14</f>
        <v>1000000.5599999999</v>
      </c>
      <c r="W14" s="480">
        <f>V14</f>
        <v>1000000.5599999999</v>
      </c>
      <c r="X14" s="203"/>
      <c r="Y14" s="464"/>
      <c r="Z14" s="599"/>
      <c r="AA14" s="7" t="s">
        <v>7</v>
      </c>
      <c r="AB14" s="57">
        <v>641.02599999999995</v>
      </c>
      <c r="AC14" s="113">
        <f>AB14*AC7</f>
        <v>1000000.5599999999</v>
      </c>
      <c r="AD14" s="58">
        <f>AC14</f>
        <v>1000000.5599999999</v>
      </c>
      <c r="AE14" s="58">
        <f>AD14</f>
        <v>1000000.5599999999</v>
      </c>
      <c r="AF14" s="487"/>
      <c r="AG14" s="487"/>
      <c r="AH14"/>
    </row>
    <row r="15" spans="2:34" ht="16.5" thickBot="1" x14ac:dyDescent="0.3">
      <c r="B15" s="599"/>
      <c r="C15" s="247" t="s">
        <v>153</v>
      </c>
      <c r="D15" s="256" t="s">
        <v>149</v>
      </c>
      <c r="E15" s="492"/>
      <c r="F15" s="119">
        <f>F7*480*F13/E9</f>
        <v>307007.99999999988</v>
      </c>
      <c r="G15" s="119">
        <f>G7*480*G13/E9</f>
        <v>95846.400000000009</v>
      </c>
      <c r="H15" s="270"/>
      <c r="I15" s="239"/>
      <c r="J15" s="599"/>
      <c r="K15" s="247" t="s">
        <v>153</v>
      </c>
      <c r="L15" s="386" t="s">
        <v>157</v>
      </c>
      <c r="M15" s="24"/>
      <c r="N15" s="499">
        <f>(N7*480*N13/M9)*0.5</f>
        <v>153503.99999999994</v>
      </c>
      <c r="O15" s="499">
        <f>(O7*480*O13/M9)*0.5</f>
        <v>47923.200000000004</v>
      </c>
      <c r="P15" s="208"/>
      <c r="Q15" s="239"/>
      <c r="R15" s="599"/>
      <c r="S15" s="247" t="s">
        <v>153</v>
      </c>
      <c r="T15" s="256" t="s">
        <v>149</v>
      </c>
      <c r="U15" s="24"/>
      <c r="V15" s="96">
        <f>(V7*480*V13/U9)</f>
        <v>374400</v>
      </c>
      <c r="W15" s="97">
        <f>+V15*12/15</f>
        <v>299520</v>
      </c>
      <c r="X15" s="208"/>
      <c r="Y15" s="239"/>
      <c r="Z15" s="599"/>
      <c r="AA15" s="247" t="s">
        <v>153</v>
      </c>
      <c r="AB15" s="432" t="s">
        <v>150</v>
      </c>
      <c r="AC15" s="492"/>
      <c r="AD15" s="491">
        <v>0</v>
      </c>
      <c r="AE15" s="491">
        <f>+AD15*12/15</f>
        <v>0</v>
      </c>
      <c r="AF15" s="199"/>
      <c r="AG15" s="199"/>
      <c r="AH15"/>
    </row>
    <row r="16" spans="2:34" ht="15.75" thickBot="1" x14ac:dyDescent="0.3">
      <c r="B16" s="598"/>
      <c r="C16" s="8" t="s">
        <v>33</v>
      </c>
      <c r="D16" s="243"/>
      <c r="E16" s="83">
        <f>(E14+E15)/E10</f>
        <v>97.420364741641336</v>
      </c>
      <c r="F16" s="54">
        <f>(F14+F15)/F10</f>
        <v>84.886119554204654</v>
      </c>
      <c r="G16" s="54">
        <f>(G14+G15)/G10</f>
        <v>88.964792299898676</v>
      </c>
      <c r="H16" s="270"/>
      <c r="I16" s="465"/>
      <c r="J16" s="598"/>
      <c r="K16" s="8" t="s">
        <v>33</v>
      </c>
      <c r="L16" s="107"/>
      <c r="M16" s="54">
        <f>(M14+M15)/M10</f>
        <v>97.420364741641336</v>
      </c>
      <c r="N16" s="55">
        <f>(N14+N15)/N10</f>
        <v>74.916514690982766</v>
      </c>
      <c r="O16" s="83">
        <f>(O14+O15)/O10</f>
        <v>85.074214792299884</v>
      </c>
      <c r="P16" s="208"/>
      <c r="Q16" s="139"/>
      <c r="R16" s="598"/>
      <c r="S16" s="105" t="s">
        <v>33</v>
      </c>
      <c r="T16" s="107"/>
      <c r="U16" s="54">
        <f>(U14+U15)/U10</f>
        <v>97.420364741641336</v>
      </c>
      <c r="V16" s="55">
        <f>(V14+V15)/V10</f>
        <v>83.9072380952381</v>
      </c>
      <c r="W16" s="54">
        <f>(W14+W15)/W10</f>
        <v>105.49974670719352</v>
      </c>
      <c r="X16" s="208"/>
      <c r="Y16" s="139"/>
      <c r="Z16" s="598"/>
      <c r="AA16" s="105" t="s">
        <v>33</v>
      </c>
      <c r="AB16" s="107"/>
      <c r="AC16" s="54">
        <f>(AC14+AC15)/AC10</f>
        <v>97.420364741641336</v>
      </c>
      <c r="AD16" s="55">
        <f>(AD14+AD15)/AD10</f>
        <v>64.946909827760891</v>
      </c>
      <c r="AE16" s="83">
        <f>(AE14+AE15)/AE10</f>
        <v>81.183637284701106</v>
      </c>
      <c r="AF16" s="199"/>
      <c r="AG16" s="199"/>
      <c r="AH16"/>
    </row>
    <row r="17" spans="2:35" ht="15.75" thickBot="1" x14ac:dyDescent="0.3">
      <c r="B17" s="601" t="s">
        <v>168</v>
      </c>
      <c r="C17" s="646" t="s">
        <v>8</v>
      </c>
      <c r="D17" s="637"/>
      <c r="E17" s="637"/>
      <c r="F17" s="637"/>
      <c r="G17" s="638"/>
      <c r="H17" s="270"/>
      <c r="I17" s="466"/>
      <c r="J17" s="601" t="s">
        <v>168</v>
      </c>
      <c r="K17" s="646" t="s">
        <v>8</v>
      </c>
      <c r="L17" s="637"/>
      <c r="M17" s="637"/>
      <c r="N17" s="637"/>
      <c r="O17" s="637"/>
      <c r="P17" s="208"/>
      <c r="Q17" s="466"/>
      <c r="R17" s="601" t="s">
        <v>168</v>
      </c>
      <c r="S17" s="646" t="s">
        <v>8</v>
      </c>
      <c r="T17" s="637"/>
      <c r="U17" s="637"/>
      <c r="V17" s="637"/>
      <c r="W17" s="637"/>
      <c r="X17" s="208"/>
      <c r="Y17" s="466"/>
      <c r="Z17" s="601" t="s">
        <v>168</v>
      </c>
      <c r="AA17" s="646" t="s">
        <v>8</v>
      </c>
      <c r="AB17" s="637"/>
      <c r="AC17" s="637"/>
      <c r="AD17" s="637"/>
      <c r="AE17" s="637"/>
      <c r="AF17" s="285"/>
      <c r="AG17" s="285"/>
      <c r="AH17"/>
    </row>
    <row r="18" spans="2:35" ht="15.75" thickBot="1" x14ac:dyDescent="0.3">
      <c r="B18" s="602"/>
      <c r="C18" s="7" t="s">
        <v>9</v>
      </c>
      <c r="D18" s="25"/>
      <c r="E18" s="27">
        <v>430</v>
      </c>
      <c r="F18" s="460">
        <f>+E18*1.1</f>
        <v>473.00000000000006</v>
      </c>
      <c r="G18" s="27">
        <v>450</v>
      </c>
      <c r="H18" s="270"/>
      <c r="I18" s="269"/>
      <c r="J18" s="602"/>
      <c r="K18" s="7" t="s">
        <v>9</v>
      </c>
      <c r="L18" s="25"/>
      <c r="M18" s="27">
        <v>430</v>
      </c>
      <c r="N18" s="460">
        <f>+M18*1.1</f>
        <v>473.00000000000006</v>
      </c>
      <c r="O18" s="27">
        <v>450</v>
      </c>
      <c r="P18" s="208"/>
      <c r="Q18" s="203"/>
      <c r="R18" s="602"/>
      <c r="S18" s="7" t="s">
        <v>9</v>
      </c>
      <c r="T18" s="25"/>
      <c r="U18" s="27">
        <v>430</v>
      </c>
      <c r="V18" s="460">
        <f>+U18*1.1</f>
        <v>473.00000000000006</v>
      </c>
      <c r="W18" s="27">
        <v>450</v>
      </c>
      <c r="X18" s="208"/>
      <c r="Y18" s="203"/>
      <c r="Z18" s="602"/>
      <c r="AA18" s="7" t="s">
        <v>9</v>
      </c>
      <c r="AB18" s="25"/>
      <c r="AC18" s="27">
        <v>430</v>
      </c>
      <c r="AD18" s="460">
        <f>+AC18*1.1</f>
        <v>473.00000000000006</v>
      </c>
      <c r="AE18" s="27">
        <v>450</v>
      </c>
      <c r="AH18"/>
    </row>
    <row r="19" spans="2:35" ht="15.75" thickBot="1" x14ac:dyDescent="0.3">
      <c r="B19" s="603"/>
      <c r="C19" s="10" t="s">
        <v>26</v>
      </c>
      <c r="D19" s="26"/>
      <c r="E19" s="28">
        <f>E18*E11</f>
        <v>7944955.2000000002</v>
      </c>
      <c r="F19" s="44">
        <f>F18*F11</f>
        <v>13546148.616000002</v>
      </c>
      <c r="G19" s="28">
        <f>G18*G11</f>
        <v>10531684.799999999</v>
      </c>
      <c r="H19" s="270"/>
      <c r="I19" s="269"/>
      <c r="J19" s="603"/>
      <c r="K19" s="10" t="s">
        <v>26</v>
      </c>
      <c r="L19" s="26"/>
      <c r="M19" s="28">
        <f>M18*M11</f>
        <v>7944955.2000000002</v>
      </c>
      <c r="N19" s="44">
        <f>N18*N11</f>
        <v>13546148.616000002</v>
      </c>
      <c r="O19" s="28">
        <f>O18*O11</f>
        <v>10531684.799999999</v>
      </c>
      <c r="P19" s="203"/>
      <c r="Q19" s="203"/>
      <c r="R19" s="603"/>
      <c r="S19" s="10" t="s">
        <v>26</v>
      </c>
      <c r="T19" s="26"/>
      <c r="U19" s="28">
        <f>U18*U11</f>
        <v>7944955.2000000002</v>
      </c>
      <c r="V19" s="44">
        <f>V18*V11</f>
        <v>13171158.000000002</v>
      </c>
      <c r="W19" s="28">
        <f>W18*W11</f>
        <v>10531684.799999999</v>
      </c>
      <c r="X19" s="208"/>
      <c r="Y19" s="203"/>
      <c r="Z19" s="603"/>
      <c r="AA19" s="10" t="s">
        <v>26</v>
      </c>
      <c r="AB19" s="26"/>
      <c r="AC19" s="28">
        <f>AC18*AC11</f>
        <v>7944955.2000000002</v>
      </c>
      <c r="AD19" s="44">
        <f>AD18*AD11</f>
        <v>13546148.616000002</v>
      </c>
      <c r="AE19" s="28">
        <f>AE18*AE11</f>
        <v>10531684.799999999</v>
      </c>
      <c r="AF19" s="389" t="s">
        <v>52</v>
      </c>
      <c r="AG19" s="570"/>
      <c r="AH19" s="74">
        <f>AD10*AC33</f>
        <v>24635520</v>
      </c>
      <c r="AI19" s="579" t="s">
        <v>248</v>
      </c>
    </row>
    <row r="20" spans="2:35" ht="15" customHeight="1" thickBot="1" x14ac:dyDescent="0.3">
      <c r="B20" s="275"/>
      <c r="C20" s="120"/>
      <c r="D20" s="1"/>
      <c r="E20" s="4"/>
      <c r="F20" s="4"/>
      <c r="G20" s="121"/>
      <c r="H20" s="270"/>
      <c r="I20" s="269"/>
      <c r="J20" s="275"/>
      <c r="K20" s="1"/>
      <c r="L20" s="1"/>
      <c r="M20" s="4"/>
      <c r="N20" s="4"/>
      <c r="O20" s="4"/>
      <c r="P20" s="203"/>
      <c r="Q20" s="203"/>
      <c r="R20" s="275"/>
      <c r="S20" s="1"/>
      <c r="T20" s="1"/>
      <c r="U20" s="4"/>
      <c r="V20" s="4"/>
      <c r="W20" s="4"/>
      <c r="X20" s="208"/>
      <c r="Y20" s="203"/>
      <c r="Z20" s="275"/>
      <c r="AA20" s="1"/>
      <c r="AB20" s="1"/>
      <c r="AC20" s="4"/>
      <c r="AD20" s="4"/>
      <c r="AE20" s="4"/>
      <c r="AF20" s="389">
        <f>AD10*0.1</f>
        <v>1539.72</v>
      </c>
      <c r="AG20" s="570"/>
      <c r="AH20" s="74">
        <f>AF25*AC33</f>
        <v>22171968</v>
      </c>
      <c r="AI20" s="579" t="s">
        <v>249</v>
      </c>
    </row>
    <row r="21" spans="2:35" ht="15.75" thickBot="1" x14ac:dyDescent="0.3">
      <c r="B21" s="597" t="s">
        <v>169</v>
      </c>
      <c r="C21" s="646" t="s">
        <v>10</v>
      </c>
      <c r="D21" s="637"/>
      <c r="E21" s="637"/>
      <c r="F21" s="637"/>
      <c r="G21" s="638"/>
      <c r="H21" s="269"/>
      <c r="I21" s="269"/>
      <c r="J21" s="597" t="s">
        <v>169</v>
      </c>
      <c r="K21" s="646" t="s">
        <v>10</v>
      </c>
      <c r="L21" s="637"/>
      <c r="M21" s="637"/>
      <c r="N21" s="637"/>
      <c r="O21" s="638"/>
      <c r="P21" s="209"/>
      <c r="Q21" s="203"/>
      <c r="R21" s="597" t="s">
        <v>169</v>
      </c>
      <c r="S21" s="646" t="s">
        <v>10</v>
      </c>
      <c r="T21" s="637"/>
      <c r="U21" s="637"/>
      <c r="V21" s="637"/>
      <c r="W21" s="638"/>
      <c r="X21" s="203"/>
      <c r="Y21" s="203"/>
      <c r="Z21" s="597" t="s">
        <v>169</v>
      </c>
      <c r="AA21" s="646" t="s">
        <v>10</v>
      </c>
      <c r="AB21" s="637"/>
      <c r="AC21" s="637"/>
      <c r="AD21" s="637"/>
      <c r="AE21" s="638"/>
      <c r="AF21" s="389" t="s">
        <v>57</v>
      </c>
      <c r="AG21" s="570"/>
      <c r="AH21" s="74">
        <f>AF20*980</f>
        <v>1508925.6</v>
      </c>
      <c r="AI21" s="579" t="s">
        <v>250</v>
      </c>
    </row>
    <row r="22" spans="2:35" x14ac:dyDescent="0.25">
      <c r="B22" s="599"/>
      <c r="C22" s="9" t="s">
        <v>11</v>
      </c>
      <c r="D22" s="29">
        <v>0.04</v>
      </c>
      <c r="E22" s="31">
        <f>E19*D22</f>
        <v>317798.20800000004</v>
      </c>
      <c r="F22" s="45">
        <f>E22*15/10</f>
        <v>476697.31200000009</v>
      </c>
      <c r="G22" s="91">
        <f>E22*12/10</f>
        <v>381357.84960000002</v>
      </c>
      <c r="H22" s="269"/>
      <c r="I22" s="270"/>
      <c r="J22" s="599"/>
      <c r="K22" s="9" t="s">
        <v>11</v>
      </c>
      <c r="L22" s="29">
        <v>0.04</v>
      </c>
      <c r="M22" s="91">
        <f>M19*L22</f>
        <v>317798.20800000004</v>
      </c>
      <c r="N22" s="61">
        <f>M22*15/10</f>
        <v>476697.31200000009</v>
      </c>
      <c r="O22" s="91">
        <f>M22*12/10</f>
        <v>381357.84960000002</v>
      </c>
      <c r="P22" s="203"/>
      <c r="Q22" s="208"/>
      <c r="R22" s="599"/>
      <c r="S22" s="9" t="s">
        <v>11</v>
      </c>
      <c r="T22" s="29">
        <v>0.04</v>
      </c>
      <c r="U22" s="84">
        <f>U19*T22</f>
        <v>317798.20800000004</v>
      </c>
      <c r="V22" s="79">
        <f>U22*15/10</f>
        <v>476697.31200000009</v>
      </c>
      <c r="W22" s="84">
        <f>U22*12/10</f>
        <v>381357.84960000002</v>
      </c>
      <c r="X22" s="203"/>
      <c r="Y22" s="208"/>
      <c r="Z22" s="599"/>
      <c r="AA22" s="9" t="s">
        <v>11</v>
      </c>
      <c r="AB22" s="29">
        <v>0.04</v>
      </c>
      <c r="AC22" s="84">
        <f>AC19*AB22</f>
        <v>317798.20800000004</v>
      </c>
      <c r="AD22" s="79">
        <f>AC22*15/10</f>
        <v>476697.31200000009</v>
      </c>
      <c r="AE22" s="84">
        <f>AC22*12/10</f>
        <v>381357.84960000002</v>
      </c>
      <c r="AF22" s="488">
        <f>AF20*980</f>
        <v>1508925.6</v>
      </c>
      <c r="AG22" s="571"/>
      <c r="AH22" s="74">
        <f>AH20+AH21</f>
        <v>23680893.600000001</v>
      </c>
      <c r="AI22" s="579" t="s">
        <v>246</v>
      </c>
    </row>
    <row r="23" spans="2:35" x14ac:dyDescent="0.25">
      <c r="B23" s="599"/>
      <c r="C23" s="9" t="s">
        <v>12</v>
      </c>
      <c r="D23" s="29">
        <v>0.06</v>
      </c>
      <c r="E23" s="60">
        <f>E19*D23</f>
        <v>476697.31199999998</v>
      </c>
      <c r="F23" s="61">
        <f>E23*15/10</f>
        <v>715045.96799999999</v>
      </c>
      <c r="G23" s="60">
        <f>E23*12/10</f>
        <v>572036.77439999999</v>
      </c>
      <c r="H23" s="271"/>
      <c r="I23" s="270"/>
      <c r="J23" s="599"/>
      <c r="K23" s="9" t="s">
        <v>12</v>
      </c>
      <c r="L23" s="29">
        <v>0.06</v>
      </c>
      <c r="M23" s="60">
        <f>M19*L23</f>
        <v>476697.31199999998</v>
      </c>
      <c r="N23" s="61">
        <f>M23*15/10</f>
        <v>715045.96799999999</v>
      </c>
      <c r="O23" s="60">
        <f>M23*12/10</f>
        <v>572036.77439999999</v>
      </c>
      <c r="P23" s="203"/>
      <c r="Q23" s="208"/>
      <c r="R23" s="599"/>
      <c r="S23" s="9" t="s">
        <v>12</v>
      </c>
      <c r="T23" s="29">
        <v>0.06</v>
      </c>
      <c r="U23" s="78">
        <f>U19*T23</f>
        <v>476697.31199999998</v>
      </c>
      <c r="V23" s="79">
        <f>U23*15/10</f>
        <v>715045.96799999999</v>
      </c>
      <c r="W23" s="78">
        <f>U23*12/10</f>
        <v>572036.77439999999</v>
      </c>
      <c r="X23" s="209"/>
      <c r="Y23" s="208"/>
      <c r="Z23" s="599"/>
      <c r="AA23" s="9" t="s">
        <v>12</v>
      </c>
      <c r="AB23" s="29">
        <v>0.06</v>
      </c>
      <c r="AC23" s="78">
        <f>AC19*AB23</f>
        <v>476697.31199999998</v>
      </c>
      <c r="AD23" s="79">
        <f>AC23*15/10</f>
        <v>715045.96799999999</v>
      </c>
      <c r="AE23" s="78">
        <f>AC23*12/10</f>
        <v>572036.77439999999</v>
      </c>
      <c r="AF23" s="59"/>
      <c r="AG23" s="572"/>
      <c r="AH23" s="580">
        <f>AH19-AH22</f>
        <v>954626.39999999851</v>
      </c>
      <c r="AI23" s="579" t="s">
        <v>247</v>
      </c>
    </row>
    <row r="24" spans="2:35" ht="15.75" thickBot="1" x14ac:dyDescent="0.3">
      <c r="B24" s="599"/>
      <c r="C24" s="9" t="s">
        <v>13</v>
      </c>
      <c r="D24" s="29">
        <v>0.05</v>
      </c>
      <c r="E24" s="60">
        <f>E34*D24</f>
        <v>821184</v>
      </c>
      <c r="F24" s="61">
        <f>E24*15/10</f>
        <v>1231776</v>
      </c>
      <c r="G24" s="60">
        <f>E24*12/10</f>
        <v>985420.80000000005</v>
      </c>
      <c r="H24" s="269"/>
      <c r="I24" s="270"/>
      <c r="J24" s="599"/>
      <c r="K24" s="9" t="s">
        <v>13</v>
      </c>
      <c r="L24" s="29">
        <v>0.05</v>
      </c>
      <c r="M24" s="60">
        <f>M34*L24</f>
        <v>821184</v>
      </c>
      <c r="N24" s="61">
        <f>M24*15/10</f>
        <v>1231776</v>
      </c>
      <c r="O24" s="60">
        <f>M24*12/10</f>
        <v>985420.80000000005</v>
      </c>
      <c r="P24" s="203"/>
      <c r="Q24" s="208"/>
      <c r="R24" s="599"/>
      <c r="S24" s="9" t="s">
        <v>13</v>
      </c>
      <c r="T24" s="29">
        <v>0.05</v>
      </c>
      <c r="U24" s="78">
        <f>U34*T24</f>
        <v>821184</v>
      </c>
      <c r="V24" s="79">
        <f>U24*15/10</f>
        <v>1231776</v>
      </c>
      <c r="W24" s="78">
        <f>U24*12/10</f>
        <v>985420.80000000005</v>
      </c>
      <c r="X24" s="203"/>
      <c r="Y24" s="208"/>
      <c r="Z24" s="599"/>
      <c r="AA24" s="9" t="s">
        <v>13</v>
      </c>
      <c r="AB24" s="29">
        <v>0.05</v>
      </c>
      <c r="AC24" s="78">
        <f>AC34*AB24</f>
        <v>821184</v>
      </c>
      <c r="AD24" s="78">
        <f>AD34*AB24</f>
        <v>1184044.6800000002</v>
      </c>
      <c r="AE24" s="78">
        <f>AE34*AB24</f>
        <v>947235.74400000018</v>
      </c>
      <c r="AF24" s="419" t="s">
        <v>53</v>
      </c>
      <c r="AG24" s="573"/>
      <c r="AH24" s="581"/>
      <c r="AI24" s="579"/>
    </row>
    <row r="25" spans="2:35" ht="15.75" thickBot="1" x14ac:dyDescent="0.3">
      <c r="B25" s="599"/>
      <c r="C25" s="9" t="s">
        <v>14</v>
      </c>
      <c r="D25" s="29">
        <v>0.02</v>
      </c>
      <c r="E25" s="60">
        <f>E19*D25</f>
        <v>158899.10400000002</v>
      </c>
      <c r="F25" s="61">
        <f>E25*15/10</f>
        <v>238348.65600000005</v>
      </c>
      <c r="G25" s="60">
        <f>E25*12/10</f>
        <v>190678.92480000001</v>
      </c>
      <c r="H25" s="269"/>
      <c r="I25" s="270"/>
      <c r="J25" s="599"/>
      <c r="K25" s="9" t="s">
        <v>14</v>
      </c>
      <c r="L25" s="29">
        <v>0.02</v>
      </c>
      <c r="M25" s="60">
        <f>M19*L25</f>
        <v>158899.10400000002</v>
      </c>
      <c r="N25" s="61">
        <f>M25*15/10</f>
        <v>238348.65600000005</v>
      </c>
      <c r="O25" s="60">
        <f>M25*12/10</f>
        <v>190678.92480000001</v>
      </c>
      <c r="P25" s="203"/>
      <c r="Q25" s="208"/>
      <c r="R25" s="599"/>
      <c r="S25" s="9" t="s">
        <v>14</v>
      </c>
      <c r="T25" s="29">
        <v>0.02</v>
      </c>
      <c r="U25" s="78">
        <f>U19*T25</f>
        <v>158899.10400000002</v>
      </c>
      <c r="V25" s="79">
        <f>U25*15/10</f>
        <v>238348.65600000005</v>
      </c>
      <c r="W25" s="78">
        <f>U25*12/10</f>
        <v>190678.92480000001</v>
      </c>
      <c r="X25" s="203"/>
      <c r="Y25" s="208"/>
      <c r="Z25" s="599"/>
      <c r="AA25" s="9" t="s">
        <v>14</v>
      </c>
      <c r="AB25" s="29">
        <v>0.02</v>
      </c>
      <c r="AC25" s="78">
        <f>AC19*AB25</f>
        <v>158899.10400000002</v>
      </c>
      <c r="AD25" s="79">
        <f>AC25*15/10</f>
        <v>238348.65600000005</v>
      </c>
      <c r="AE25" s="78">
        <f>AC25*12/10</f>
        <v>190678.92480000001</v>
      </c>
      <c r="AF25" s="497">
        <f>AD10-AF20</f>
        <v>13857.48</v>
      </c>
      <c r="AG25" s="574"/>
      <c r="AH25" s="582">
        <f>F15</f>
        <v>307007.99999999988</v>
      </c>
      <c r="AI25" s="579" t="s">
        <v>149</v>
      </c>
    </row>
    <row r="26" spans="2:35" ht="15.75" thickBot="1" x14ac:dyDescent="0.3">
      <c r="B26" s="599"/>
      <c r="C26" s="9" t="s">
        <v>37</v>
      </c>
      <c r="D26" s="29">
        <v>0.05</v>
      </c>
      <c r="E26" s="60">
        <f>E19*D26</f>
        <v>397247.76</v>
      </c>
      <c r="F26" s="90">
        <f>F19*D26</f>
        <v>677307.43080000021</v>
      </c>
      <c r="G26" s="60">
        <f>G19*D26</f>
        <v>526584.24</v>
      </c>
      <c r="H26" s="269"/>
      <c r="I26" s="270"/>
      <c r="J26" s="599"/>
      <c r="K26" s="9" t="s">
        <v>37</v>
      </c>
      <c r="L26" s="29">
        <v>0.05</v>
      </c>
      <c r="M26" s="60">
        <f>M19*L26</f>
        <v>397247.76</v>
      </c>
      <c r="N26" s="90">
        <f>N19*L26</f>
        <v>677307.43080000021</v>
      </c>
      <c r="O26" s="60">
        <f>O19*L26</f>
        <v>526584.24</v>
      </c>
      <c r="P26" s="203"/>
      <c r="Q26" s="208"/>
      <c r="R26" s="599"/>
      <c r="S26" s="9" t="s">
        <v>37</v>
      </c>
      <c r="T26" s="29">
        <v>0.05</v>
      </c>
      <c r="U26" s="78">
        <f>U19*T26</f>
        <v>397247.76</v>
      </c>
      <c r="V26" s="80">
        <f>V19*T26</f>
        <v>658557.90000000014</v>
      </c>
      <c r="W26" s="78">
        <f>W19*T26</f>
        <v>526584.24</v>
      </c>
      <c r="X26" s="203"/>
      <c r="Y26" s="208"/>
      <c r="Z26" s="599"/>
      <c r="AA26" s="9" t="s">
        <v>37</v>
      </c>
      <c r="AB26" s="29">
        <v>0.05</v>
      </c>
      <c r="AC26" s="78">
        <f>AC19*AB26</f>
        <v>397247.76</v>
      </c>
      <c r="AD26" s="80">
        <f>AD19*AB26</f>
        <v>677307.43080000021</v>
      </c>
      <c r="AE26" s="78">
        <f>AE19*AB26</f>
        <v>526584.24</v>
      </c>
      <c r="AF26" s="419" t="s">
        <v>58</v>
      </c>
      <c r="AG26" s="573"/>
      <c r="AH26" s="583">
        <f>AH23-AH25</f>
        <v>647618.39999999863</v>
      </c>
      <c r="AI26" s="579" t="s">
        <v>251</v>
      </c>
    </row>
    <row r="27" spans="2:35" ht="15.75" thickBot="1" x14ac:dyDescent="0.3">
      <c r="B27" s="599"/>
      <c r="C27" s="9" t="s">
        <v>41</v>
      </c>
      <c r="D27" s="29">
        <f>+E27/E19</f>
        <v>6.0415730072335702E-3</v>
      </c>
      <c r="E27" s="60">
        <f>0.3*(E14+E15)*8%*2</f>
        <v>48000.02687999999</v>
      </c>
      <c r="F27" s="90">
        <f>0.3*(F14+F15+F20)*8%*2</f>
        <v>62736.410879999989</v>
      </c>
      <c r="G27" s="68">
        <f>0.3*(G14+G15+G20)*8%*2</f>
        <v>52600.65408</v>
      </c>
      <c r="H27" s="269"/>
      <c r="I27" s="270"/>
      <c r="J27" s="599"/>
      <c r="K27" s="9" t="s">
        <v>41</v>
      </c>
      <c r="L27" s="29">
        <f>+M27/M19</f>
        <v>6.0415730072335702E-3</v>
      </c>
      <c r="M27" s="60">
        <f>0.3*(M14+M15)*8%*2</f>
        <v>48000.02687999999</v>
      </c>
      <c r="N27" s="90">
        <f>0.3*(N14+N15+N20)*8%*2</f>
        <v>55368.218879999993</v>
      </c>
      <c r="O27" s="68">
        <f>0.3*(O14+O15+O20)*8%*2</f>
        <v>50300.340479999999</v>
      </c>
      <c r="P27" s="203"/>
      <c r="Q27" s="208"/>
      <c r="R27" s="599"/>
      <c r="S27" s="9" t="s">
        <v>41</v>
      </c>
      <c r="T27" s="29">
        <f>+U27/U19</f>
        <v>6.0415730072335702E-3</v>
      </c>
      <c r="U27" s="78">
        <f>0.3*(U14+U15)*8%*2</f>
        <v>48000.02687999999</v>
      </c>
      <c r="V27" s="80">
        <f>0.3*(V14+V15+V20)*8%*2</f>
        <v>65971.226880000002</v>
      </c>
      <c r="W27" s="78">
        <f>0.3*(W14+W15+W20)*8%*2</f>
        <v>62376.986880000004</v>
      </c>
      <c r="X27" s="203"/>
      <c r="Y27" s="208"/>
      <c r="Z27" s="599"/>
      <c r="AA27" s="9" t="s">
        <v>41</v>
      </c>
      <c r="AB27" s="29">
        <f>+AC27/AC19</f>
        <v>6.0415730072335702E-3</v>
      </c>
      <c r="AC27" s="78">
        <f>0.3*(AC14+AC15)*8%*2</f>
        <v>48000.02687999999</v>
      </c>
      <c r="AD27" s="80">
        <f>0.3*(AD14+AD15+AD20)*8%*2</f>
        <v>48000.02687999999</v>
      </c>
      <c r="AE27" s="78">
        <f>0.3*(AE14+AE15+AE20)*8%*2</f>
        <v>48000.02687999999</v>
      </c>
      <c r="AF27" s="419">
        <f>AF25*1600</f>
        <v>22171968</v>
      </c>
      <c r="AG27" s="573"/>
      <c r="AH27" s="583">
        <f>AH26/AF25</f>
        <v>46.734211415062383</v>
      </c>
      <c r="AI27" s="579" t="s">
        <v>253</v>
      </c>
    </row>
    <row r="28" spans="2:35" ht="15.75" thickBot="1" x14ac:dyDescent="0.3">
      <c r="B28" s="599"/>
      <c r="C28" s="8" t="s">
        <v>227</v>
      </c>
      <c r="D28" s="551" t="s">
        <v>228</v>
      </c>
      <c r="E28" s="550">
        <f>E29/E11</f>
        <v>120.14232083755488</v>
      </c>
      <c r="F28" s="550">
        <f t="shared" ref="F28:G28" si="0">F29/F11</f>
        <v>118.78684609602249</v>
      </c>
      <c r="G28" s="550">
        <f t="shared" si="0"/>
        <v>115.73700527915533</v>
      </c>
      <c r="H28" s="269"/>
      <c r="I28" s="270"/>
      <c r="J28" s="599"/>
      <c r="K28" s="8" t="s">
        <v>227</v>
      </c>
      <c r="L28" s="551" t="s">
        <v>228</v>
      </c>
      <c r="M28" s="550">
        <f>M29/M11</f>
        <v>120.14232083755488</v>
      </c>
      <c r="N28" s="550">
        <f t="shared" ref="N28" si="1">N29/N11</f>
        <v>118.52956597052</v>
      </c>
      <c r="O28" s="550">
        <f t="shared" ref="O28" si="2">O29/O11</f>
        <v>115.63871700527915</v>
      </c>
      <c r="P28" s="203"/>
      <c r="Q28" s="208"/>
      <c r="R28" s="599"/>
      <c r="S28" s="8" t="s">
        <v>227</v>
      </c>
      <c r="T28" s="551" t="s">
        <v>228</v>
      </c>
      <c r="U28" s="550">
        <f>U29/U11</f>
        <v>120.14232083755488</v>
      </c>
      <c r="V28" s="550">
        <f t="shared" ref="V28" si="3">V29/V11</f>
        <v>121.61161613445378</v>
      </c>
      <c r="W28" s="550">
        <f t="shared" ref="W28" si="4">W29/W11</f>
        <v>116.15473044312911</v>
      </c>
      <c r="X28" s="203"/>
      <c r="Y28" s="208"/>
      <c r="Z28" s="599"/>
      <c r="AA28" s="8" t="s">
        <v>227</v>
      </c>
      <c r="AB28" s="551" t="s">
        <v>228</v>
      </c>
      <c r="AC28" s="550">
        <f>AC29/AC11</f>
        <v>120.14232083755488</v>
      </c>
      <c r="AD28" s="550">
        <f t="shared" ref="AD28" si="5">AD29/AD11</f>
        <v>116.60561917835081</v>
      </c>
      <c r="AE28" s="550">
        <f t="shared" ref="AE28" si="6">AE29/AE11</f>
        <v>113.90884978403456</v>
      </c>
      <c r="AF28" s="558"/>
      <c r="AG28" s="573"/>
      <c r="AH28"/>
    </row>
    <row r="29" spans="2:35" ht="15.75" thickBot="1" x14ac:dyDescent="0.3">
      <c r="B29" s="598"/>
      <c r="C29" s="10" t="s">
        <v>39</v>
      </c>
      <c r="D29" s="30"/>
      <c r="E29" s="33">
        <f>SUM(E22:E27)</f>
        <v>2219826.4108799999</v>
      </c>
      <c r="F29" s="46">
        <f>SUM(F22:F27)</f>
        <v>3401911.7776800003</v>
      </c>
      <c r="G29" s="70">
        <f>SUM(G22:G27)</f>
        <v>2708679.2428799998</v>
      </c>
      <c r="H29" s="269"/>
      <c r="I29" s="269"/>
      <c r="J29" s="598"/>
      <c r="K29" s="10" t="s">
        <v>39</v>
      </c>
      <c r="L29" s="30"/>
      <c r="M29" s="33">
        <f>SUM(M22:M27)</f>
        <v>2219826.4108799999</v>
      </c>
      <c r="N29" s="46">
        <f>SUM(N22:N27)</f>
        <v>3394543.5856800005</v>
      </c>
      <c r="O29" s="70">
        <f>SUM(O22:O27)</f>
        <v>2706378.9292799998</v>
      </c>
      <c r="P29" s="203"/>
      <c r="Q29" s="203"/>
      <c r="R29" s="598"/>
      <c r="S29" s="10" t="s">
        <v>39</v>
      </c>
      <c r="T29" s="30"/>
      <c r="U29" s="33">
        <f>SUM(U22:U27)</f>
        <v>2219826.4108799999</v>
      </c>
      <c r="V29" s="46">
        <f>SUM(V22:V27)</f>
        <v>3386397.0628800001</v>
      </c>
      <c r="W29" s="33">
        <f>SUM(W22:W27)</f>
        <v>2718455.5756800002</v>
      </c>
      <c r="X29" s="203"/>
      <c r="Y29" s="203"/>
      <c r="Z29" s="598"/>
      <c r="AA29" s="10" t="s">
        <v>39</v>
      </c>
      <c r="AB29" s="30"/>
      <c r="AC29" s="33">
        <f>SUM(AC22:AC27)</f>
        <v>2219826.4108799999</v>
      </c>
      <c r="AD29" s="46">
        <f>SUM(AD22:AD27)</f>
        <v>3339444.0736799999</v>
      </c>
      <c r="AE29" s="33">
        <f>SUM(AE22:AE27)</f>
        <v>2665893.5596799999</v>
      </c>
      <c r="AF29" s="130"/>
      <c r="AG29" s="575"/>
      <c r="AH29"/>
    </row>
    <row r="30" spans="2:35" ht="15.75" thickBot="1" x14ac:dyDescent="0.3">
      <c r="B30" s="597" t="s">
        <v>170</v>
      </c>
      <c r="C30" s="525" t="s">
        <v>156</v>
      </c>
      <c r="D30" s="526"/>
      <c r="E30" s="527">
        <f>E14+E15+E19+E29</f>
        <v>11164782.170879999</v>
      </c>
      <c r="F30" s="528">
        <f>F14+F15+F19+F29</f>
        <v>18255068.953680001</v>
      </c>
      <c r="G30" s="527">
        <f>G14+G15+G19+G29</f>
        <v>14336211.002879998</v>
      </c>
      <c r="H30" s="269"/>
      <c r="I30" s="269"/>
      <c r="J30" s="597" t="s">
        <v>170</v>
      </c>
      <c r="K30" s="525" t="s">
        <v>156</v>
      </c>
      <c r="L30" s="526"/>
      <c r="M30" s="527">
        <f>M14+M15+M19+M29</f>
        <v>11164782.170879999</v>
      </c>
      <c r="N30" s="528">
        <f>N14+N15+N19+N29</f>
        <v>18094196.761680003</v>
      </c>
      <c r="O30" s="527">
        <f>O14+O15+O19+O29</f>
        <v>14285987.489279998</v>
      </c>
      <c r="P30" s="203"/>
      <c r="Q30" s="203"/>
      <c r="R30" s="597" t="s">
        <v>170</v>
      </c>
      <c r="S30" s="525" t="s">
        <v>16</v>
      </c>
      <c r="T30" s="526"/>
      <c r="U30" s="527">
        <f>U14+U15+U19+U29</f>
        <v>11164782.170879999</v>
      </c>
      <c r="V30" s="528">
        <f>V14+V15+V19+V29</f>
        <v>17931955.622880004</v>
      </c>
      <c r="W30" s="527">
        <f>W14+W15+W19+W29</f>
        <v>14549660.93568</v>
      </c>
      <c r="X30" s="203"/>
      <c r="Y30" s="203"/>
      <c r="Z30" s="597" t="s">
        <v>170</v>
      </c>
      <c r="AA30" s="525" t="s">
        <v>156</v>
      </c>
      <c r="AB30" s="526"/>
      <c r="AC30" s="527">
        <f>AC14+AC15+AC19+AC29</f>
        <v>11164782.170879999</v>
      </c>
      <c r="AD30" s="528">
        <f>AD14+AD15+AD19+AD29</f>
        <v>17885593.249680001</v>
      </c>
      <c r="AE30" s="527">
        <f>AE14+AE15+AE19+AE29</f>
        <v>14197578.919679999</v>
      </c>
      <c r="AF30" s="391" t="s">
        <v>54</v>
      </c>
      <c r="AG30" s="576"/>
      <c r="AH30" s="585">
        <f>AH25/AD10</f>
        <v>19.939209726443764</v>
      </c>
      <c r="AI30" s="586" t="s">
        <v>254</v>
      </c>
    </row>
    <row r="31" spans="2:35" ht="15.75" thickBot="1" x14ac:dyDescent="0.3">
      <c r="B31" s="598"/>
      <c r="C31" s="529" t="s">
        <v>34</v>
      </c>
      <c r="D31" s="530"/>
      <c r="E31" s="531">
        <f>E30/E10</f>
        <v>1087.6765422492401</v>
      </c>
      <c r="F31" s="532">
        <f>F30/F10</f>
        <v>1185.6096532928066</v>
      </c>
      <c r="G31" s="531">
        <f>G30/G10</f>
        <v>1163.8651023302937</v>
      </c>
      <c r="H31" s="269"/>
      <c r="I31" s="271"/>
      <c r="J31" s="598"/>
      <c r="K31" s="529" t="s">
        <v>34</v>
      </c>
      <c r="L31" s="530"/>
      <c r="M31" s="531">
        <f>M30/M10</f>
        <v>1087.6765422492401</v>
      </c>
      <c r="N31" s="532">
        <f>N30/N10</f>
        <v>1175.1615073961502</v>
      </c>
      <c r="O31" s="531">
        <f>O30/O10</f>
        <v>1159.7877771023302</v>
      </c>
      <c r="P31" s="203"/>
      <c r="Q31" s="209"/>
      <c r="R31" s="598"/>
      <c r="S31" s="529" t="s">
        <v>34</v>
      </c>
      <c r="T31" s="530"/>
      <c r="U31" s="531">
        <f>U30/U10</f>
        <v>1087.6765422492401</v>
      </c>
      <c r="V31" s="532">
        <f>V30/V10</f>
        <v>1094.7469855238098</v>
      </c>
      <c r="W31" s="531">
        <f>W30/W10</f>
        <v>1181.1937345491388</v>
      </c>
      <c r="X31" s="203"/>
      <c r="Y31" s="209"/>
      <c r="Z31" s="598"/>
      <c r="AA31" s="529" t="s">
        <v>34</v>
      </c>
      <c r="AB31" s="530"/>
      <c r="AC31" s="531">
        <f>AC30/AC10</f>
        <v>1087.6765422492401</v>
      </c>
      <c r="AD31" s="532">
        <f>AD30/AD10</f>
        <v>1161.6133614994935</v>
      </c>
      <c r="AE31" s="531">
        <f>AE30/AE10</f>
        <v>1152.6104518743666</v>
      </c>
      <c r="AF31" s="391">
        <f>+AF27+AF22</f>
        <v>23680893.600000001</v>
      </c>
      <c r="AG31" s="576"/>
      <c r="AH31" s="102"/>
    </row>
    <row r="32" spans="2:35" ht="15.75" thickBot="1" x14ac:dyDescent="0.3">
      <c r="B32" s="597" t="s">
        <v>171</v>
      </c>
      <c r="C32" s="646" t="s">
        <v>17</v>
      </c>
      <c r="D32" s="637"/>
      <c r="E32" s="637"/>
      <c r="F32" s="637"/>
      <c r="G32" s="638"/>
      <c r="H32" s="269"/>
      <c r="I32" s="269"/>
      <c r="J32" s="597" t="s">
        <v>171</v>
      </c>
      <c r="K32" s="646" t="s">
        <v>17</v>
      </c>
      <c r="L32" s="637"/>
      <c r="M32" s="637"/>
      <c r="N32" s="637"/>
      <c r="O32" s="638"/>
      <c r="P32" s="203"/>
      <c r="Q32" s="203"/>
      <c r="R32" s="597" t="s">
        <v>171</v>
      </c>
      <c r="S32" s="646" t="s">
        <v>17</v>
      </c>
      <c r="T32" s="637"/>
      <c r="U32" s="637"/>
      <c r="V32" s="637"/>
      <c r="W32" s="638"/>
      <c r="X32" s="203"/>
      <c r="Y32" s="203"/>
      <c r="Z32" s="597" t="s">
        <v>171</v>
      </c>
      <c r="AA32" s="646" t="s">
        <v>17</v>
      </c>
      <c r="AB32" s="637"/>
      <c r="AC32" s="637"/>
      <c r="AD32" s="637"/>
      <c r="AE32" s="638"/>
      <c r="AF32" s="392" t="s">
        <v>55</v>
      </c>
      <c r="AG32" s="577"/>
      <c r="AH32" s="569"/>
    </row>
    <row r="33" spans="2:34" ht="15.75" thickBot="1" x14ac:dyDescent="0.3">
      <c r="B33" s="599"/>
      <c r="C33" s="7" t="s">
        <v>18</v>
      </c>
      <c r="D33" s="34"/>
      <c r="E33" s="27">
        <v>1600</v>
      </c>
      <c r="F33" s="27">
        <v>1600</v>
      </c>
      <c r="G33" s="27">
        <v>1600</v>
      </c>
      <c r="H33" s="269"/>
      <c r="I33" s="269"/>
      <c r="J33" s="599"/>
      <c r="K33" s="7" t="s">
        <v>18</v>
      </c>
      <c r="L33" s="34"/>
      <c r="M33" s="27">
        <v>1600</v>
      </c>
      <c r="N33" s="27">
        <v>1600</v>
      </c>
      <c r="O33" s="27">
        <v>1600</v>
      </c>
      <c r="P33" s="203"/>
      <c r="Q33" s="203"/>
      <c r="R33" s="599"/>
      <c r="S33" s="7" t="s">
        <v>18</v>
      </c>
      <c r="T33" s="34"/>
      <c r="U33" s="27">
        <v>1600</v>
      </c>
      <c r="V33" s="27">
        <v>1600</v>
      </c>
      <c r="W33" s="27">
        <v>1600</v>
      </c>
      <c r="X33" s="203"/>
      <c r="Y33" s="203"/>
      <c r="Z33" s="599"/>
      <c r="AA33" s="7" t="s">
        <v>18</v>
      </c>
      <c r="AB33" s="34"/>
      <c r="AC33" s="197">
        <v>1600</v>
      </c>
      <c r="AD33" s="489">
        <f t="shared" ref="AD33" si="7">AE33</f>
        <v>1538.0000000000002</v>
      </c>
      <c r="AE33" s="489">
        <f>AF33</f>
        <v>1538.0000000000002</v>
      </c>
      <c r="AF33" s="493">
        <f>AF31/AD10</f>
        <v>1538.0000000000002</v>
      </c>
      <c r="AG33" s="578"/>
      <c r="AH33" s="102"/>
    </row>
    <row r="34" spans="2:34" ht="15.75" thickBot="1" x14ac:dyDescent="0.3">
      <c r="B34" s="598"/>
      <c r="C34" s="8" t="s">
        <v>19</v>
      </c>
      <c r="D34" s="35"/>
      <c r="E34" s="36">
        <f>E10*E33</f>
        <v>16423679.999999998</v>
      </c>
      <c r="F34" s="47">
        <f>F10*F33</f>
        <v>24635520</v>
      </c>
      <c r="G34" s="36">
        <f>G10*G33</f>
        <v>19708416</v>
      </c>
      <c r="H34" s="269"/>
      <c r="I34" s="269"/>
      <c r="J34" s="598"/>
      <c r="K34" s="8" t="s">
        <v>19</v>
      </c>
      <c r="L34" s="35"/>
      <c r="M34" s="36">
        <f>M10*M33</f>
        <v>16423679.999999998</v>
      </c>
      <c r="N34" s="47">
        <f>N10*N33</f>
        <v>24635520</v>
      </c>
      <c r="O34" s="36">
        <f>O10*O33</f>
        <v>19708416</v>
      </c>
      <c r="P34" s="102"/>
      <c r="Q34" s="203"/>
      <c r="R34" s="598"/>
      <c r="S34" s="8" t="s">
        <v>19</v>
      </c>
      <c r="T34" s="35"/>
      <c r="U34" s="36">
        <f>U10*U33</f>
        <v>16423679.999999998</v>
      </c>
      <c r="V34" s="47">
        <f>V10*V33</f>
        <v>26208000</v>
      </c>
      <c r="W34" s="36">
        <f>W10*W33</f>
        <v>19708416</v>
      </c>
      <c r="X34" s="203"/>
      <c r="Y34" s="203"/>
      <c r="Z34" s="598"/>
      <c r="AA34" s="8" t="s">
        <v>19</v>
      </c>
      <c r="AB34" s="35"/>
      <c r="AC34" s="36">
        <f>AC10*AC33</f>
        <v>16423679.999999998</v>
      </c>
      <c r="AD34" s="47">
        <f>AD10*AD33</f>
        <v>23680893.600000001</v>
      </c>
      <c r="AE34" s="36">
        <f>AE10*AE33</f>
        <v>18944714.880000003</v>
      </c>
      <c r="AF34" s="203"/>
      <c r="AG34" s="203"/>
      <c r="AH34"/>
    </row>
    <row r="35" spans="2:34" ht="15.75" thickBot="1" x14ac:dyDescent="0.3">
      <c r="B35" s="597" t="s">
        <v>172</v>
      </c>
      <c r="C35" s="646" t="s">
        <v>20</v>
      </c>
      <c r="D35" s="637"/>
      <c r="E35" s="637"/>
      <c r="F35" s="637"/>
      <c r="G35" s="638"/>
      <c r="H35" s="269"/>
      <c r="I35" s="269"/>
      <c r="J35" s="597" t="s">
        <v>172</v>
      </c>
      <c r="K35" s="646" t="s">
        <v>20</v>
      </c>
      <c r="L35" s="637"/>
      <c r="M35" s="637"/>
      <c r="N35" s="637"/>
      <c r="O35" s="638"/>
      <c r="P35" s="56"/>
      <c r="Q35" s="203"/>
      <c r="R35" s="597" t="s">
        <v>172</v>
      </c>
      <c r="S35" s="646" t="s">
        <v>20</v>
      </c>
      <c r="T35" s="637"/>
      <c r="U35" s="637"/>
      <c r="V35" s="637"/>
      <c r="W35" s="638"/>
      <c r="X35" s="56"/>
      <c r="Y35" s="203"/>
      <c r="Z35" s="597" t="s">
        <v>172</v>
      </c>
      <c r="AA35" s="646" t="s">
        <v>20</v>
      </c>
      <c r="AB35" s="637"/>
      <c r="AC35" s="637"/>
      <c r="AD35" s="637"/>
      <c r="AE35" s="638"/>
      <c r="AF35" s="203"/>
      <c r="AG35" s="203"/>
      <c r="AH35"/>
    </row>
    <row r="36" spans="2:34" x14ac:dyDescent="0.25">
      <c r="B36" s="599"/>
      <c r="C36" s="9" t="s">
        <v>21</v>
      </c>
      <c r="D36" s="37"/>
      <c r="E36" s="91">
        <f>E34-E30</f>
        <v>5258897.829119999</v>
      </c>
      <c r="F36" s="61">
        <f>F34-F30</f>
        <v>6380451.0463199988</v>
      </c>
      <c r="G36" s="91">
        <f>G34-G30</f>
        <v>5372204.9971200023</v>
      </c>
      <c r="I36" s="269"/>
      <c r="J36" s="599"/>
      <c r="K36" s="9" t="s">
        <v>21</v>
      </c>
      <c r="L36" s="37"/>
      <c r="M36" s="31">
        <f>M34-M30</f>
        <v>5258897.829119999</v>
      </c>
      <c r="N36" s="45">
        <f>N34-N30</f>
        <v>6541323.2383199967</v>
      </c>
      <c r="O36" s="31">
        <f>O34-O30</f>
        <v>5422428.5107200015</v>
      </c>
      <c r="Q36" s="203"/>
      <c r="R36" s="599"/>
      <c r="S36" s="9" t="s">
        <v>21</v>
      </c>
      <c r="T36" s="37"/>
      <c r="U36" s="31">
        <f>U34-U30</f>
        <v>5258897.829119999</v>
      </c>
      <c r="V36" s="45">
        <f>V34-V30</f>
        <v>8276044.3771199957</v>
      </c>
      <c r="W36" s="31">
        <f>W34-W30</f>
        <v>5158755.0643199999</v>
      </c>
      <c r="X36" s="56"/>
      <c r="Y36" s="203"/>
      <c r="Z36" s="599"/>
      <c r="AA36" s="9" t="s">
        <v>21</v>
      </c>
      <c r="AB36" s="37"/>
      <c r="AC36" s="31">
        <f>AC34-AC30</f>
        <v>5258897.829119999</v>
      </c>
      <c r="AD36" s="45">
        <f>AD34-AD30</f>
        <v>5795300.3503200002</v>
      </c>
      <c r="AE36" s="31">
        <f>AE34-AE30</f>
        <v>4747135.9603200033</v>
      </c>
      <c r="AF36" s="203"/>
      <c r="AG36" s="203"/>
      <c r="AH36"/>
    </row>
    <row r="37" spans="2:34" x14ac:dyDescent="0.25">
      <c r="B37" s="599"/>
      <c r="C37" s="9" t="s">
        <v>35</v>
      </c>
      <c r="D37" s="66"/>
      <c r="E37" s="60">
        <f>-E36*15%</f>
        <v>-788834.67436799977</v>
      </c>
      <c r="F37" s="61">
        <f>-F36*15%</f>
        <v>-957067.65694799973</v>
      </c>
      <c r="G37" s="60">
        <f>-G36*15%</f>
        <v>-805830.74956800032</v>
      </c>
      <c r="I37" s="269"/>
      <c r="J37" s="599"/>
      <c r="K37" s="9" t="s">
        <v>35</v>
      </c>
      <c r="L37" s="66"/>
      <c r="M37" s="60">
        <f>-M36*15%</f>
        <v>-788834.67436799977</v>
      </c>
      <c r="N37" s="61">
        <f>-N36*15%</f>
        <v>-981198.48574799951</v>
      </c>
      <c r="O37" s="60">
        <f>-O36*15%</f>
        <v>-813364.27660800016</v>
      </c>
      <c r="Q37" s="203"/>
      <c r="R37" s="599"/>
      <c r="S37" s="9" t="s">
        <v>35</v>
      </c>
      <c r="T37" s="81"/>
      <c r="U37" s="78">
        <f>-U36*15%</f>
        <v>-788834.67436799977</v>
      </c>
      <c r="V37" s="79">
        <f>-V36*15%</f>
        <v>-1241406.6565679994</v>
      </c>
      <c r="W37" s="78">
        <f>-W36*15%</f>
        <v>-773813.25964800001</v>
      </c>
      <c r="X37" s="56"/>
      <c r="Y37" s="203"/>
      <c r="Z37" s="599"/>
      <c r="AA37" s="9" t="s">
        <v>35</v>
      </c>
      <c r="AB37" s="81"/>
      <c r="AC37" s="78">
        <f>-AC36*15%</f>
        <v>-788834.67436799977</v>
      </c>
      <c r="AD37" s="79">
        <f>-AD36*15%</f>
        <v>-869295.05254800001</v>
      </c>
      <c r="AE37" s="78">
        <f>-AE36*15%</f>
        <v>-712070.39404800045</v>
      </c>
      <c r="AF37" s="203"/>
      <c r="AG37" s="203"/>
      <c r="AH37"/>
    </row>
    <row r="38" spans="2:34" x14ac:dyDescent="0.25">
      <c r="B38" s="599"/>
      <c r="C38" s="9" t="s">
        <v>27</v>
      </c>
      <c r="D38" s="37"/>
      <c r="E38" s="60">
        <f>-(E36-E37)*22%</f>
        <v>-1330501.1507673596</v>
      </c>
      <c r="F38" s="61">
        <f>-(F36-F37)*22%</f>
        <v>-1614254.1147189599</v>
      </c>
      <c r="G38" s="60">
        <f>-(G36-G37)*22%</f>
        <v>-1359167.8642713607</v>
      </c>
      <c r="I38" s="269"/>
      <c r="J38" s="599"/>
      <c r="K38" s="9" t="s">
        <v>27</v>
      </c>
      <c r="L38" s="37"/>
      <c r="M38" s="32">
        <f>-(M36-M37)*22%</f>
        <v>-1330501.1507673596</v>
      </c>
      <c r="N38" s="45">
        <f>-(N36-N37)*22%</f>
        <v>-1654954.7792949593</v>
      </c>
      <c r="O38" s="32">
        <f>-(O36-O37)*22%</f>
        <v>-1371874.4132121603</v>
      </c>
      <c r="Q38" s="203"/>
      <c r="R38" s="599"/>
      <c r="S38" s="9" t="s">
        <v>27</v>
      </c>
      <c r="T38" s="37"/>
      <c r="U38" s="32">
        <f>-(U36-U37)*22%</f>
        <v>-1330501.1507673596</v>
      </c>
      <c r="V38" s="45">
        <f>-(V36-V37)*22%</f>
        <v>-2093839.2274113591</v>
      </c>
      <c r="W38" s="32">
        <f>-(W36-W37)*22%</f>
        <v>-1305165.0312729599</v>
      </c>
      <c r="X38" s="56"/>
      <c r="Y38" s="203"/>
      <c r="Z38" s="599"/>
      <c r="AA38" s="9" t="s">
        <v>27</v>
      </c>
      <c r="AB38" s="37"/>
      <c r="AC38" s="32">
        <f>-(AC36-AC37)*22%</f>
        <v>-1330501.1507673596</v>
      </c>
      <c r="AD38" s="45">
        <f>-(AD36-AD37)*22%</f>
        <v>-1466210.98863096</v>
      </c>
      <c r="AE38" s="32">
        <f>-(AE36-AE37)*22%</f>
        <v>-1201025.3979609609</v>
      </c>
      <c r="AF38" s="203"/>
      <c r="AG38" s="203"/>
      <c r="AH38"/>
    </row>
    <row r="39" spans="2:34" ht="15.75" thickBot="1" x14ac:dyDescent="0.3">
      <c r="B39" s="598"/>
      <c r="C39" s="15" t="s">
        <v>22</v>
      </c>
      <c r="D39" s="63"/>
      <c r="E39" s="64">
        <f>-(E36-E37)*13%</f>
        <v>-786205.22545343987</v>
      </c>
      <c r="F39" s="65">
        <f>-(F36-F37)*13%</f>
        <v>-953877.43142483989</v>
      </c>
      <c r="G39" s="64">
        <f>-(G36-G37)*13%</f>
        <v>-803144.64706944034</v>
      </c>
      <c r="I39" s="269"/>
      <c r="J39" s="598"/>
      <c r="K39" s="15" t="s">
        <v>22</v>
      </c>
      <c r="L39" s="63"/>
      <c r="M39" s="64">
        <f>-(M36-M37)*13%</f>
        <v>-786205.22545343987</v>
      </c>
      <c r="N39" s="65">
        <f>-(N36-N37)*13%</f>
        <v>-977927.82412883954</v>
      </c>
      <c r="O39" s="64">
        <f>-(O36-O37)*13%</f>
        <v>-810653.06235264032</v>
      </c>
      <c r="Q39" s="203"/>
      <c r="R39" s="598"/>
      <c r="S39" s="15" t="s">
        <v>22</v>
      </c>
      <c r="T39" s="63"/>
      <c r="U39" s="64">
        <f>-(U36-U37)*13%</f>
        <v>-786205.22545343987</v>
      </c>
      <c r="V39" s="65">
        <f>-(V36-V37)*13%</f>
        <v>-1237268.6343794395</v>
      </c>
      <c r="W39" s="64">
        <f>-(W36-W37)*13%</f>
        <v>-771233.88211583998</v>
      </c>
      <c r="Y39" s="203"/>
      <c r="Z39" s="598"/>
      <c r="AA39" s="15" t="s">
        <v>22</v>
      </c>
      <c r="AB39" s="63"/>
      <c r="AC39" s="64">
        <f>-(AC36-AC37)*13%</f>
        <v>-786205.22545343987</v>
      </c>
      <c r="AD39" s="65">
        <f>-(AD36-AD37)*13%</f>
        <v>-866397.40237283998</v>
      </c>
      <c r="AE39" s="64">
        <f>-(AE36-AE37)*13%</f>
        <v>-709696.82606784056</v>
      </c>
      <c r="AF39" s="203"/>
      <c r="AG39" s="203"/>
      <c r="AH39"/>
    </row>
    <row r="40" spans="2:34" ht="15.75" thickBot="1" x14ac:dyDescent="0.3">
      <c r="B40" s="597" t="s">
        <v>173</v>
      </c>
      <c r="C40" s="122" t="s">
        <v>36</v>
      </c>
      <c r="D40" s="123"/>
      <c r="E40" s="14">
        <f>SUM(E36:E39)</f>
        <v>2353356.7785311993</v>
      </c>
      <c r="F40" s="48">
        <f>SUM(F36:F39)</f>
        <v>2855251.8432281991</v>
      </c>
      <c r="G40" s="14">
        <f>SUM(G36:G39)</f>
        <v>2404061.7362112012</v>
      </c>
      <c r="I40" s="269"/>
      <c r="J40" s="597" t="s">
        <v>173</v>
      </c>
      <c r="K40" s="12" t="s">
        <v>36</v>
      </c>
      <c r="L40" s="13"/>
      <c r="M40" s="14">
        <f>SUM(M36:M39)</f>
        <v>2353356.7785311993</v>
      </c>
      <c r="N40" s="48">
        <f>SUM(N36:N39)</f>
        <v>2927242.1491481983</v>
      </c>
      <c r="O40" s="14">
        <f>SUM(O36:O39)</f>
        <v>2426536.7585471999</v>
      </c>
      <c r="Q40" s="203"/>
      <c r="R40" s="597" t="s">
        <v>173</v>
      </c>
      <c r="S40" s="12" t="s">
        <v>36</v>
      </c>
      <c r="T40" s="13"/>
      <c r="U40" s="14">
        <f>SUM(U36:U39)</f>
        <v>2353356.7785311993</v>
      </c>
      <c r="V40" s="48">
        <f>SUM(V36:V39)</f>
        <v>3703529.8587611984</v>
      </c>
      <c r="W40" s="14">
        <f>SUM(W36:W39)</f>
        <v>2308542.8912832001</v>
      </c>
      <c r="Y40" s="203"/>
      <c r="Z40" s="597" t="s">
        <v>173</v>
      </c>
      <c r="AA40" s="12" t="s">
        <v>36</v>
      </c>
      <c r="AB40" s="13"/>
      <c r="AC40" s="14">
        <f>SUM(AC36:AC39)</f>
        <v>2353356.7785311993</v>
      </c>
      <c r="AD40" s="48">
        <f>SUM(AD36:AD39)</f>
        <v>2593396.9067682009</v>
      </c>
      <c r="AE40" s="14">
        <f>SUM(AE36:AE39)</f>
        <v>2124343.3422432011</v>
      </c>
      <c r="AF40" s="203"/>
      <c r="AG40" s="203"/>
      <c r="AH40"/>
    </row>
    <row r="41" spans="2:34" ht="19.5" thickBot="1" x14ac:dyDescent="0.35">
      <c r="B41" s="598"/>
      <c r="C41" s="11" t="s">
        <v>51</v>
      </c>
      <c r="D41" s="38"/>
      <c r="E41" s="39">
        <f>E40/E34</f>
        <v>0.14329046708966564</v>
      </c>
      <c r="F41" s="49">
        <f>F40/F34</f>
        <v>0.11589980009466815</v>
      </c>
      <c r="G41" s="39">
        <f>G40/G34</f>
        <v>0.12198147919199601</v>
      </c>
      <c r="I41" s="269"/>
      <c r="J41" s="598"/>
      <c r="K41" s="11" t="s">
        <v>147</v>
      </c>
      <c r="L41" s="38"/>
      <c r="M41" s="39">
        <f>M40/M34</f>
        <v>0.14329046708966564</v>
      </c>
      <c r="N41" s="49">
        <f>N40/N34</f>
        <v>0.11882201590013924</v>
      </c>
      <c r="O41" s="39">
        <f>O40/O34</f>
        <v>0.12312185609169199</v>
      </c>
      <c r="Q41" s="203"/>
      <c r="R41" s="598"/>
      <c r="S41" s="103" t="s">
        <v>160</v>
      </c>
      <c r="T41" s="38"/>
      <c r="U41" s="39">
        <f>U40/U34</f>
        <v>0.14329046708966564</v>
      </c>
      <c r="V41" s="49">
        <f>V40/V34</f>
        <v>0.14131295248630946</v>
      </c>
      <c r="W41" s="39">
        <f>W40/W34</f>
        <v>0.11713487736828775</v>
      </c>
      <c r="Y41" s="203"/>
      <c r="Z41" s="598"/>
      <c r="AA41" s="103" t="s">
        <v>163</v>
      </c>
      <c r="AB41" s="38"/>
      <c r="AC41" s="39">
        <f>AC40/AC34</f>
        <v>0.14329046708966564</v>
      </c>
      <c r="AD41" s="49">
        <f>AD40/AD34</f>
        <v>0.10951431776916563</v>
      </c>
      <c r="AE41" s="39">
        <f>AE40/AE34</f>
        <v>0.11213382495853116</v>
      </c>
      <c r="AF41" s="203"/>
      <c r="AG41" s="203"/>
      <c r="AH41"/>
    </row>
    <row r="42" spans="2:34" ht="31.5" x14ac:dyDescent="0.25">
      <c r="B42" s="600"/>
      <c r="C42" s="600"/>
      <c r="D42" s="600"/>
      <c r="E42" s="600"/>
      <c r="F42" s="600"/>
      <c r="G42" s="600"/>
      <c r="I42" s="269"/>
      <c r="J42" s="56"/>
      <c r="Q42" s="203"/>
      <c r="R42" s="600"/>
      <c r="S42" s="600"/>
      <c r="T42" s="600"/>
      <c r="U42" s="600"/>
      <c r="V42" s="600"/>
      <c r="W42" s="600"/>
      <c r="Y42" s="56"/>
      <c r="AF42" s="56"/>
      <c r="AG42" s="56"/>
      <c r="AH42"/>
    </row>
    <row r="43" spans="2:34" ht="15.75" thickBot="1" x14ac:dyDescent="0.3">
      <c r="B43" s="590" t="s">
        <v>194</v>
      </c>
      <c r="C43" s="590"/>
      <c r="D43" s="590"/>
      <c r="E43" s="590"/>
      <c r="F43" s="590"/>
      <c r="G43" s="590"/>
      <c r="J43" s="590" t="s">
        <v>194</v>
      </c>
      <c r="K43" s="590"/>
      <c r="L43" s="590"/>
      <c r="M43" s="590"/>
      <c r="N43" s="590"/>
      <c r="O43" s="590"/>
      <c r="Q43" s="102"/>
      <c r="R43" s="590" t="s">
        <v>194</v>
      </c>
      <c r="S43" s="590"/>
      <c r="T43" s="590"/>
      <c r="U43" s="590"/>
      <c r="V43" s="590"/>
      <c r="W43" s="590"/>
      <c r="Y43" s="56"/>
      <c r="Z43" s="590" t="s">
        <v>194</v>
      </c>
      <c r="AA43" s="590"/>
      <c r="AB43" s="590"/>
      <c r="AC43" s="590"/>
      <c r="AD43" s="590"/>
      <c r="AE43" s="590"/>
      <c r="AF43" s="56"/>
      <c r="AG43" s="56"/>
      <c r="AH43"/>
    </row>
    <row r="44" spans="2:34" ht="46.5" customHeight="1" thickBot="1" x14ac:dyDescent="0.3">
      <c r="B44" s="310" t="s">
        <v>187</v>
      </c>
      <c r="C44" s="591" t="s">
        <v>195</v>
      </c>
      <c r="D44" s="592"/>
      <c r="E44" s="592"/>
      <c r="F44" s="592"/>
      <c r="G44" s="593"/>
      <c r="J44" s="372" t="s">
        <v>186</v>
      </c>
      <c r="K44" s="587" t="s">
        <v>196</v>
      </c>
      <c r="L44" s="588"/>
      <c r="M44" s="588"/>
      <c r="N44" s="588"/>
      <c r="O44" s="589"/>
      <c r="Q44" s="56"/>
      <c r="R44" s="372" t="s">
        <v>186</v>
      </c>
      <c r="S44" s="587" t="s">
        <v>203</v>
      </c>
      <c r="T44" s="588"/>
      <c r="U44" s="588"/>
      <c r="V44" s="588"/>
      <c r="W44" s="589"/>
      <c r="Y44" s="56"/>
      <c r="Z44" s="432"/>
      <c r="AA44" s="587" t="s">
        <v>212</v>
      </c>
      <c r="AB44" s="588"/>
      <c r="AC44" s="588"/>
      <c r="AD44" s="588"/>
      <c r="AE44" s="589"/>
      <c r="AF44" s="56"/>
      <c r="AG44" s="56"/>
      <c r="AH44"/>
    </row>
    <row r="45" spans="2:34" ht="83.25" customHeight="1" thickBot="1" x14ac:dyDescent="0.3">
      <c r="B45" s="326" t="s">
        <v>186</v>
      </c>
      <c r="C45" s="587" t="s">
        <v>196</v>
      </c>
      <c r="D45" s="588"/>
      <c r="E45" s="588"/>
      <c r="F45" s="588"/>
      <c r="G45" s="589"/>
      <c r="J45" s="310" t="s">
        <v>187</v>
      </c>
      <c r="K45" s="591" t="s">
        <v>195</v>
      </c>
      <c r="L45" s="592"/>
      <c r="M45" s="592"/>
      <c r="N45" s="592"/>
      <c r="O45" s="593"/>
      <c r="R45" s="310" t="s">
        <v>187</v>
      </c>
      <c r="S45" s="591" t="s">
        <v>195</v>
      </c>
      <c r="T45" s="592"/>
      <c r="U45" s="592"/>
      <c r="V45" s="592"/>
      <c r="W45" s="593"/>
      <c r="Y45" s="56"/>
      <c r="Z45" s="310" t="s">
        <v>187</v>
      </c>
      <c r="AA45" s="591" t="s">
        <v>195</v>
      </c>
      <c r="AB45" s="592"/>
      <c r="AC45" s="592"/>
      <c r="AD45" s="592"/>
      <c r="AE45" s="593"/>
      <c r="AF45" s="56"/>
      <c r="AG45" s="56"/>
      <c r="AH45"/>
    </row>
    <row r="46" spans="2:34" ht="36" customHeight="1" thickBot="1" x14ac:dyDescent="0.3">
      <c r="B46" s="329" t="s">
        <v>192</v>
      </c>
      <c r="C46" s="587" t="s">
        <v>197</v>
      </c>
      <c r="D46" s="588"/>
      <c r="E46" s="588"/>
      <c r="F46" s="588"/>
      <c r="G46" s="589"/>
      <c r="J46" s="386"/>
      <c r="K46" s="594" t="s">
        <v>209</v>
      </c>
      <c r="L46" s="595"/>
      <c r="M46" s="595"/>
      <c r="N46" s="595"/>
      <c r="O46" s="596"/>
      <c r="R46" s="368"/>
      <c r="S46" s="587" t="s">
        <v>205</v>
      </c>
      <c r="T46" s="588"/>
      <c r="U46" s="588"/>
      <c r="V46" s="588"/>
      <c r="W46" s="589"/>
      <c r="Z46" s="389"/>
      <c r="AA46" s="594" t="s">
        <v>213</v>
      </c>
      <c r="AB46" s="595"/>
      <c r="AC46" s="595"/>
      <c r="AD46" s="595"/>
      <c r="AE46" s="596"/>
    </row>
    <row r="47" spans="2:34" ht="30.75" customHeight="1" thickBot="1" x14ac:dyDescent="0.3">
      <c r="J47" s="371" t="s">
        <v>192</v>
      </c>
      <c r="K47" s="587" t="s">
        <v>222</v>
      </c>
      <c r="L47" s="588"/>
      <c r="M47" s="588"/>
      <c r="N47" s="588"/>
      <c r="O47" s="589"/>
      <c r="R47" s="371" t="s">
        <v>192</v>
      </c>
      <c r="S47" s="587" t="s">
        <v>222</v>
      </c>
      <c r="T47" s="588"/>
      <c r="U47" s="588"/>
      <c r="V47" s="588"/>
      <c r="W47" s="589"/>
      <c r="Z47" s="419"/>
      <c r="AA47" s="587" t="s">
        <v>214</v>
      </c>
      <c r="AB47" s="588"/>
      <c r="AC47" s="588"/>
      <c r="AD47" s="588"/>
      <c r="AE47" s="589"/>
    </row>
    <row r="48" spans="2:34" ht="29.25" customHeight="1" thickBot="1" x14ac:dyDescent="0.3">
      <c r="J48" s="369" t="s">
        <v>202</v>
      </c>
      <c r="K48" s="632" t="s">
        <v>223</v>
      </c>
      <c r="L48" s="633"/>
      <c r="M48" s="633"/>
      <c r="N48" s="633"/>
      <c r="O48" s="634"/>
      <c r="R48" s="369" t="s">
        <v>202</v>
      </c>
      <c r="S48" s="632" t="s">
        <v>223</v>
      </c>
      <c r="T48" s="633"/>
      <c r="U48" s="633"/>
      <c r="V48" s="633"/>
      <c r="W48" s="634"/>
      <c r="Z48" s="391"/>
      <c r="AA48" s="587" t="s">
        <v>215</v>
      </c>
      <c r="AB48" s="588"/>
      <c r="AC48" s="588"/>
      <c r="AD48" s="588"/>
      <c r="AE48" s="589"/>
    </row>
    <row r="49" spans="26:31" ht="32.25" customHeight="1" thickBot="1" x14ac:dyDescent="0.3">
      <c r="Z49" s="392"/>
      <c r="AA49" s="587" t="s">
        <v>216</v>
      </c>
      <c r="AB49" s="588"/>
      <c r="AC49" s="588"/>
      <c r="AD49" s="588"/>
      <c r="AE49" s="589"/>
    </row>
    <row r="62" spans="26:31" ht="15.75" hidden="1" customHeight="1" thickBot="1" x14ac:dyDescent="0.3"/>
  </sheetData>
  <mergeCells count="85">
    <mergeCell ref="C2:G2"/>
    <mergeCell ref="AA2:AE2"/>
    <mergeCell ref="S21:W21"/>
    <mergeCell ref="S32:W32"/>
    <mergeCell ref="AA21:AE21"/>
    <mergeCell ref="AA32:AE32"/>
    <mergeCell ref="R30:R31"/>
    <mergeCell ref="R32:R34"/>
    <mergeCell ref="C32:G32"/>
    <mergeCell ref="K32:O32"/>
    <mergeCell ref="C5:D6"/>
    <mergeCell ref="C17:G17"/>
    <mergeCell ref="D3:G3"/>
    <mergeCell ref="D4:G4"/>
    <mergeCell ref="L3:O3"/>
    <mergeCell ref="L4:O4"/>
    <mergeCell ref="K5:L6"/>
    <mergeCell ref="K17:O17"/>
    <mergeCell ref="K21:O21"/>
    <mergeCell ref="AA35:AE35"/>
    <mergeCell ref="K2:O2"/>
    <mergeCell ref="S2:W2"/>
    <mergeCell ref="AB3:AE3"/>
    <mergeCell ref="AB4:AE4"/>
    <mergeCell ref="AA5:AB6"/>
    <mergeCell ref="AA17:AE17"/>
    <mergeCell ref="K35:O35"/>
    <mergeCell ref="T3:W3"/>
    <mergeCell ref="T4:W4"/>
    <mergeCell ref="S5:T6"/>
    <mergeCell ref="S17:W17"/>
    <mergeCell ref="S35:W35"/>
    <mergeCell ref="R3:R16"/>
    <mergeCell ref="R17:R19"/>
    <mergeCell ref="R21:R29"/>
    <mergeCell ref="B35:B39"/>
    <mergeCell ref="B40:B41"/>
    <mergeCell ref="J3:J16"/>
    <mergeCell ref="J17:J19"/>
    <mergeCell ref="J21:J29"/>
    <mergeCell ref="J30:J31"/>
    <mergeCell ref="J32:J34"/>
    <mergeCell ref="J35:J39"/>
    <mergeCell ref="J40:J41"/>
    <mergeCell ref="B3:B16"/>
    <mergeCell ref="B17:B19"/>
    <mergeCell ref="B21:B29"/>
    <mergeCell ref="B30:B31"/>
    <mergeCell ref="B32:B34"/>
    <mergeCell ref="C35:G35"/>
    <mergeCell ref="C21:G21"/>
    <mergeCell ref="R35:R39"/>
    <mergeCell ref="R40:R41"/>
    <mergeCell ref="Z3:Z16"/>
    <mergeCell ref="Z17:Z19"/>
    <mergeCell ref="Z21:Z29"/>
    <mergeCell ref="Z30:Z31"/>
    <mergeCell ref="Z32:Z34"/>
    <mergeCell ref="Z35:Z39"/>
    <mergeCell ref="Z40:Z41"/>
    <mergeCell ref="B42:G42"/>
    <mergeCell ref="B43:G43"/>
    <mergeCell ref="C44:G44"/>
    <mergeCell ref="C45:G45"/>
    <mergeCell ref="C46:G46"/>
    <mergeCell ref="R42:W42"/>
    <mergeCell ref="R43:W43"/>
    <mergeCell ref="S44:W44"/>
    <mergeCell ref="S45:W45"/>
    <mergeCell ref="S46:W46"/>
    <mergeCell ref="S47:W47"/>
    <mergeCell ref="S48:W48"/>
    <mergeCell ref="J43:O43"/>
    <mergeCell ref="K44:O44"/>
    <mergeCell ref="K45:O45"/>
    <mergeCell ref="K46:O46"/>
    <mergeCell ref="K47:O47"/>
    <mergeCell ref="K48:O48"/>
    <mergeCell ref="AA48:AE48"/>
    <mergeCell ref="AA49:AE49"/>
    <mergeCell ref="Z43:AE43"/>
    <mergeCell ref="AA44:AE44"/>
    <mergeCell ref="AA45:AE45"/>
    <mergeCell ref="AA46:AE46"/>
    <mergeCell ref="AA47:AE47"/>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I62"/>
  <sheetViews>
    <sheetView topLeftCell="V16" zoomScale="79" zoomScaleNormal="79" zoomScalePageLayoutView="75" workbookViewId="0">
      <selection activeCell="AI44" sqref="AI44"/>
    </sheetView>
  </sheetViews>
  <sheetFormatPr baseColWidth="10" defaultRowHeight="15" x14ac:dyDescent="0.25"/>
  <cols>
    <col min="1" max="1" width="11" customWidth="1"/>
    <col min="2" max="2" width="4.75" customWidth="1"/>
    <col min="3" max="3" width="42.375" customWidth="1"/>
    <col min="4" max="4" width="21.75" customWidth="1"/>
    <col min="5" max="6" width="19.625" customWidth="1"/>
    <col min="7" max="7" width="21" customWidth="1"/>
    <col min="8" max="9" width="16.5" customWidth="1"/>
    <col min="10" max="10" width="5.125" customWidth="1"/>
    <col min="11" max="11" width="44.25" customWidth="1"/>
    <col min="12" max="12" width="15.75" customWidth="1"/>
    <col min="13" max="13" width="20.375" customWidth="1"/>
    <col min="14" max="14" width="19.125" customWidth="1"/>
    <col min="15" max="15" width="22.125" customWidth="1"/>
    <col min="16" max="17" width="16.625" customWidth="1"/>
    <col min="18" max="18" width="4.875" customWidth="1"/>
    <col min="19" max="19" width="40.125" customWidth="1"/>
    <col min="20" max="20" width="16.75" customWidth="1"/>
    <col min="21" max="21" width="18.875" customWidth="1"/>
    <col min="22" max="22" width="18.625" customWidth="1"/>
    <col min="23" max="23" width="22" customWidth="1"/>
    <col min="24" max="25" width="15.375" customWidth="1"/>
    <col min="26" max="26" width="4.875" customWidth="1"/>
    <col min="27" max="27" width="45.625" customWidth="1"/>
    <col min="28" max="28" width="16.375" customWidth="1"/>
    <col min="29" max="29" width="24" customWidth="1"/>
    <col min="30" max="30" width="22.25" customWidth="1"/>
    <col min="31" max="31" width="21.25" customWidth="1"/>
    <col min="32" max="32" width="29.125" customWidth="1"/>
    <col min="34" max="34" width="18.5" customWidth="1"/>
    <col min="35" max="35" width="27.875" customWidth="1"/>
  </cols>
  <sheetData>
    <row r="1" spans="2:32" ht="15.75" thickBot="1" x14ac:dyDescent="0.3"/>
    <row r="2" spans="2:32" ht="37.15" customHeight="1" thickBot="1" x14ac:dyDescent="0.35">
      <c r="B2" s="274"/>
      <c r="C2" s="639" t="s">
        <v>226</v>
      </c>
      <c r="D2" s="640"/>
      <c r="E2" s="640"/>
      <c r="F2" s="640"/>
      <c r="G2" s="641"/>
      <c r="H2" s="272"/>
      <c r="I2" s="272"/>
      <c r="J2" s="274"/>
      <c r="K2" s="665" t="s">
        <v>243</v>
      </c>
      <c r="L2" s="663"/>
      <c r="M2" s="663"/>
      <c r="N2" s="663"/>
      <c r="O2" s="664"/>
      <c r="P2" s="272"/>
      <c r="Q2" s="272"/>
      <c r="R2" s="274"/>
      <c r="S2" s="666" t="s">
        <v>241</v>
      </c>
      <c r="T2" s="663"/>
      <c r="U2" s="663"/>
      <c r="V2" s="663"/>
      <c r="W2" s="664"/>
      <c r="X2" s="272"/>
      <c r="Y2" s="272"/>
      <c r="Z2" s="274"/>
      <c r="AA2" s="666" t="s">
        <v>245</v>
      </c>
      <c r="AB2" s="663"/>
      <c r="AC2" s="663"/>
      <c r="AD2" s="663"/>
      <c r="AE2" s="664"/>
      <c r="AF2" s="241"/>
    </row>
    <row r="3" spans="2:32" ht="15" customHeight="1" x14ac:dyDescent="0.25">
      <c r="B3" s="597" t="s">
        <v>167</v>
      </c>
      <c r="C3" s="52" t="s">
        <v>0</v>
      </c>
      <c r="D3" s="656" t="s">
        <v>46</v>
      </c>
      <c r="E3" s="657"/>
      <c r="F3" s="657"/>
      <c r="G3" s="658"/>
      <c r="H3" s="203"/>
      <c r="I3" s="203"/>
      <c r="J3" s="597" t="s">
        <v>167</v>
      </c>
      <c r="K3" s="52" t="s">
        <v>0</v>
      </c>
      <c r="L3" s="656" t="s">
        <v>46</v>
      </c>
      <c r="M3" s="657"/>
      <c r="N3" s="657"/>
      <c r="O3" s="658"/>
      <c r="P3" s="203"/>
      <c r="Q3" s="203"/>
      <c r="R3" s="597" t="s">
        <v>167</v>
      </c>
      <c r="S3" s="52" t="s">
        <v>0</v>
      </c>
      <c r="T3" s="656" t="s">
        <v>46</v>
      </c>
      <c r="U3" s="657"/>
      <c r="V3" s="657"/>
      <c r="W3" s="658"/>
      <c r="X3" s="203"/>
      <c r="Y3" s="203"/>
      <c r="Z3" s="597" t="s">
        <v>167</v>
      </c>
      <c r="AA3" s="52" t="s">
        <v>0</v>
      </c>
      <c r="AB3" s="656" t="s">
        <v>46</v>
      </c>
      <c r="AC3" s="657"/>
      <c r="AD3" s="657"/>
      <c r="AE3" s="658"/>
      <c r="AF3" s="203"/>
    </row>
    <row r="4" spans="2:32" ht="15.75" customHeight="1" thickBot="1" x14ac:dyDescent="0.3">
      <c r="B4" s="599"/>
      <c r="C4" s="53" t="s">
        <v>1</v>
      </c>
      <c r="D4" s="650" t="s">
        <v>2</v>
      </c>
      <c r="E4" s="651"/>
      <c r="F4" s="651"/>
      <c r="G4" s="652"/>
      <c r="H4" s="203"/>
      <c r="I4" s="203"/>
      <c r="J4" s="599"/>
      <c r="K4" s="53" t="s">
        <v>1</v>
      </c>
      <c r="L4" s="650" t="s">
        <v>2</v>
      </c>
      <c r="M4" s="651"/>
      <c r="N4" s="651"/>
      <c r="O4" s="652"/>
      <c r="P4" s="203"/>
      <c r="Q4" s="203"/>
      <c r="R4" s="599"/>
      <c r="S4" s="53" t="s">
        <v>1</v>
      </c>
      <c r="T4" s="650" t="s">
        <v>2</v>
      </c>
      <c r="U4" s="651"/>
      <c r="V4" s="651"/>
      <c r="W4" s="652"/>
      <c r="X4" s="203"/>
      <c r="Y4" s="203"/>
      <c r="Z4" s="599"/>
      <c r="AA4" s="53" t="s">
        <v>1</v>
      </c>
      <c r="AB4" s="650" t="s">
        <v>2</v>
      </c>
      <c r="AC4" s="651"/>
      <c r="AD4" s="651"/>
      <c r="AE4" s="652"/>
      <c r="AF4" s="203"/>
    </row>
    <row r="5" spans="2:32" ht="15.75" customHeight="1" x14ac:dyDescent="0.25">
      <c r="B5" s="599"/>
      <c r="C5" s="653" t="s">
        <v>6</v>
      </c>
      <c r="D5" s="654"/>
      <c r="E5" s="50" t="s">
        <v>3</v>
      </c>
      <c r="F5" s="51" t="s">
        <v>4</v>
      </c>
      <c r="G5" s="50" t="s">
        <v>5</v>
      </c>
      <c r="H5" s="203"/>
      <c r="I5" s="203"/>
      <c r="J5" s="599"/>
      <c r="K5" s="653" t="s">
        <v>6</v>
      </c>
      <c r="L5" s="654"/>
      <c r="M5" s="50" t="s">
        <v>3</v>
      </c>
      <c r="N5" s="51" t="s">
        <v>4</v>
      </c>
      <c r="O5" s="50" t="s">
        <v>5</v>
      </c>
      <c r="P5" s="203"/>
      <c r="Q5" s="203"/>
      <c r="R5" s="599"/>
      <c r="S5" s="653" t="s">
        <v>6</v>
      </c>
      <c r="T5" s="654"/>
      <c r="U5" s="50" t="s">
        <v>3</v>
      </c>
      <c r="V5" s="51" t="s">
        <v>4</v>
      </c>
      <c r="W5" s="50" t="s">
        <v>5</v>
      </c>
      <c r="X5" s="203"/>
      <c r="Y5" s="203"/>
      <c r="Z5" s="599"/>
      <c r="AA5" s="653" t="s">
        <v>6</v>
      </c>
      <c r="AB5" s="654"/>
      <c r="AC5" s="50" t="s">
        <v>3</v>
      </c>
      <c r="AD5" s="51" t="s">
        <v>4</v>
      </c>
      <c r="AE5" s="50" t="s">
        <v>5</v>
      </c>
      <c r="AF5" s="203"/>
    </row>
    <row r="6" spans="2:32" ht="16.5" customHeight="1" thickBot="1" x14ac:dyDescent="0.3">
      <c r="B6" s="599"/>
      <c r="C6" s="625"/>
      <c r="D6" s="655"/>
      <c r="E6" s="19" t="s">
        <v>47</v>
      </c>
      <c r="F6" s="40" t="s">
        <v>23</v>
      </c>
      <c r="G6" s="19" t="s">
        <v>48</v>
      </c>
      <c r="H6" s="203"/>
      <c r="I6" s="203"/>
      <c r="J6" s="599"/>
      <c r="K6" s="625"/>
      <c r="L6" s="655"/>
      <c r="M6" s="19" t="s">
        <v>47</v>
      </c>
      <c r="N6" s="40" t="s">
        <v>23</v>
      </c>
      <c r="O6" s="19" t="s">
        <v>48</v>
      </c>
      <c r="P6" s="203"/>
      <c r="Q6" s="203"/>
      <c r="R6" s="599"/>
      <c r="S6" s="625"/>
      <c r="T6" s="655"/>
      <c r="U6" s="19" t="s">
        <v>47</v>
      </c>
      <c r="V6" s="40" t="s">
        <v>23</v>
      </c>
      <c r="W6" s="19" t="s">
        <v>48</v>
      </c>
      <c r="X6" s="203"/>
      <c r="Y6" s="203"/>
      <c r="Z6" s="599"/>
      <c r="AA6" s="625"/>
      <c r="AB6" s="655"/>
      <c r="AC6" s="19" t="s">
        <v>47</v>
      </c>
      <c r="AD6" s="40" t="s">
        <v>23</v>
      </c>
      <c r="AE6" s="19" t="s">
        <v>48</v>
      </c>
      <c r="AF6" s="203"/>
    </row>
    <row r="7" spans="2:32" ht="15" customHeight="1" x14ac:dyDescent="0.25">
      <c r="B7" s="599"/>
      <c r="C7" s="6" t="s">
        <v>29</v>
      </c>
      <c r="D7" s="16"/>
      <c r="E7" s="20">
        <v>2000</v>
      </c>
      <c r="F7" s="20">
        <v>2000</v>
      </c>
      <c r="G7" s="20">
        <v>2000</v>
      </c>
      <c r="H7" s="203"/>
      <c r="I7" s="203"/>
      <c r="J7" s="599"/>
      <c r="K7" s="6" t="s">
        <v>29</v>
      </c>
      <c r="L7" s="16"/>
      <c r="M7" s="20">
        <v>2000</v>
      </c>
      <c r="N7" s="20">
        <v>2000</v>
      </c>
      <c r="O7" s="20">
        <v>2000</v>
      </c>
      <c r="P7" s="203"/>
      <c r="Q7" s="203"/>
      <c r="R7" s="599"/>
      <c r="S7" s="6" t="s">
        <v>29</v>
      </c>
      <c r="T7" s="16"/>
      <c r="U7" s="20">
        <v>2000</v>
      </c>
      <c r="V7" s="20">
        <v>2000</v>
      </c>
      <c r="W7" s="20">
        <v>2000</v>
      </c>
      <c r="X7" s="203"/>
      <c r="Y7" s="203"/>
      <c r="Z7" s="599"/>
      <c r="AA7" s="6" t="s">
        <v>29</v>
      </c>
      <c r="AB7" s="16"/>
      <c r="AC7" s="300">
        <v>2000</v>
      </c>
      <c r="AD7" s="20">
        <v>2000</v>
      </c>
      <c r="AE7" s="20">
        <v>2000</v>
      </c>
      <c r="AF7" s="203"/>
    </row>
    <row r="8" spans="2:32" ht="15" customHeight="1" thickBot="1" x14ac:dyDescent="0.3">
      <c r="B8" s="599"/>
      <c r="C8" s="7" t="s">
        <v>40</v>
      </c>
      <c r="D8" s="294"/>
      <c r="E8" s="295">
        <v>4</v>
      </c>
      <c r="F8" s="345">
        <v>6</v>
      </c>
      <c r="G8" s="295">
        <v>5</v>
      </c>
      <c r="H8" s="203"/>
      <c r="I8" s="203"/>
      <c r="J8" s="599"/>
      <c r="K8" s="7" t="s">
        <v>40</v>
      </c>
      <c r="L8" s="294"/>
      <c r="M8" s="295">
        <v>4</v>
      </c>
      <c r="N8" s="345">
        <v>6</v>
      </c>
      <c r="O8" s="295">
        <v>5</v>
      </c>
      <c r="P8" s="203"/>
      <c r="Q8" s="203"/>
      <c r="R8" s="599"/>
      <c r="S8" s="7" t="s">
        <v>40</v>
      </c>
      <c r="T8" s="294"/>
      <c r="U8" s="295">
        <v>4</v>
      </c>
      <c r="V8" s="345">
        <v>6</v>
      </c>
      <c r="W8" s="295">
        <v>5</v>
      </c>
      <c r="X8" s="203"/>
      <c r="Y8" s="203"/>
      <c r="Z8" s="599"/>
      <c r="AA8" s="7" t="s">
        <v>40</v>
      </c>
      <c r="AB8" s="294"/>
      <c r="AC8" s="302">
        <v>4</v>
      </c>
      <c r="AD8" s="295">
        <v>6</v>
      </c>
      <c r="AE8" s="295">
        <v>5</v>
      </c>
      <c r="AF8" s="203"/>
    </row>
    <row r="9" spans="2:32" ht="15" customHeight="1" x14ac:dyDescent="0.25">
      <c r="B9" s="599"/>
      <c r="C9" s="467" t="s">
        <v>181</v>
      </c>
      <c r="D9" s="471"/>
      <c r="E9" s="114">
        <f>F7*0.5*8</f>
        <v>8000</v>
      </c>
      <c r="F9" s="114">
        <f>G7*0.5*12</f>
        <v>12000</v>
      </c>
      <c r="G9" s="114">
        <f>G7*0.5*10</f>
        <v>10000</v>
      </c>
      <c r="H9" s="203"/>
      <c r="I9" s="203"/>
      <c r="J9" s="599"/>
      <c r="K9" s="481" t="s">
        <v>181</v>
      </c>
      <c r="L9" s="495"/>
      <c r="M9" s="101">
        <f>N7*0.5*8</f>
        <v>8000</v>
      </c>
      <c r="N9" s="101">
        <f>O7*0.5*12</f>
        <v>12000</v>
      </c>
      <c r="O9" s="101">
        <f>O7*0.5*10</f>
        <v>10000</v>
      </c>
      <c r="P9" s="203"/>
      <c r="Q9" s="203"/>
      <c r="R9" s="599"/>
      <c r="S9" s="481" t="s">
        <v>181</v>
      </c>
      <c r="T9" s="495"/>
      <c r="U9" s="506">
        <f>V7*0.5*8</f>
        <v>8000</v>
      </c>
      <c r="V9" s="514">
        <f>W7*0.5*12</f>
        <v>12000</v>
      </c>
      <c r="W9" s="515">
        <f>W7*0.5*10</f>
        <v>10000</v>
      </c>
      <c r="X9" s="203"/>
      <c r="Y9" s="203"/>
      <c r="Z9" s="599"/>
      <c r="AA9" s="481" t="s">
        <v>181</v>
      </c>
      <c r="AB9" s="495"/>
      <c r="AC9" s="524">
        <f>AD7*0.5*8</f>
        <v>8000</v>
      </c>
      <c r="AD9" s="171">
        <f>AE7*0.5*12</f>
        <v>12000</v>
      </c>
      <c r="AE9" s="171">
        <f>AE7*0.5*10</f>
        <v>10000</v>
      </c>
      <c r="AF9" s="203"/>
    </row>
    <row r="10" spans="2:32" ht="15" customHeight="1" thickBot="1" x14ac:dyDescent="0.3">
      <c r="B10" s="599"/>
      <c r="C10" s="468" t="s">
        <v>30</v>
      </c>
      <c r="D10" s="472"/>
      <c r="E10" s="308">
        <f>94%*E8*E7</f>
        <v>7520</v>
      </c>
      <c r="F10" s="505">
        <f>94%*F8*F7</f>
        <v>11280</v>
      </c>
      <c r="G10" s="505">
        <f>94%*G8*G7</f>
        <v>9399.9999999999982</v>
      </c>
      <c r="H10" s="204"/>
      <c r="I10" s="204"/>
      <c r="J10" s="599"/>
      <c r="K10" s="482" t="s">
        <v>30</v>
      </c>
      <c r="L10" s="496"/>
      <c r="M10" s="459">
        <f>94%*M8*M7</f>
        <v>7520</v>
      </c>
      <c r="N10" s="459">
        <f>94%*N8*N7</f>
        <v>11280</v>
      </c>
      <c r="O10" s="459">
        <f>94%*O8*O7</f>
        <v>9399.9999999999982</v>
      </c>
      <c r="P10" s="204"/>
      <c r="Q10" s="204"/>
      <c r="R10" s="599"/>
      <c r="S10" s="482" t="s">
        <v>30</v>
      </c>
      <c r="T10" s="496"/>
      <c r="U10" s="458">
        <f>94%*U8*U7</f>
        <v>7520</v>
      </c>
      <c r="V10" s="516">
        <f>100%*V8*V7</f>
        <v>12000</v>
      </c>
      <c r="W10" s="517">
        <f>94%*W8*W7</f>
        <v>9399.9999999999982</v>
      </c>
      <c r="X10" s="204"/>
      <c r="Y10" s="204"/>
      <c r="Z10" s="599"/>
      <c r="AA10" s="482" t="s">
        <v>30</v>
      </c>
      <c r="AB10" s="496"/>
      <c r="AC10" s="458">
        <f>94%*AC8*AC7</f>
        <v>7520</v>
      </c>
      <c r="AD10" s="459">
        <f>94%*AD8*AD7</f>
        <v>11280</v>
      </c>
      <c r="AE10" s="459">
        <f>94%*AE8*AE7</f>
        <v>9399.9999999999982</v>
      </c>
      <c r="AF10" s="204"/>
    </row>
    <row r="11" spans="2:32" ht="15" customHeight="1" thickBot="1" x14ac:dyDescent="0.3">
      <c r="B11" s="599"/>
      <c r="C11" s="7" t="s">
        <v>31</v>
      </c>
      <c r="D11" s="297"/>
      <c r="E11" s="303">
        <f>E10*E12</f>
        <v>13536</v>
      </c>
      <c r="F11" s="20">
        <f>F10*F12</f>
        <v>20980.800000000003</v>
      </c>
      <c r="G11" s="20">
        <f>G10*G12</f>
        <v>17859.999999999996</v>
      </c>
      <c r="H11" s="203"/>
      <c r="I11" s="203"/>
      <c r="J11" s="599"/>
      <c r="K11" s="7" t="s">
        <v>31</v>
      </c>
      <c r="L11" s="297"/>
      <c r="M11" s="298">
        <f>M10*M12</f>
        <v>13536</v>
      </c>
      <c r="N11" s="298">
        <f>N10*N12</f>
        <v>20980.800000000003</v>
      </c>
      <c r="O11" s="298">
        <f>O10*O12</f>
        <v>17859.999999999996</v>
      </c>
      <c r="P11" s="203"/>
      <c r="Q11" s="203"/>
      <c r="R11" s="599"/>
      <c r="S11" s="296" t="s">
        <v>31</v>
      </c>
      <c r="T11" s="297"/>
      <c r="U11" s="511">
        <f>U10*U12</f>
        <v>13536</v>
      </c>
      <c r="V11" s="512">
        <f>V10*V12</f>
        <v>20400</v>
      </c>
      <c r="W11" s="513">
        <f>W10*W12</f>
        <v>16919.999999999996</v>
      </c>
      <c r="X11" s="203"/>
      <c r="Y11" s="203"/>
      <c r="Z11" s="599"/>
      <c r="AA11" s="7" t="s">
        <v>31</v>
      </c>
      <c r="AB11" s="297"/>
      <c r="AC11" s="511">
        <f>AC10*AC12</f>
        <v>13536</v>
      </c>
      <c r="AD11" s="469">
        <f>AD10*AD12</f>
        <v>20980.800000000003</v>
      </c>
      <c r="AE11" s="523">
        <f>AE10*AE12</f>
        <v>16919.999999999996</v>
      </c>
      <c r="AF11" s="203"/>
    </row>
    <row r="12" spans="2:32" ht="15.75" customHeight="1" thickBot="1" x14ac:dyDescent="0.3">
      <c r="B12" s="599"/>
      <c r="C12" s="332" t="s">
        <v>191</v>
      </c>
      <c r="D12" s="17"/>
      <c r="E12" s="291">
        <v>1.8</v>
      </c>
      <c r="F12" s="23">
        <v>1.86</v>
      </c>
      <c r="G12" s="23">
        <v>1.9</v>
      </c>
      <c r="H12" s="203"/>
      <c r="I12" s="203"/>
      <c r="J12" s="599"/>
      <c r="K12" s="332" t="s">
        <v>191</v>
      </c>
      <c r="L12" s="106"/>
      <c r="M12" s="23">
        <v>1.8</v>
      </c>
      <c r="N12" s="43">
        <v>1.86</v>
      </c>
      <c r="O12" s="23">
        <v>1.9</v>
      </c>
      <c r="P12" s="203"/>
      <c r="Q12" s="203"/>
      <c r="R12" s="599"/>
      <c r="S12" s="332" t="s">
        <v>191</v>
      </c>
      <c r="T12" s="106"/>
      <c r="U12" s="502">
        <v>1.8</v>
      </c>
      <c r="V12" s="508">
        <v>1.7</v>
      </c>
      <c r="W12" s="509">
        <v>1.8</v>
      </c>
      <c r="X12" s="203"/>
      <c r="Y12" s="203"/>
      <c r="Z12" s="599"/>
      <c r="AA12" s="332" t="s">
        <v>191</v>
      </c>
      <c r="AB12" s="109"/>
      <c r="AC12" s="502">
        <v>1.8</v>
      </c>
      <c r="AD12" s="87">
        <v>1.86</v>
      </c>
      <c r="AE12" s="76">
        <v>1.8</v>
      </c>
      <c r="AF12" s="199"/>
    </row>
    <row r="13" spans="2:32" ht="15.75" customHeight="1" thickBot="1" x14ac:dyDescent="0.3">
      <c r="B13" s="599"/>
      <c r="C13" s="296" t="s">
        <v>185</v>
      </c>
      <c r="D13" s="438"/>
      <c r="E13" s="291"/>
      <c r="F13" s="456">
        <f>+F10-E10</f>
        <v>3760</v>
      </c>
      <c r="G13" s="456">
        <f>+G10-E10</f>
        <v>1879.9999999999982</v>
      </c>
      <c r="H13" s="203"/>
      <c r="I13" s="203"/>
      <c r="J13" s="599"/>
      <c r="K13" s="296" t="s">
        <v>185</v>
      </c>
      <c r="L13" s="438"/>
      <c r="M13" s="23"/>
      <c r="N13" s="340">
        <f>+N10-M10</f>
        <v>3760</v>
      </c>
      <c r="O13" s="340">
        <f>+O10-M10</f>
        <v>1879.9999999999982</v>
      </c>
      <c r="P13" s="203"/>
      <c r="Q13" s="203"/>
      <c r="R13" s="599"/>
      <c r="S13" s="296" t="s">
        <v>185</v>
      </c>
      <c r="T13" s="438"/>
      <c r="U13" s="502"/>
      <c r="V13" s="510">
        <f>+V10-U10</f>
        <v>4480</v>
      </c>
      <c r="W13" s="518">
        <f>+W10-U10</f>
        <v>1879.9999999999982</v>
      </c>
      <c r="X13" s="203"/>
      <c r="Y13" s="203"/>
      <c r="Z13" s="599"/>
      <c r="AA13" s="296" t="s">
        <v>185</v>
      </c>
      <c r="AB13" s="438"/>
      <c r="AC13" s="502"/>
      <c r="AD13" s="521">
        <f>+AD10-AC10</f>
        <v>3760</v>
      </c>
      <c r="AE13" s="521">
        <f>+AE10-AC10</f>
        <v>1879.9999999999982</v>
      </c>
      <c r="AF13" s="199"/>
    </row>
    <row r="14" spans="2:32" ht="15" customHeight="1" thickBot="1" x14ac:dyDescent="0.3">
      <c r="B14" s="599"/>
      <c r="C14" s="7" t="s">
        <v>7</v>
      </c>
      <c r="D14" s="88">
        <v>375</v>
      </c>
      <c r="E14" s="112">
        <f>D14*E7</f>
        <v>750000</v>
      </c>
      <c r="F14" s="89">
        <f>E14</f>
        <v>750000</v>
      </c>
      <c r="G14" s="89">
        <f>F14</f>
        <v>750000</v>
      </c>
      <c r="H14" s="136"/>
      <c r="I14" s="503"/>
      <c r="J14" s="599"/>
      <c r="K14" s="104" t="s">
        <v>7</v>
      </c>
      <c r="L14" s="479">
        <v>375</v>
      </c>
      <c r="M14" s="480">
        <f>L14*M7</f>
        <v>750000</v>
      </c>
      <c r="N14" s="480">
        <f>M14</f>
        <v>750000</v>
      </c>
      <c r="O14" s="480">
        <f>N14</f>
        <v>750000</v>
      </c>
      <c r="P14" s="132"/>
      <c r="Q14" s="503"/>
      <c r="R14" s="599"/>
      <c r="S14" s="7" t="s">
        <v>7</v>
      </c>
      <c r="T14" s="479">
        <v>375</v>
      </c>
      <c r="U14" s="480">
        <f>T14*U7</f>
        <v>750000</v>
      </c>
      <c r="V14" s="480">
        <f>U14</f>
        <v>750000</v>
      </c>
      <c r="W14" s="480">
        <f>V14</f>
        <v>750000</v>
      </c>
      <c r="X14" s="507"/>
      <c r="Y14" s="276"/>
      <c r="Z14" s="599"/>
      <c r="AA14" s="7" t="s">
        <v>7</v>
      </c>
      <c r="AB14" s="57">
        <v>375</v>
      </c>
      <c r="AC14" s="113">
        <f>AB14*AC7</f>
        <v>750000</v>
      </c>
      <c r="AD14" s="58">
        <f>AC14</f>
        <v>750000</v>
      </c>
      <c r="AE14" s="58">
        <f>AD14</f>
        <v>750000</v>
      </c>
      <c r="AF14" s="520"/>
    </row>
    <row r="15" spans="2:32" ht="16.5" customHeight="1" thickBot="1" x14ac:dyDescent="0.3">
      <c r="B15" s="599"/>
      <c r="C15" s="247" t="s">
        <v>153</v>
      </c>
      <c r="D15" s="256" t="s">
        <v>149</v>
      </c>
      <c r="E15" s="492"/>
      <c r="F15" s="119">
        <f>((F7*240*(F10-E9)/E9))</f>
        <v>196800</v>
      </c>
      <c r="G15" s="119">
        <f>((G7*240*(G10-E9)/E9))</f>
        <v>83999.999999999898</v>
      </c>
      <c r="I15" s="239"/>
      <c r="J15" s="599"/>
      <c r="K15" s="247" t="s">
        <v>153</v>
      </c>
      <c r="L15" s="386" t="s">
        <v>157</v>
      </c>
      <c r="M15" s="24"/>
      <c r="N15" s="499">
        <f>((N7*240*(N10-M9)/M9))*0.5</f>
        <v>98400</v>
      </c>
      <c r="O15" s="499">
        <f>((O7*240*(O10-M9)/M9))*0.5</f>
        <v>41999.999999999949</v>
      </c>
      <c r="Q15" s="239"/>
      <c r="R15" s="599"/>
      <c r="S15" s="247" t="s">
        <v>153</v>
      </c>
      <c r="T15" s="256" t="s">
        <v>149</v>
      </c>
      <c r="U15" s="492"/>
      <c r="V15" s="454">
        <f>((V7*240*(V10-U9)/U9))</f>
        <v>240000</v>
      </c>
      <c r="W15" s="454">
        <f>((W7*240*(W10-U9)/U9))</f>
        <v>83999.999999999898</v>
      </c>
      <c r="Y15" s="504"/>
      <c r="Z15" s="599"/>
      <c r="AA15" s="247" t="s">
        <v>153</v>
      </c>
      <c r="AB15" s="519" t="s">
        <v>150</v>
      </c>
      <c r="AC15" s="492"/>
      <c r="AD15" s="522">
        <f>((AD7*240*(AD10-AC9)/AC9))*0</f>
        <v>0</v>
      </c>
      <c r="AE15" s="522">
        <f>+AD15*10/12</f>
        <v>0</v>
      </c>
      <c r="AF15" s="199"/>
    </row>
    <row r="16" spans="2:32" ht="15.75" customHeight="1" thickBot="1" x14ac:dyDescent="0.3">
      <c r="B16" s="598"/>
      <c r="C16" s="105" t="s">
        <v>33</v>
      </c>
      <c r="D16" s="18"/>
      <c r="E16" s="83">
        <f>(E14+E15)/E10</f>
        <v>99.734042553191486</v>
      </c>
      <c r="F16" s="54">
        <f>(F14+F15)/F10</f>
        <v>83.936170212765958</v>
      </c>
      <c r="G16" s="54">
        <f>(G14+G15)/G10</f>
        <v>88.723404255319153</v>
      </c>
      <c r="I16" s="139"/>
      <c r="J16" s="598"/>
      <c r="K16" s="105" t="s">
        <v>33</v>
      </c>
      <c r="L16" s="107"/>
      <c r="M16" s="54">
        <f>(M14+M15)/M10</f>
        <v>99.734042553191486</v>
      </c>
      <c r="N16" s="55">
        <f>(N14+N15)/N10</f>
        <v>75.212765957446805</v>
      </c>
      <c r="O16" s="83">
        <f>(O14+O15)/O10</f>
        <v>84.255319148936181</v>
      </c>
      <c r="Q16" s="139"/>
      <c r="R16" s="598"/>
      <c r="S16" s="105" t="s">
        <v>33</v>
      </c>
      <c r="T16" s="107"/>
      <c r="U16" s="83">
        <f>(U14+U15)/U10</f>
        <v>99.734042553191486</v>
      </c>
      <c r="V16" s="455">
        <f>(V14+V15)/V10</f>
        <v>82.5</v>
      </c>
      <c r="W16" s="455">
        <f>(W14+W15)/W10</f>
        <v>88.723404255319153</v>
      </c>
      <c r="Y16" s="281"/>
      <c r="Z16" s="598"/>
      <c r="AA16" s="105" t="s">
        <v>33</v>
      </c>
      <c r="AB16" s="110"/>
      <c r="AC16" s="83">
        <f>(AC14+AC15)/AC10</f>
        <v>99.734042553191486</v>
      </c>
      <c r="AD16" s="54">
        <f>(AD14+AD15)/AD10</f>
        <v>66.489361702127653</v>
      </c>
      <c r="AE16" s="54">
        <f>(AE14+AE15)/AE10</f>
        <v>79.787234042553209</v>
      </c>
      <c r="AF16" s="199"/>
    </row>
    <row r="17" spans="2:35" ht="15.75" customHeight="1" thickBot="1" x14ac:dyDescent="0.3">
      <c r="B17" s="601" t="s">
        <v>168</v>
      </c>
      <c r="C17" s="646" t="s">
        <v>8</v>
      </c>
      <c r="D17" s="637"/>
      <c r="E17" s="637"/>
      <c r="F17" s="605"/>
      <c r="G17" s="605"/>
      <c r="H17" s="133"/>
      <c r="I17" s="131"/>
      <c r="J17" s="601" t="s">
        <v>168</v>
      </c>
      <c r="K17" s="646" t="s">
        <v>8</v>
      </c>
      <c r="L17" s="637"/>
      <c r="M17" s="637"/>
      <c r="N17" s="637"/>
      <c r="O17" s="637"/>
      <c r="P17" s="133"/>
      <c r="Q17" s="131"/>
      <c r="R17" s="601" t="s">
        <v>168</v>
      </c>
      <c r="S17" s="646" t="s">
        <v>8</v>
      </c>
      <c r="T17" s="637"/>
      <c r="U17" s="637"/>
      <c r="V17" s="605"/>
      <c r="W17" s="605"/>
      <c r="X17" s="135"/>
      <c r="Y17" s="279"/>
      <c r="Z17" s="601" t="s">
        <v>168</v>
      </c>
      <c r="AA17" s="646" t="s">
        <v>8</v>
      </c>
      <c r="AB17" s="637"/>
      <c r="AC17" s="637"/>
      <c r="AD17" s="637"/>
      <c r="AE17" s="637"/>
      <c r="AF17" s="520"/>
    </row>
    <row r="18" spans="2:35" ht="15.75" customHeight="1" thickBot="1" x14ac:dyDescent="0.3">
      <c r="B18" s="602"/>
      <c r="C18" s="7" t="s">
        <v>9</v>
      </c>
      <c r="D18" s="25"/>
      <c r="E18" s="27">
        <v>370</v>
      </c>
      <c r="F18" s="460">
        <f>+E18*1.1</f>
        <v>407.00000000000006</v>
      </c>
      <c r="G18" s="27">
        <v>380</v>
      </c>
      <c r="H18" s="203"/>
      <c r="I18" s="203"/>
      <c r="J18" s="602"/>
      <c r="K18" s="7" t="s">
        <v>9</v>
      </c>
      <c r="L18" s="25"/>
      <c r="M18" s="27">
        <v>370</v>
      </c>
      <c r="N18" s="460">
        <f>+M18*1.1</f>
        <v>407.00000000000006</v>
      </c>
      <c r="O18" s="27">
        <v>380</v>
      </c>
      <c r="P18" s="203"/>
      <c r="Q18" s="203"/>
      <c r="R18" s="602"/>
      <c r="S18" s="7" t="s">
        <v>9</v>
      </c>
      <c r="T18" s="25"/>
      <c r="U18" s="27">
        <v>370</v>
      </c>
      <c r="V18" s="460">
        <f>+U18*1.1</f>
        <v>407.00000000000006</v>
      </c>
      <c r="W18" s="27">
        <v>380</v>
      </c>
      <c r="X18" s="203"/>
      <c r="Y18" s="203"/>
      <c r="Z18" s="602"/>
      <c r="AA18" s="7" t="s">
        <v>9</v>
      </c>
      <c r="AB18" s="25"/>
      <c r="AC18" s="27">
        <v>370</v>
      </c>
      <c r="AD18" s="460">
        <f>+AC18*1.1</f>
        <v>407.00000000000006</v>
      </c>
      <c r="AE18" s="27">
        <v>380</v>
      </c>
      <c r="AF18" s="130"/>
    </row>
    <row r="19" spans="2:35" ht="15.75" customHeight="1" thickBot="1" x14ac:dyDescent="0.3">
      <c r="B19" s="603"/>
      <c r="C19" s="10" t="s">
        <v>26</v>
      </c>
      <c r="D19" s="26"/>
      <c r="E19" s="28">
        <f>E18*E11</f>
        <v>5008320</v>
      </c>
      <c r="F19" s="44">
        <f>F18*F11</f>
        <v>8539185.6000000015</v>
      </c>
      <c r="G19" s="28">
        <f>G18*G11</f>
        <v>6786799.9999999991</v>
      </c>
      <c r="H19" s="203"/>
      <c r="I19" s="203"/>
      <c r="J19" s="603"/>
      <c r="K19" s="10" t="s">
        <v>26</v>
      </c>
      <c r="L19" s="26"/>
      <c r="M19" s="28">
        <f>M18*M11</f>
        <v>5008320</v>
      </c>
      <c r="N19" s="44">
        <f>N18*N11</f>
        <v>8539185.6000000015</v>
      </c>
      <c r="O19" s="28">
        <f>O18*O11</f>
        <v>6786799.9999999991</v>
      </c>
      <c r="P19" s="203"/>
      <c r="Q19" s="203"/>
      <c r="R19" s="603"/>
      <c r="S19" s="10" t="s">
        <v>26</v>
      </c>
      <c r="T19" s="26"/>
      <c r="U19" s="28">
        <f>U18*U11</f>
        <v>5008320</v>
      </c>
      <c r="V19" s="44">
        <f>V18*V11</f>
        <v>8302800.0000000009</v>
      </c>
      <c r="W19" s="28">
        <f>W18*W11</f>
        <v>6429599.9999999991</v>
      </c>
      <c r="X19" s="203"/>
      <c r="Y19" s="203"/>
      <c r="Z19" s="603"/>
      <c r="AA19" s="10" t="s">
        <v>26</v>
      </c>
      <c r="AB19" s="26"/>
      <c r="AC19" s="28">
        <f>AC18*AC11</f>
        <v>5008320</v>
      </c>
      <c r="AD19" s="44">
        <f>AD18*AD11</f>
        <v>8539185.6000000015</v>
      </c>
      <c r="AE19" s="28">
        <f>AE18*AE11</f>
        <v>6429599.9999999991</v>
      </c>
      <c r="AF19" s="389" t="s">
        <v>52</v>
      </c>
      <c r="AH19" s="74">
        <f>AD10*AC33</f>
        <v>13536000</v>
      </c>
      <c r="AI19" s="579" t="s">
        <v>248</v>
      </c>
    </row>
    <row r="20" spans="2:35" ht="17.25" customHeight="1" thickBot="1" x14ac:dyDescent="0.3">
      <c r="B20" s="275"/>
      <c r="C20" s="1"/>
      <c r="D20" s="1"/>
      <c r="E20" s="4"/>
      <c r="F20" s="4"/>
      <c r="G20" s="4"/>
      <c r="H20" s="203"/>
      <c r="I20" s="203"/>
      <c r="J20" s="275"/>
      <c r="K20" s="1"/>
      <c r="L20" s="1"/>
      <c r="M20" s="4"/>
      <c r="N20" s="4"/>
      <c r="O20" s="4"/>
      <c r="P20" s="203"/>
      <c r="Q20" s="203"/>
      <c r="R20" s="275"/>
      <c r="S20" s="1"/>
      <c r="T20" s="1"/>
      <c r="U20" s="4"/>
      <c r="V20" s="4"/>
      <c r="W20" s="4"/>
      <c r="X20" s="203"/>
      <c r="Y20" s="203"/>
      <c r="Z20" s="275"/>
      <c r="AA20" s="1"/>
      <c r="AB20" s="1"/>
      <c r="AC20" s="4"/>
      <c r="AD20" s="4"/>
      <c r="AE20" s="4"/>
      <c r="AF20" s="498">
        <f>AD10*0.1</f>
        <v>1128</v>
      </c>
      <c r="AH20" s="74">
        <f>AF25*AC33</f>
        <v>12182400</v>
      </c>
      <c r="AI20" s="579" t="s">
        <v>249</v>
      </c>
    </row>
    <row r="21" spans="2:35" ht="15.75" customHeight="1" thickBot="1" x14ac:dyDescent="0.3">
      <c r="B21" s="597" t="s">
        <v>169</v>
      </c>
      <c r="C21" s="646" t="s">
        <v>10</v>
      </c>
      <c r="D21" s="637"/>
      <c r="E21" s="637"/>
      <c r="F21" s="637"/>
      <c r="G21" s="638"/>
      <c r="H21" s="203"/>
      <c r="I21" s="203"/>
      <c r="J21" s="597" t="s">
        <v>169</v>
      </c>
      <c r="K21" s="646" t="s">
        <v>10</v>
      </c>
      <c r="L21" s="637"/>
      <c r="M21" s="637"/>
      <c r="N21" s="637"/>
      <c r="O21" s="638"/>
      <c r="P21" s="203"/>
      <c r="Q21" s="203"/>
      <c r="R21" s="597" t="s">
        <v>169</v>
      </c>
      <c r="S21" s="646" t="s">
        <v>10</v>
      </c>
      <c r="T21" s="637"/>
      <c r="U21" s="637"/>
      <c r="V21" s="637"/>
      <c r="W21" s="638"/>
      <c r="X21" s="203"/>
      <c r="Y21" s="203"/>
      <c r="Z21" s="597" t="s">
        <v>169</v>
      </c>
      <c r="AA21" s="646" t="s">
        <v>10</v>
      </c>
      <c r="AB21" s="637"/>
      <c r="AC21" s="637"/>
      <c r="AD21" s="637"/>
      <c r="AE21" s="638"/>
      <c r="AF21" s="389" t="s">
        <v>57</v>
      </c>
      <c r="AH21" s="74">
        <f>AF20*980</f>
        <v>1105440</v>
      </c>
      <c r="AI21" s="579" t="s">
        <v>250</v>
      </c>
    </row>
    <row r="22" spans="2:35" x14ac:dyDescent="0.25">
      <c r="B22" s="599"/>
      <c r="C22" s="9" t="s">
        <v>11</v>
      </c>
      <c r="D22" s="29">
        <v>0.04</v>
      </c>
      <c r="E22" s="31">
        <f>E19*D22</f>
        <v>200332.80000000002</v>
      </c>
      <c r="F22" s="45">
        <f>E22*12/8</f>
        <v>300499.20000000001</v>
      </c>
      <c r="G22" s="31">
        <f>E22*10/8</f>
        <v>250416.00000000003</v>
      </c>
      <c r="H22" s="203"/>
      <c r="I22" s="203"/>
      <c r="J22" s="599"/>
      <c r="K22" s="9" t="s">
        <v>11</v>
      </c>
      <c r="L22" s="29">
        <v>0.04</v>
      </c>
      <c r="M22" s="31">
        <f>M19*L22</f>
        <v>200332.80000000002</v>
      </c>
      <c r="N22" s="45">
        <f>M22*12/8</f>
        <v>300499.20000000001</v>
      </c>
      <c r="O22" s="31">
        <f>M22*10/8</f>
        <v>250416.00000000003</v>
      </c>
      <c r="P22" s="203"/>
      <c r="Q22" s="203"/>
      <c r="R22" s="599"/>
      <c r="S22" s="9" t="s">
        <v>11</v>
      </c>
      <c r="T22" s="29">
        <v>0.04</v>
      </c>
      <c r="U22" s="31">
        <f>U19*T22</f>
        <v>200332.80000000002</v>
      </c>
      <c r="V22" s="45">
        <f>U22*12/8</f>
        <v>300499.20000000001</v>
      </c>
      <c r="W22" s="31">
        <f>U22*10/8</f>
        <v>250416.00000000003</v>
      </c>
      <c r="X22" s="203"/>
      <c r="Y22" s="203"/>
      <c r="Z22" s="599"/>
      <c r="AA22" s="9" t="s">
        <v>11</v>
      </c>
      <c r="AB22" s="29">
        <v>0.04</v>
      </c>
      <c r="AC22" s="31">
        <f>AC19*AB22</f>
        <v>200332.80000000002</v>
      </c>
      <c r="AD22" s="45">
        <f>AC22*12/8</f>
        <v>300499.20000000001</v>
      </c>
      <c r="AE22" s="31">
        <f>AC22*10/8</f>
        <v>250416.00000000003</v>
      </c>
      <c r="AF22" s="488">
        <f>AF20*980</f>
        <v>1105440</v>
      </c>
      <c r="AH22" s="74">
        <f>AH20+AH21</f>
        <v>13287840</v>
      </c>
      <c r="AI22" s="579" t="s">
        <v>246</v>
      </c>
    </row>
    <row r="23" spans="2:35" ht="15.75" customHeight="1" x14ac:dyDescent="0.25">
      <c r="B23" s="599"/>
      <c r="C23" s="9" t="s">
        <v>12</v>
      </c>
      <c r="D23" s="29">
        <v>0.06</v>
      </c>
      <c r="E23" s="32">
        <f>E19*D23</f>
        <v>300499.20000000001</v>
      </c>
      <c r="F23" s="45">
        <f>E23*12/8</f>
        <v>450748.80000000005</v>
      </c>
      <c r="G23" s="32">
        <f>E23*10/8</f>
        <v>375624</v>
      </c>
      <c r="H23" s="203"/>
      <c r="I23" s="203"/>
      <c r="J23" s="599"/>
      <c r="K23" s="9" t="s">
        <v>12</v>
      </c>
      <c r="L23" s="29">
        <v>0.06</v>
      </c>
      <c r="M23" s="32">
        <f>M19*L23</f>
        <v>300499.20000000001</v>
      </c>
      <c r="N23" s="45">
        <f>M23*12/8</f>
        <v>450748.80000000005</v>
      </c>
      <c r="O23" s="32">
        <f>M23*10/8</f>
        <v>375624</v>
      </c>
      <c r="P23" s="203"/>
      <c r="Q23" s="203"/>
      <c r="R23" s="599"/>
      <c r="S23" s="9" t="s">
        <v>12</v>
      </c>
      <c r="T23" s="29">
        <v>0.06</v>
      </c>
      <c r="U23" s="32">
        <f>U19*T23</f>
        <v>300499.20000000001</v>
      </c>
      <c r="V23" s="45">
        <f>U23*12/8</f>
        <v>450748.80000000005</v>
      </c>
      <c r="W23" s="32">
        <f>U23*10/8</f>
        <v>375624</v>
      </c>
      <c r="X23" s="203"/>
      <c r="Y23" s="203"/>
      <c r="Z23" s="599"/>
      <c r="AA23" s="9" t="s">
        <v>12</v>
      </c>
      <c r="AB23" s="29">
        <v>0.06</v>
      </c>
      <c r="AC23" s="32">
        <f>AC19*AB23</f>
        <v>300499.20000000001</v>
      </c>
      <c r="AD23" s="45">
        <f>AC23*12/8</f>
        <v>450748.80000000005</v>
      </c>
      <c r="AE23" s="32">
        <f>AC23*10/8</f>
        <v>375624</v>
      </c>
      <c r="AF23" s="59"/>
      <c r="AH23" s="580">
        <f>AH19-AH22</f>
        <v>248160</v>
      </c>
      <c r="AI23" s="579" t="s">
        <v>247</v>
      </c>
    </row>
    <row r="24" spans="2:35" ht="15" customHeight="1" thickBot="1" x14ac:dyDescent="0.3">
      <c r="B24" s="599"/>
      <c r="C24" s="9" t="s">
        <v>13</v>
      </c>
      <c r="D24" s="29">
        <v>0.05</v>
      </c>
      <c r="E24" s="32">
        <f>E34*D24</f>
        <v>451200</v>
      </c>
      <c r="F24" s="45">
        <f>E24*12/8</f>
        <v>676800</v>
      </c>
      <c r="G24" s="32">
        <f>E24*10/8</f>
        <v>564000</v>
      </c>
      <c r="H24" s="203"/>
      <c r="I24" s="203"/>
      <c r="J24" s="599"/>
      <c r="K24" s="9" t="s">
        <v>13</v>
      </c>
      <c r="L24" s="29">
        <v>0.05</v>
      </c>
      <c r="M24" s="60">
        <f>M34*L24</f>
        <v>451200</v>
      </c>
      <c r="N24" s="61">
        <f>M24*12/8</f>
        <v>676800</v>
      </c>
      <c r="O24" s="60">
        <f>M24*10/8</f>
        <v>564000</v>
      </c>
      <c r="P24" s="203"/>
      <c r="Q24" s="203"/>
      <c r="R24" s="599"/>
      <c r="S24" s="9" t="s">
        <v>13</v>
      </c>
      <c r="T24" s="29">
        <v>0.05</v>
      </c>
      <c r="U24" s="32">
        <f>U34*T24</f>
        <v>451200</v>
      </c>
      <c r="V24" s="45">
        <f>U24*12/8</f>
        <v>676800</v>
      </c>
      <c r="W24" s="32">
        <f>U24*10/8</f>
        <v>564000</v>
      </c>
      <c r="X24" s="203"/>
      <c r="Y24" s="203"/>
      <c r="Z24" s="599"/>
      <c r="AA24" s="9" t="s">
        <v>13</v>
      </c>
      <c r="AB24" s="29">
        <v>0.05</v>
      </c>
      <c r="AC24" s="32">
        <f>AC34*AB24</f>
        <v>451200</v>
      </c>
      <c r="AD24" s="32">
        <f>AD34*AB24</f>
        <v>664392</v>
      </c>
      <c r="AE24" s="32">
        <f>AE34*AB24</f>
        <v>553659.99999999988</v>
      </c>
      <c r="AF24" s="419" t="s">
        <v>53</v>
      </c>
      <c r="AH24" s="581"/>
      <c r="AI24" s="579"/>
    </row>
    <row r="25" spans="2:35" ht="15" customHeight="1" thickBot="1" x14ac:dyDescent="0.3">
      <c r="B25" s="599"/>
      <c r="C25" s="9" t="s">
        <v>14</v>
      </c>
      <c r="D25" s="29">
        <v>0.02</v>
      </c>
      <c r="E25" s="60">
        <f>E19*D25</f>
        <v>100166.40000000001</v>
      </c>
      <c r="F25" s="61">
        <f>E25*12/8</f>
        <v>150249.60000000001</v>
      </c>
      <c r="G25" s="60">
        <f>E25*10/8</f>
        <v>125208.00000000001</v>
      </c>
      <c r="H25" s="203"/>
      <c r="I25" s="203"/>
      <c r="J25" s="599"/>
      <c r="K25" s="9" t="s">
        <v>14</v>
      </c>
      <c r="L25" s="29">
        <v>0.02</v>
      </c>
      <c r="M25" s="60">
        <f>M19*L25</f>
        <v>100166.40000000001</v>
      </c>
      <c r="N25" s="61">
        <f>M25*12/8</f>
        <v>150249.60000000001</v>
      </c>
      <c r="O25" s="60">
        <f>M25*10/8</f>
        <v>125208.00000000001</v>
      </c>
      <c r="P25" s="203"/>
      <c r="Q25" s="203"/>
      <c r="R25" s="599"/>
      <c r="S25" s="9" t="s">
        <v>14</v>
      </c>
      <c r="T25" s="29">
        <v>0.02</v>
      </c>
      <c r="U25" s="78">
        <f>U19*T25</f>
        <v>100166.40000000001</v>
      </c>
      <c r="V25" s="79">
        <f>U25*12/8</f>
        <v>150249.60000000001</v>
      </c>
      <c r="W25" s="78">
        <f>U25*10/8</f>
        <v>125208.00000000001</v>
      </c>
      <c r="X25" s="203"/>
      <c r="Y25" s="203"/>
      <c r="Z25" s="599"/>
      <c r="AA25" s="9" t="s">
        <v>14</v>
      </c>
      <c r="AB25" s="29">
        <v>0.02</v>
      </c>
      <c r="AC25" s="78">
        <f>AC19*AB25</f>
        <v>100166.40000000001</v>
      </c>
      <c r="AD25" s="79">
        <f>AC25*12/8</f>
        <v>150249.60000000001</v>
      </c>
      <c r="AE25" s="78">
        <f>AC25*10/8</f>
        <v>125208.00000000001</v>
      </c>
      <c r="AF25" s="497">
        <f>AD10-AF20</f>
        <v>10152</v>
      </c>
      <c r="AH25" s="582">
        <f>F15</f>
        <v>196800</v>
      </c>
      <c r="AI25" s="579" t="s">
        <v>149</v>
      </c>
    </row>
    <row r="26" spans="2:35" ht="15" customHeight="1" thickBot="1" x14ac:dyDescent="0.3">
      <c r="B26" s="599"/>
      <c r="C26" s="9" t="s">
        <v>37</v>
      </c>
      <c r="D26" s="29">
        <v>0.05</v>
      </c>
      <c r="E26" s="60">
        <f>E19*D26</f>
        <v>250416</v>
      </c>
      <c r="F26" s="90">
        <f>F19*D26</f>
        <v>426959.28000000009</v>
      </c>
      <c r="G26" s="60">
        <f>G19*D26</f>
        <v>339340</v>
      </c>
      <c r="H26" s="203"/>
      <c r="I26" s="203"/>
      <c r="J26" s="599"/>
      <c r="K26" s="9" t="s">
        <v>37</v>
      </c>
      <c r="L26" s="29">
        <v>0.05</v>
      </c>
      <c r="M26" s="60">
        <f>M19*L26</f>
        <v>250416</v>
      </c>
      <c r="N26" s="90">
        <f>N19*L26</f>
        <v>426959.28000000009</v>
      </c>
      <c r="O26" s="60">
        <f>O19*L26</f>
        <v>339340</v>
      </c>
      <c r="P26" s="203"/>
      <c r="Q26" s="203"/>
      <c r="R26" s="599"/>
      <c r="S26" s="9" t="s">
        <v>37</v>
      </c>
      <c r="T26" s="29">
        <v>0.05</v>
      </c>
      <c r="U26" s="78">
        <f>U19*T26</f>
        <v>250416</v>
      </c>
      <c r="V26" s="80">
        <f>V19*T26</f>
        <v>415140.00000000006</v>
      </c>
      <c r="W26" s="78">
        <f>W19*T26</f>
        <v>321480</v>
      </c>
      <c r="X26" s="203"/>
      <c r="Y26" s="203"/>
      <c r="Z26" s="599"/>
      <c r="AA26" s="9" t="s">
        <v>37</v>
      </c>
      <c r="AB26" s="29">
        <v>0.05</v>
      </c>
      <c r="AC26" s="78">
        <f>AC19*AB26</f>
        <v>250416</v>
      </c>
      <c r="AD26" s="80">
        <f>AD19*AB26</f>
        <v>426959.28000000009</v>
      </c>
      <c r="AE26" s="78">
        <f>AE19*AB26</f>
        <v>321480</v>
      </c>
      <c r="AF26" s="419" t="s">
        <v>58</v>
      </c>
      <c r="AH26" s="583">
        <f>AH23-AH25</f>
        <v>51360</v>
      </c>
      <c r="AI26" s="579" t="s">
        <v>251</v>
      </c>
    </row>
    <row r="27" spans="2:35" ht="15.75" customHeight="1" thickBot="1" x14ac:dyDescent="0.3">
      <c r="B27" s="599"/>
      <c r="C27" s="9" t="s">
        <v>41</v>
      </c>
      <c r="D27" s="29">
        <f>+E27/E19</f>
        <v>7.1880391029327199E-3</v>
      </c>
      <c r="E27" s="60">
        <f>0.3*(E14+E15)*8%*2</f>
        <v>36000</v>
      </c>
      <c r="F27" s="90">
        <f>0.3*(F14+F15)*8%*2</f>
        <v>45446.400000000001</v>
      </c>
      <c r="G27" s="60">
        <f>0.3*(G14+G15)*8%*2</f>
        <v>40031.999999999993</v>
      </c>
      <c r="H27" s="203"/>
      <c r="I27" s="203"/>
      <c r="J27" s="599"/>
      <c r="K27" s="9" t="s">
        <v>41</v>
      </c>
      <c r="L27" s="29">
        <f>+M27/M19</f>
        <v>7.1880391029327199E-3</v>
      </c>
      <c r="M27" s="60">
        <f>0.3*(M14+M15)*8%*2</f>
        <v>36000</v>
      </c>
      <c r="N27" s="90">
        <f>0.3*(N14+N15)*8%*2</f>
        <v>40723.200000000004</v>
      </c>
      <c r="O27" s="60">
        <f>0.3*(O14+O15)*8%*2</f>
        <v>38016</v>
      </c>
      <c r="P27" s="203"/>
      <c r="Q27" s="203"/>
      <c r="R27" s="599"/>
      <c r="S27" s="9" t="s">
        <v>41</v>
      </c>
      <c r="T27" s="29">
        <f>+U27/U19</f>
        <v>7.1880391029327199E-3</v>
      </c>
      <c r="U27" s="78">
        <f>0.3*(U14+U15)*8%*2</f>
        <v>36000</v>
      </c>
      <c r="V27" s="80">
        <f>0.3*(V14+V15)*8%*2</f>
        <v>47520</v>
      </c>
      <c r="W27" s="78">
        <f>0.3*(W14+W15)*8%*2</f>
        <v>40031.999999999993</v>
      </c>
      <c r="X27" s="203"/>
      <c r="Y27" s="203"/>
      <c r="Z27" s="599"/>
      <c r="AA27" s="9" t="s">
        <v>41</v>
      </c>
      <c r="AB27" s="29">
        <f>+AC27/AC19</f>
        <v>7.1880391029327199E-3</v>
      </c>
      <c r="AC27" s="78">
        <f>0.3*(AC14+AC15)*8%*2</f>
        <v>36000</v>
      </c>
      <c r="AD27" s="80">
        <f>0.3*(AD14+AD15)*8%*2</f>
        <v>36000</v>
      </c>
      <c r="AE27" s="78">
        <f>0.3*(AE14+AE15)*8%*2</f>
        <v>36000</v>
      </c>
      <c r="AF27" s="419">
        <f>AF25*1200</f>
        <v>12182400</v>
      </c>
      <c r="AH27" s="583">
        <f>AH26/AF25</f>
        <v>5.0591016548463354</v>
      </c>
      <c r="AI27" s="579" t="s">
        <v>253</v>
      </c>
    </row>
    <row r="28" spans="2:35" ht="15.75" customHeight="1" thickBot="1" x14ac:dyDescent="0.3">
      <c r="B28" s="599"/>
      <c r="C28" s="8" t="s">
        <v>227</v>
      </c>
      <c r="D28" s="551" t="s">
        <v>228</v>
      </c>
      <c r="E28" s="550">
        <f>E29/E11</f>
        <v>98.892907801418431</v>
      </c>
      <c r="F28" s="550">
        <f t="shared" ref="F28:G28" si="0">F29/F11</f>
        <v>97.741901166781048</v>
      </c>
      <c r="G28" s="550">
        <f t="shared" si="0"/>
        <v>94.883538633818603</v>
      </c>
      <c r="H28" s="203"/>
      <c r="I28" s="203"/>
      <c r="J28" s="599"/>
      <c r="K28" s="8" t="s">
        <v>227</v>
      </c>
      <c r="L28" s="551" t="s">
        <v>228</v>
      </c>
      <c r="M28" s="550">
        <f>M29/M11</f>
        <v>98.892907801418431</v>
      </c>
      <c r="N28" s="550">
        <f t="shared" ref="N28:O28" si="1">N29/N11</f>
        <v>97.516781056966366</v>
      </c>
      <c r="O28" s="550">
        <f t="shared" si="1"/>
        <v>94.770660694288935</v>
      </c>
      <c r="P28" s="203"/>
      <c r="Q28" s="203"/>
      <c r="R28" s="599"/>
      <c r="S28" s="8" t="s">
        <v>227</v>
      </c>
      <c r="T28" s="551" t="s">
        <v>228</v>
      </c>
      <c r="U28" s="550">
        <f>U29/U11</f>
        <v>98.892907801418431</v>
      </c>
      <c r="V28" s="550">
        <f t="shared" ref="V28:W28" si="2">V29/V11</f>
        <v>100.0469411764706</v>
      </c>
      <c r="W28" s="550">
        <f t="shared" si="2"/>
        <v>99.099290780141871</v>
      </c>
      <c r="X28" s="203"/>
      <c r="Y28" s="203"/>
      <c r="Z28" s="599"/>
      <c r="AA28" s="8" t="s">
        <v>227</v>
      </c>
      <c r="AB28" s="551" t="s">
        <v>228</v>
      </c>
      <c r="AC28" s="550">
        <f>AC29/AC11</f>
        <v>98.892907801418431</v>
      </c>
      <c r="AD28" s="550">
        <f t="shared" ref="AD28:AE28" si="3">AD29/AD11</f>
        <v>96.700263097689302</v>
      </c>
      <c r="AE28" s="550">
        <f t="shared" si="3"/>
        <v>98.249881796690332</v>
      </c>
      <c r="AF28" s="558"/>
    </row>
    <row r="29" spans="2:35" ht="15.75" customHeight="1" thickBot="1" x14ac:dyDescent="0.3">
      <c r="B29" s="598"/>
      <c r="C29" s="10" t="s">
        <v>39</v>
      </c>
      <c r="D29" s="30"/>
      <c r="E29" s="33">
        <f>SUM(E22:E27)</f>
        <v>1338614.3999999999</v>
      </c>
      <c r="F29" s="46">
        <f>SUM(F22:F27)</f>
        <v>2050703.28</v>
      </c>
      <c r="G29" s="33">
        <f>SUM(G22:G27)</f>
        <v>1694620</v>
      </c>
      <c r="H29" s="203"/>
      <c r="I29" s="203"/>
      <c r="J29" s="598"/>
      <c r="K29" s="10" t="s">
        <v>39</v>
      </c>
      <c r="L29" s="30"/>
      <c r="M29" s="33">
        <f>SUM(M22:M27)</f>
        <v>1338614.3999999999</v>
      </c>
      <c r="N29" s="46">
        <f>SUM(N22:N27)</f>
        <v>2045980.08</v>
      </c>
      <c r="O29" s="33">
        <f>SUM(O22:O27)</f>
        <v>1692604</v>
      </c>
      <c r="P29" s="203"/>
      <c r="Q29" s="203"/>
      <c r="R29" s="598"/>
      <c r="S29" s="10" t="s">
        <v>39</v>
      </c>
      <c r="T29" s="30"/>
      <c r="U29" s="33">
        <f>SUM(U22:U27)</f>
        <v>1338614.3999999999</v>
      </c>
      <c r="V29" s="46">
        <f>SUM(V22:V27)</f>
        <v>2040957.6</v>
      </c>
      <c r="W29" s="33">
        <f>SUM(W22:W27)</f>
        <v>1676760</v>
      </c>
      <c r="X29" s="203"/>
      <c r="Y29" s="203"/>
      <c r="Z29" s="598"/>
      <c r="AA29" s="10" t="s">
        <v>39</v>
      </c>
      <c r="AB29" s="30"/>
      <c r="AC29" s="33">
        <f>SUM(AC22:AC27)</f>
        <v>1338614.3999999999</v>
      </c>
      <c r="AD29" s="46">
        <f>SUM(AD22:AD27)</f>
        <v>2028848.8800000001</v>
      </c>
      <c r="AE29" s="33">
        <f>SUM(AE22:AE27)</f>
        <v>1662388</v>
      </c>
      <c r="AF29" s="130"/>
    </row>
    <row r="30" spans="2:35" ht="15" customHeight="1" thickBot="1" x14ac:dyDescent="0.3">
      <c r="B30" s="597" t="s">
        <v>170</v>
      </c>
      <c r="C30" s="525" t="s">
        <v>156</v>
      </c>
      <c r="D30" s="526"/>
      <c r="E30" s="527">
        <f>E14+E15+E19+E29</f>
        <v>7096934.4000000004</v>
      </c>
      <c r="F30" s="528">
        <f>F14+F15+F19+F29</f>
        <v>11536688.880000001</v>
      </c>
      <c r="G30" s="527">
        <f>G14+G15+G19+G29</f>
        <v>9315420</v>
      </c>
      <c r="H30" s="203"/>
      <c r="I30" s="203"/>
      <c r="J30" s="597" t="s">
        <v>170</v>
      </c>
      <c r="K30" s="525" t="s">
        <v>16</v>
      </c>
      <c r="L30" s="526"/>
      <c r="M30" s="527">
        <f>M14+M15+M19+M29</f>
        <v>7096934.4000000004</v>
      </c>
      <c r="N30" s="528">
        <f>N14+N15+N19+N29</f>
        <v>11433565.680000002</v>
      </c>
      <c r="O30" s="527">
        <f>O14+O15+O19+O29</f>
        <v>9271404</v>
      </c>
      <c r="P30" s="203"/>
      <c r="Q30" s="203"/>
      <c r="R30" s="597" t="s">
        <v>170</v>
      </c>
      <c r="S30" s="525" t="s">
        <v>156</v>
      </c>
      <c r="T30" s="526"/>
      <c r="U30" s="527">
        <f>U14+U15+U19+U29</f>
        <v>7096934.4000000004</v>
      </c>
      <c r="V30" s="528">
        <f>V14+V15+V19+V29</f>
        <v>11333757.6</v>
      </c>
      <c r="W30" s="527">
        <f>W14+W15+W19+W29</f>
        <v>8940360</v>
      </c>
      <c r="X30" s="203"/>
      <c r="Y30" s="203"/>
      <c r="Z30" s="597" t="s">
        <v>170</v>
      </c>
      <c r="AA30" s="525" t="s">
        <v>156</v>
      </c>
      <c r="AB30" s="526"/>
      <c r="AC30" s="527">
        <f>AC14+AC15+AC19+AC29</f>
        <v>7096934.4000000004</v>
      </c>
      <c r="AD30" s="528">
        <f>AD14+AD15+AD19+AD29</f>
        <v>11318034.480000002</v>
      </c>
      <c r="AE30" s="527">
        <f>AE14+AE15+AE19+AE29</f>
        <v>8841988</v>
      </c>
      <c r="AF30" s="391" t="s">
        <v>54</v>
      </c>
      <c r="AH30" s="585">
        <f>AH25/AD10</f>
        <v>17.446808510638299</v>
      </c>
      <c r="AI30" s="586" t="s">
        <v>254</v>
      </c>
    </row>
    <row r="31" spans="2:35" ht="15.75" customHeight="1" thickBot="1" x14ac:dyDescent="0.3">
      <c r="B31" s="598"/>
      <c r="C31" s="529" t="s">
        <v>34</v>
      </c>
      <c r="D31" s="530"/>
      <c r="E31" s="531">
        <f>E30/E10</f>
        <v>943.74127659574469</v>
      </c>
      <c r="F31" s="532">
        <f>F30/F10</f>
        <v>1022.7561063829788</v>
      </c>
      <c r="G31" s="531">
        <f>G30/G10</f>
        <v>991.00212765957463</v>
      </c>
      <c r="H31" s="203"/>
      <c r="I31" s="203"/>
      <c r="J31" s="598"/>
      <c r="K31" s="529" t="s">
        <v>34</v>
      </c>
      <c r="L31" s="530"/>
      <c r="M31" s="531">
        <f>M30/M10</f>
        <v>943.74127659574469</v>
      </c>
      <c r="N31" s="532">
        <f>N30/N10</f>
        <v>1013.6139787234044</v>
      </c>
      <c r="O31" s="531">
        <f>O30/O10</f>
        <v>986.31957446808531</v>
      </c>
      <c r="P31" s="203"/>
      <c r="Q31" s="203"/>
      <c r="R31" s="598"/>
      <c r="S31" s="529" t="s">
        <v>34</v>
      </c>
      <c r="T31" s="530"/>
      <c r="U31" s="531">
        <f>U30/U10</f>
        <v>943.74127659574469</v>
      </c>
      <c r="V31" s="532">
        <f>V30/V10</f>
        <v>944.47979999999995</v>
      </c>
      <c r="W31" s="531">
        <f>W30/W10</f>
        <v>951.10212765957465</v>
      </c>
      <c r="X31" s="203"/>
      <c r="Y31" s="203"/>
      <c r="Z31" s="598"/>
      <c r="AA31" s="529" t="s">
        <v>34</v>
      </c>
      <c r="AB31" s="530"/>
      <c r="AC31" s="531">
        <f>AC30/AC10</f>
        <v>943.74127659574469</v>
      </c>
      <c r="AD31" s="532">
        <f>AD30/AD10</f>
        <v>1003.37185106383</v>
      </c>
      <c r="AE31" s="531">
        <f>AE30/AE10</f>
        <v>940.63702127659587</v>
      </c>
      <c r="AF31" s="391">
        <f>+AF27+AF22</f>
        <v>13287840</v>
      </c>
      <c r="AH31" s="102"/>
    </row>
    <row r="32" spans="2:35" ht="15.75" customHeight="1" thickBot="1" x14ac:dyDescent="0.3">
      <c r="B32" s="597" t="s">
        <v>171</v>
      </c>
      <c r="C32" s="646" t="s">
        <v>17</v>
      </c>
      <c r="D32" s="637"/>
      <c r="E32" s="637"/>
      <c r="F32" s="637"/>
      <c r="G32" s="638"/>
      <c r="H32" s="203"/>
      <c r="I32" s="203"/>
      <c r="J32" s="597" t="s">
        <v>171</v>
      </c>
      <c r="K32" s="646" t="s">
        <v>17</v>
      </c>
      <c r="L32" s="637"/>
      <c r="M32" s="637"/>
      <c r="N32" s="637"/>
      <c r="O32" s="638"/>
      <c r="P32" s="203"/>
      <c r="Q32" s="203"/>
      <c r="R32" s="597" t="s">
        <v>171</v>
      </c>
      <c r="S32" s="646" t="s">
        <v>17</v>
      </c>
      <c r="T32" s="637"/>
      <c r="U32" s="637"/>
      <c r="V32" s="637"/>
      <c r="W32" s="638"/>
      <c r="X32" s="203"/>
      <c r="Y32" s="203"/>
      <c r="Z32" s="597" t="s">
        <v>171</v>
      </c>
      <c r="AA32" s="646" t="s">
        <v>17</v>
      </c>
      <c r="AB32" s="637"/>
      <c r="AC32" s="637"/>
      <c r="AD32" s="637"/>
      <c r="AE32" s="638"/>
      <c r="AF32" s="392" t="s">
        <v>55</v>
      </c>
      <c r="AH32" s="569"/>
    </row>
    <row r="33" spans="2:34" ht="15.75" customHeight="1" thickBot="1" x14ac:dyDescent="0.3">
      <c r="B33" s="599"/>
      <c r="C33" s="7" t="s">
        <v>18</v>
      </c>
      <c r="D33" s="34"/>
      <c r="E33" s="27">
        <v>1200</v>
      </c>
      <c r="F33" s="27">
        <v>1200</v>
      </c>
      <c r="G33" s="27">
        <v>1200</v>
      </c>
      <c r="H33" s="203"/>
      <c r="I33" s="203"/>
      <c r="J33" s="599"/>
      <c r="K33" s="7" t="s">
        <v>18</v>
      </c>
      <c r="L33" s="34"/>
      <c r="M33" s="27">
        <v>1200</v>
      </c>
      <c r="N33" s="27">
        <v>1200</v>
      </c>
      <c r="O33" s="27">
        <v>1200</v>
      </c>
      <c r="P33" s="203"/>
      <c r="Q33" s="203"/>
      <c r="R33" s="599"/>
      <c r="S33" s="7" t="s">
        <v>18</v>
      </c>
      <c r="T33" s="34"/>
      <c r="U33" s="27">
        <v>1200</v>
      </c>
      <c r="V33" s="27">
        <v>1200</v>
      </c>
      <c r="W33" s="27">
        <v>1200</v>
      </c>
      <c r="X33" s="203"/>
      <c r="Y33" s="203"/>
      <c r="Z33" s="599"/>
      <c r="AA33" s="7" t="s">
        <v>18</v>
      </c>
      <c r="AB33" s="34"/>
      <c r="AC33" s="198">
        <v>1200</v>
      </c>
      <c r="AD33" s="493">
        <f t="shared" ref="AD33" si="4">+AE33</f>
        <v>1178</v>
      </c>
      <c r="AE33" s="493">
        <f>+AF33</f>
        <v>1178</v>
      </c>
      <c r="AF33" s="493">
        <f>AF31/AD10</f>
        <v>1178</v>
      </c>
      <c r="AH33" s="102"/>
    </row>
    <row r="34" spans="2:34" ht="15.75" customHeight="1" thickBot="1" x14ac:dyDescent="0.3">
      <c r="B34" s="598"/>
      <c r="C34" s="8" t="s">
        <v>19</v>
      </c>
      <c r="D34" s="35"/>
      <c r="E34" s="36">
        <f>E10*E33</f>
        <v>9024000</v>
      </c>
      <c r="F34" s="47">
        <f>F10*F33</f>
        <v>13536000</v>
      </c>
      <c r="G34" s="36">
        <f>G10*G33</f>
        <v>11279999.999999998</v>
      </c>
      <c r="H34" s="203"/>
      <c r="I34" s="203"/>
      <c r="J34" s="598"/>
      <c r="K34" s="8" t="s">
        <v>19</v>
      </c>
      <c r="L34" s="35"/>
      <c r="M34" s="36">
        <f>M10*M33</f>
        <v>9024000</v>
      </c>
      <c r="N34" s="47">
        <f>N10*N33</f>
        <v>13536000</v>
      </c>
      <c r="O34" s="36">
        <f>O10*O33</f>
        <v>11279999.999999998</v>
      </c>
      <c r="P34" s="203"/>
      <c r="Q34" s="203"/>
      <c r="R34" s="598"/>
      <c r="S34" s="8" t="s">
        <v>19</v>
      </c>
      <c r="T34" s="35"/>
      <c r="U34" s="36">
        <f>U10*U33</f>
        <v>9024000</v>
      </c>
      <c r="V34" s="47">
        <f>V10*V33</f>
        <v>14400000</v>
      </c>
      <c r="W34" s="36">
        <f>W10*W33</f>
        <v>11279999.999999998</v>
      </c>
      <c r="X34" s="203"/>
      <c r="Y34" s="203"/>
      <c r="Z34" s="598"/>
      <c r="AA34" s="8" t="s">
        <v>19</v>
      </c>
      <c r="AB34" s="35"/>
      <c r="AC34" s="36">
        <f>AC10*AC33</f>
        <v>9024000</v>
      </c>
      <c r="AD34" s="422">
        <f>AD10*AD33</f>
        <v>13287840</v>
      </c>
      <c r="AE34" s="423">
        <f>AE10*AE33</f>
        <v>11073199.999999998</v>
      </c>
      <c r="AF34" s="203"/>
    </row>
    <row r="35" spans="2:34" ht="15.75" customHeight="1" thickBot="1" x14ac:dyDescent="0.3">
      <c r="B35" s="597" t="s">
        <v>172</v>
      </c>
      <c r="C35" s="646" t="s">
        <v>20</v>
      </c>
      <c r="D35" s="637"/>
      <c r="E35" s="637"/>
      <c r="F35" s="637"/>
      <c r="G35" s="638"/>
      <c r="H35" s="203"/>
      <c r="I35" s="203"/>
      <c r="J35" s="597" t="s">
        <v>172</v>
      </c>
      <c r="K35" s="646" t="s">
        <v>20</v>
      </c>
      <c r="L35" s="637"/>
      <c r="M35" s="637"/>
      <c r="N35" s="637"/>
      <c r="O35" s="638"/>
      <c r="P35" s="203"/>
      <c r="Q35" s="203"/>
      <c r="R35" s="597" t="s">
        <v>172</v>
      </c>
      <c r="S35" s="646" t="s">
        <v>20</v>
      </c>
      <c r="T35" s="637"/>
      <c r="U35" s="637"/>
      <c r="V35" s="637"/>
      <c r="W35" s="638"/>
      <c r="X35" s="203"/>
      <c r="Y35" s="203"/>
      <c r="Z35" s="597" t="s">
        <v>172</v>
      </c>
      <c r="AA35" s="646" t="s">
        <v>20</v>
      </c>
      <c r="AB35" s="637"/>
      <c r="AC35" s="637"/>
      <c r="AD35" s="637"/>
      <c r="AE35" s="638"/>
      <c r="AF35" s="203"/>
    </row>
    <row r="36" spans="2:34" ht="15.75" customHeight="1" x14ac:dyDescent="0.25">
      <c r="B36" s="599"/>
      <c r="C36" s="9" t="s">
        <v>21</v>
      </c>
      <c r="D36" s="37"/>
      <c r="E36" s="31">
        <f>E34-E30</f>
        <v>1927065.5999999996</v>
      </c>
      <c r="F36" s="45">
        <f>F34-F30</f>
        <v>1999311.1199999992</v>
      </c>
      <c r="G36" s="31">
        <f>G34-G30</f>
        <v>1964579.9999999981</v>
      </c>
      <c r="H36" s="203"/>
      <c r="I36" s="203"/>
      <c r="J36" s="599"/>
      <c r="K36" s="9" t="s">
        <v>21</v>
      </c>
      <c r="L36" s="37"/>
      <c r="M36" s="31">
        <f>M34-M30</f>
        <v>1927065.5999999996</v>
      </c>
      <c r="N36" s="45">
        <f>N34-N30</f>
        <v>2102434.3199999984</v>
      </c>
      <c r="O36" s="31">
        <f>O34-O30</f>
        <v>2008595.9999999981</v>
      </c>
      <c r="P36" s="203"/>
      <c r="Q36" s="203"/>
      <c r="R36" s="599"/>
      <c r="S36" s="9" t="s">
        <v>21</v>
      </c>
      <c r="T36" s="37"/>
      <c r="U36" s="31">
        <f>U34-U30</f>
        <v>1927065.5999999996</v>
      </c>
      <c r="V36" s="45">
        <f>V34-V30</f>
        <v>3066242.4000000004</v>
      </c>
      <c r="W36" s="31">
        <f>W34-W30</f>
        <v>2339639.9999999981</v>
      </c>
      <c r="X36" s="203"/>
      <c r="Y36" s="203"/>
      <c r="Z36" s="599"/>
      <c r="AA36" s="9" t="s">
        <v>21</v>
      </c>
      <c r="AB36" s="37"/>
      <c r="AC36" s="31">
        <f>AC34-AC30</f>
        <v>1927065.5999999996</v>
      </c>
      <c r="AD36" s="45">
        <f>AD34-AD30</f>
        <v>1969805.5199999977</v>
      </c>
      <c r="AE36" s="31">
        <f>AE34-AE30</f>
        <v>2231211.9999999981</v>
      </c>
      <c r="AF36" s="203"/>
    </row>
    <row r="37" spans="2:34" ht="15" customHeight="1" x14ac:dyDescent="0.25">
      <c r="B37" s="599"/>
      <c r="C37" s="9" t="s">
        <v>35</v>
      </c>
      <c r="D37" s="66"/>
      <c r="E37" s="60">
        <f>-E36*15%</f>
        <v>-289059.83999999991</v>
      </c>
      <c r="F37" s="61">
        <f>-F36*15%</f>
        <v>-299896.66799999989</v>
      </c>
      <c r="G37" s="60">
        <f>-G36*15%</f>
        <v>-294686.99999999971</v>
      </c>
      <c r="H37" s="203"/>
      <c r="I37" s="203"/>
      <c r="J37" s="599"/>
      <c r="K37" s="9" t="s">
        <v>35</v>
      </c>
      <c r="L37" s="66"/>
      <c r="M37" s="60">
        <f>-M36*15%</f>
        <v>-289059.83999999991</v>
      </c>
      <c r="N37" s="61">
        <f>-N36*15%</f>
        <v>-315365.14799999975</v>
      </c>
      <c r="O37" s="60">
        <f>-O36*15%</f>
        <v>-301289.39999999973</v>
      </c>
      <c r="P37" s="203"/>
      <c r="Q37" s="203"/>
      <c r="R37" s="599"/>
      <c r="S37" s="9" t="s">
        <v>35</v>
      </c>
      <c r="T37" s="81"/>
      <c r="U37" s="78">
        <f>-U36*15%</f>
        <v>-289059.83999999991</v>
      </c>
      <c r="V37" s="79">
        <f>-V36*15%</f>
        <v>-459936.36000000004</v>
      </c>
      <c r="W37" s="78">
        <f>-W36*15%</f>
        <v>-350945.99999999971</v>
      </c>
      <c r="X37" s="203"/>
      <c r="Y37" s="203"/>
      <c r="Z37" s="599"/>
      <c r="AA37" s="9" t="s">
        <v>35</v>
      </c>
      <c r="AB37" s="81"/>
      <c r="AC37" s="78">
        <f>-AC36*15%</f>
        <v>-289059.83999999991</v>
      </c>
      <c r="AD37" s="79">
        <f>-AD36*15%</f>
        <v>-295470.82799999963</v>
      </c>
      <c r="AE37" s="78">
        <f>-AE36*15%</f>
        <v>-334681.7999999997</v>
      </c>
      <c r="AF37" s="203"/>
    </row>
    <row r="38" spans="2:34" ht="15" customHeight="1" x14ac:dyDescent="0.25">
      <c r="B38" s="599"/>
      <c r="C38" s="9" t="s">
        <v>27</v>
      </c>
      <c r="D38" s="66"/>
      <c r="E38" s="60">
        <f>-(E36-E37)*22%</f>
        <v>-487547.59679999988</v>
      </c>
      <c r="F38" s="61">
        <f>-(F36-F37)*22%</f>
        <v>-505825.71335999982</v>
      </c>
      <c r="G38" s="60">
        <f>-(G36-G37)*22%</f>
        <v>-497038.73999999947</v>
      </c>
      <c r="H38" s="203"/>
      <c r="I38" s="203"/>
      <c r="J38" s="599"/>
      <c r="K38" s="9" t="s">
        <v>27</v>
      </c>
      <c r="L38" s="66"/>
      <c r="M38" s="60">
        <f>-(M36-M37)*22%</f>
        <v>-487547.59679999988</v>
      </c>
      <c r="N38" s="61">
        <f>-(N36-N37)*22%</f>
        <v>-531915.88295999961</v>
      </c>
      <c r="O38" s="60">
        <f>-(O36-O37)*22%</f>
        <v>-508174.78799999959</v>
      </c>
      <c r="P38" s="203"/>
      <c r="Q38" s="203"/>
      <c r="R38" s="599"/>
      <c r="S38" s="9" t="s">
        <v>27</v>
      </c>
      <c r="T38" s="37"/>
      <c r="U38" s="32">
        <f>-(U36-U37)*22%</f>
        <v>-487547.59679999988</v>
      </c>
      <c r="V38" s="45">
        <f>-(V36-V37)*22%</f>
        <v>-775759.32720000006</v>
      </c>
      <c r="W38" s="32">
        <f>-(W36-W37)*22%</f>
        <v>-591928.91999999946</v>
      </c>
      <c r="X38" s="203"/>
      <c r="Y38" s="203"/>
      <c r="Z38" s="599"/>
      <c r="AA38" s="9" t="s">
        <v>27</v>
      </c>
      <c r="AB38" s="37"/>
      <c r="AC38" s="32">
        <f>-(AC36-AC37)*22%</f>
        <v>-487547.59679999988</v>
      </c>
      <c r="AD38" s="45">
        <f>-(AD36-AD37)*22%</f>
        <v>-498360.79655999946</v>
      </c>
      <c r="AE38" s="32">
        <f>-(AE36-AE37)*22%</f>
        <v>-564496.63599999959</v>
      </c>
      <c r="AF38" s="203"/>
    </row>
    <row r="39" spans="2:34" ht="15.75" customHeight="1" thickBot="1" x14ac:dyDescent="0.3">
      <c r="B39" s="598"/>
      <c r="C39" s="15" t="s">
        <v>22</v>
      </c>
      <c r="D39" s="63"/>
      <c r="E39" s="64">
        <f>-(E36-E37)*13%</f>
        <v>-288096.30719999992</v>
      </c>
      <c r="F39" s="65">
        <f>-(F36-F37)*13%</f>
        <v>-298897.0124399999</v>
      </c>
      <c r="G39" s="64">
        <f>-(G36-G37)*13%</f>
        <v>-293704.70999999973</v>
      </c>
      <c r="H39" s="203"/>
      <c r="I39" s="203"/>
      <c r="J39" s="598"/>
      <c r="K39" s="15" t="s">
        <v>22</v>
      </c>
      <c r="L39" s="63"/>
      <c r="M39" s="64">
        <f>-(M36-M37)*13%</f>
        <v>-288096.30719999992</v>
      </c>
      <c r="N39" s="65">
        <f>-(N36-N37)*13%</f>
        <v>-314313.93083999975</v>
      </c>
      <c r="O39" s="64">
        <f>-(O36-O37)*13%</f>
        <v>-300285.10199999978</v>
      </c>
      <c r="P39" s="203"/>
      <c r="Q39" s="203"/>
      <c r="R39" s="598"/>
      <c r="S39" s="15" t="s">
        <v>22</v>
      </c>
      <c r="T39" s="63"/>
      <c r="U39" s="64">
        <f>-(U36-U37)*13%</f>
        <v>-288096.30719999992</v>
      </c>
      <c r="V39" s="65">
        <f>-(V36-V37)*13%</f>
        <v>-458403.23880000005</v>
      </c>
      <c r="W39" s="64">
        <f>-(W36-W37)*13%</f>
        <v>-349776.1799999997</v>
      </c>
      <c r="X39" s="203"/>
      <c r="Y39" s="203"/>
      <c r="Z39" s="598"/>
      <c r="AA39" s="15" t="s">
        <v>22</v>
      </c>
      <c r="AB39" s="63"/>
      <c r="AC39" s="64">
        <f>-(AC36-AC37)*13%</f>
        <v>-288096.30719999992</v>
      </c>
      <c r="AD39" s="65">
        <f>-(AD36-AD37)*13%</f>
        <v>-294485.92523999966</v>
      </c>
      <c r="AE39" s="64">
        <f>-(AE36-AE37)*13%</f>
        <v>-333566.19399999973</v>
      </c>
      <c r="AF39" s="203"/>
    </row>
    <row r="40" spans="2:34" ht="15.75" customHeight="1" thickBot="1" x14ac:dyDescent="0.3">
      <c r="B40" s="597" t="s">
        <v>173</v>
      </c>
      <c r="C40" s="12" t="s">
        <v>36</v>
      </c>
      <c r="D40" s="13"/>
      <c r="E40" s="14">
        <f>SUM(E36:E39)</f>
        <v>862361.85599999991</v>
      </c>
      <c r="F40" s="48">
        <f>SUM(F36:F39)</f>
        <v>894691.72619999968</v>
      </c>
      <c r="G40" s="14">
        <f>SUM(G36:G39)</f>
        <v>879149.54999999912</v>
      </c>
      <c r="H40" s="203"/>
      <c r="I40" s="203"/>
      <c r="J40" s="597" t="s">
        <v>173</v>
      </c>
      <c r="K40" s="12" t="s">
        <v>36</v>
      </c>
      <c r="L40" s="13"/>
      <c r="M40" s="14">
        <f>SUM(M36:M39)</f>
        <v>862361.85599999991</v>
      </c>
      <c r="N40" s="48">
        <f>SUM(N36:N39)</f>
        <v>940839.3581999992</v>
      </c>
      <c r="O40" s="14">
        <f>SUM(O36:O39)</f>
        <v>898846.70999999926</v>
      </c>
      <c r="P40" s="203"/>
      <c r="Q40" s="203"/>
      <c r="R40" s="597" t="s">
        <v>173</v>
      </c>
      <c r="S40" s="12" t="s">
        <v>36</v>
      </c>
      <c r="T40" s="13"/>
      <c r="U40" s="14">
        <f>SUM(U36:U39)</f>
        <v>862361.85599999991</v>
      </c>
      <c r="V40" s="48">
        <f>SUM(V36:V39)</f>
        <v>1372143.4740000004</v>
      </c>
      <c r="W40" s="14">
        <f>SUM(W36:W39)</f>
        <v>1046988.8999999992</v>
      </c>
      <c r="X40" s="203"/>
      <c r="Y40" s="203"/>
      <c r="Z40" s="597" t="s">
        <v>173</v>
      </c>
      <c r="AA40" s="12" t="s">
        <v>36</v>
      </c>
      <c r="AB40" s="13"/>
      <c r="AC40" s="14">
        <f>SUM(AC36:AC39)</f>
        <v>862361.85599999991</v>
      </c>
      <c r="AD40" s="48">
        <f>SUM(AD36:AD39)</f>
        <v>881487.97019999882</v>
      </c>
      <c r="AE40" s="14">
        <f>SUM(AE36:AE39)</f>
        <v>998467.36999999918</v>
      </c>
      <c r="AF40" s="203"/>
    </row>
    <row r="41" spans="2:34" ht="19.5" customHeight="1" thickBot="1" x14ac:dyDescent="0.35">
      <c r="B41" s="598"/>
      <c r="C41" s="11" t="s">
        <v>51</v>
      </c>
      <c r="D41" s="38"/>
      <c r="E41" s="39">
        <f>E40/E34</f>
        <v>9.5563148936170197E-2</v>
      </c>
      <c r="F41" s="49">
        <f>F40/F34</f>
        <v>6.6097201994680832E-2</v>
      </c>
      <c r="G41" s="39">
        <f>G40/G34</f>
        <v>7.7938789893616953E-2</v>
      </c>
      <c r="H41" s="203"/>
      <c r="I41" s="203"/>
      <c r="J41" s="598"/>
      <c r="K41" s="11" t="s">
        <v>147</v>
      </c>
      <c r="L41" s="38"/>
      <c r="M41" s="39">
        <f>M40/M34</f>
        <v>9.5563148936170197E-2</v>
      </c>
      <c r="N41" s="49">
        <f>N40/N34</f>
        <v>6.9506453767730431E-2</v>
      </c>
      <c r="O41" s="39">
        <f>O40/O34</f>
        <v>7.9684992021276546E-2</v>
      </c>
      <c r="P41" s="203"/>
      <c r="Q41" s="203"/>
      <c r="R41" s="598"/>
      <c r="S41" s="103" t="s">
        <v>161</v>
      </c>
      <c r="T41" s="38"/>
      <c r="U41" s="39">
        <f>U40/U34</f>
        <v>9.5563148936170197E-2</v>
      </c>
      <c r="V41" s="49">
        <f>V40/V34</f>
        <v>9.528774125000003E-2</v>
      </c>
      <c r="W41" s="39">
        <f>W40/W34</f>
        <v>9.2818164893616967E-2</v>
      </c>
      <c r="X41" s="203"/>
      <c r="Y41" s="203"/>
      <c r="Z41" s="598"/>
      <c r="AA41" s="103" t="s">
        <v>164</v>
      </c>
      <c r="AB41" s="38"/>
      <c r="AC41" s="39">
        <f>AC40/AC34</f>
        <v>9.5563148936170197E-2</v>
      </c>
      <c r="AD41" s="49">
        <f>AD40/AD34</f>
        <v>6.6337942825921953E-2</v>
      </c>
      <c r="AE41" s="39">
        <f>AE40/AE34</f>
        <v>9.0169722392804186E-2</v>
      </c>
      <c r="AF41" s="203"/>
    </row>
    <row r="42" spans="2:34" ht="15.75" customHeight="1" x14ac:dyDescent="0.25">
      <c r="B42" s="600"/>
      <c r="C42" s="600"/>
      <c r="D42" s="600"/>
      <c r="E42" s="600"/>
      <c r="F42" s="600"/>
      <c r="G42" s="600"/>
      <c r="H42" s="203"/>
      <c r="I42" s="203"/>
      <c r="J42" s="56"/>
      <c r="P42" s="203"/>
      <c r="Q42" s="203"/>
      <c r="R42" s="600"/>
      <c r="S42" s="600"/>
      <c r="T42" s="600"/>
      <c r="U42" s="600"/>
      <c r="V42" s="600"/>
      <c r="W42" s="600"/>
    </row>
    <row r="43" spans="2:34" ht="19.5" customHeight="1" thickBot="1" x14ac:dyDescent="0.3">
      <c r="B43" s="590" t="s">
        <v>194</v>
      </c>
      <c r="C43" s="590"/>
      <c r="D43" s="590"/>
      <c r="E43" s="590"/>
      <c r="F43" s="590"/>
      <c r="G43" s="590"/>
      <c r="J43" s="590" t="s">
        <v>194</v>
      </c>
      <c r="K43" s="590"/>
      <c r="L43" s="590"/>
      <c r="M43" s="590"/>
      <c r="N43" s="590"/>
      <c r="O43" s="590"/>
      <c r="R43" s="590" t="s">
        <v>194</v>
      </c>
      <c r="S43" s="590"/>
      <c r="T43" s="590"/>
      <c r="U43" s="590"/>
      <c r="V43" s="590"/>
      <c r="W43" s="590"/>
      <c r="Z43" s="590" t="s">
        <v>194</v>
      </c>
      <c r="AA43" s="590"/>
      <c r="AB43" s="590"/>
      <c r="AC43" s="590"/>
      <c r="AD43" s="590"/>
      <c r="AE43" s="590"/>
    </row>
    <row r="44" spans="2:34" ht="47.25" customHeight="1" thickBot="1" x14ac:dyDescent="0.3">
      <c r="B44" s="310" t="s">
        <v>187</v>
      </c>
      <c r="C44" s="591" t="s">
        <v>195</v>
      </c>
      <c r="D44" s="592"/>
      <c r="E44" s="592"/>
      <c r="F44" s="592"/>
      <c r="G44" s="593"/>
      <c r="J44" s="372" t="s">
        <v>186</v>
      </c>
      <c r="K44" s="587" t="s">
        <v>196</v>
      </c>
      <c r="L44" s="588"/>
      <c r="M44" s="588"/>
      <c r="N44" s="588"/>
      <c r="O44" s="589"/>
      <c r="R44" s="372" t="s">
        <v>186</v>
      </c>
      <c r="S44" s="587" t="s">
        <v>203</v>
      </c>
      <c r="T44" s="588"/>
      <c r="U44" s="588"/>
      <c r="V44" s="588"/>
      <c r="W44" s="589"/>
      <c r="Z44" s="432"/>
      <c r="AA44" s="587" t="s">
        <v>212</v>
      </c>
      <c r="AB44" s="588"/>
      <c r="AC44" s="588"/>
      <c r="AD44" s="588"/>
      <c r="AE44" s="589"/>
    </row>
    <row r="45" spans="2:34" ht="59.25" customHeight="1" thickBot="1" x14ac:dyDescent="0.3">
      <c r="B45" s="326" t="s">
        <v>186</v>
      </c>
      <c r="C45" s="587" t="s">
        <v>196</v>
      </c>
      <c r="D45" s="588"/>
      <c r="E45" s="588"/>
      <c r="F45" s="588"/>
      <c r="G45" s="589"/>
      <c r="J45" s="310" t="s">
        <v>187</v>
      </c>
      <c r="K45" s="591" t="s">
        <v>195</v>
      </c>
      <c r="L45" s="592"/>
      <c r="M45" s="592"/>
      <c r="N45" s="592"/>
      <c r="O45" s="593"/>
      <c r="R45" s="310" t="s">
        <v>187</v>
      </c>
      <c r="S45" s="591" t="s">
        <v>195</v>
      </c>
      <c r="T45" s="592"/>
      <c r="U45" s="592"/>
      <c r="V45" s="592"/>
      <c r="W45" s="593"/>
      <c r="Z45" s="310" t="s">
        <v>187</v>
      </c>
      <c r="AA45" s="591" t="s">
        <v>195</v>
      </c>
      <c r="AB45" s="592"/>
      <c r="AC45" s="592"/>
      <c r="AD45" s="592"/>
      <c r="AE45" s="593"/>
    </row>
    <row r="46" spans="2:34" ht="18" customHeight="1" thickBot="1" x14ac:dyDescent="0.3">
      <c r="B46" s="329" t="s">
        <v>192</v>
      </c>
      <c r="C46" s="587" t="s">
        <v>197</v>
      </c>
      <c r="D46" s="588"/>
      <c r="E46" s="588"/>
      <c r="F46" s="588"/>
      <c r="G46" s="589"/>
      <c r="J46" s="386"/>
      <c r="K46" s="594" t="s">
        <v>209</v>
      </c>
      <c r="L46" s="595"/>
      <c r="M46" s="595"/>
      <c r="N46" s="595"/>
      <c r="O46" s="596"/>
      <c r="R46" s="368"/>
      <c r="S46" s="587" t="s">
        <v>205</v>
      </c>
      <c r="T46" s="588"/>
      <c r="U46" s="588"/>
      <c r="V46" s="588"/>
      <c r="W46" s="589"/>
      <c r="Z46" s="389"/>
      <c r="AA46" s="594" t="s">
        <v>213</v>
      </c>
      <c r="AB46" s="595"/>
      <c r="AC46" s="595"/>
      <c r="AD46" s="595"/>
      <c r="AE46" s="596"/>
    </row>
    <row r="47" spans="2:34" ht="15.75" customHeight="1" thickBot="1" x14ac:dyDescent="0.3">
      <c r="J47" s="371" t="s">
        <v>192</v>
      </c>
      <c r="K47" s="587" t="s">
        <v>222</v>
      </c>
      <c r="L47" s="588"/>
      <c r="M47" s="588"/>
      <c r="N47" s="588"/>
      <c r="O47" s="589"/>
      <c r="R47" s="371" t="s">
        <v>192</v>
      </c>
      <c r="S47" s="587" t="s">
        <v>222</v>
      </c>
      <c r="T47" s="588"/>
      <c r="U47" s="588"/>
      <c r="V47" s="588"/>
      <c r="W47" s="589"/>
      <c r="Z47" s="419"/>
      <c r="AA47" s="587" t="s">
        <v>214</v>
      </c>
      <c r="AB47" s="588"/>
      <c r="AC47" s="588"/>
      <c r="AD47" s="588"/>
      <c r="AE47" s="589"/>
    </row>
    <row r="48" spans="2:34" ht="31.5" customHeight="1" thickBot="1" x14ac:dyDescent="0.3">
      <c r="J48" s="369" t="s">
        <v>202</v>
      </c>
      <c r="K48" s="632" t="s">
        <v>223</v>
      </c>
      <c r="L48" s="633"/>
      <c r="M48" s="633"/>
      <c r="N48" s="633"/>
      <c r="O48" s="634"/>
      <c r="R48" s="369" t="s">
        <v>202</v>
      </c>
      <c r="S48" s="632" t="s">
        <v>223</v>
      </c>
      <c r="T48" s="633"/>
      <c r="U48" s="633"/>
      <c r="V48" s="633"/>
      <c r="W48" s="634"/>
      <c r="Z48" s="391"/>
      <c r="AA48" s="587" t="s">
        <v>215</v>
      </c>
      <c r="AB48" s="588"/>
      <c r="AC48" s="588"/>
      <c r="AD48" s="588"/>
      <c r="AE48" s="589"/>
    </row>
    <row r="49" spans="26:31" ht="31.5" customHeight="1" thickBot="1" x14ac:dyDescent="0.3">
      <c r="Z49" s="392"/>
      <c r="AA49" s="587" t="s">
        <v>216</v>
      </c>
      <c r="AB49" s="588"/>
      <c r="AC49" s="588"/>
      <c r="AD49" s="588"/>
      <c r="AE49" s="589"/>
    </row>
    <row r="62" spans="26:31" ht="15.75" hidden="1" customHeight="1" thickBot="1" x14ac:dyDescent="0.3"/>
  </sheetData>
  <mergeCells count="85">
    <mergeCell ref="AA35:AE35"/>
    <mergeCell ref="AA2:AE2"/>
    <mergeCell ref="AB3:AE3"/>
    <mergeCell ref="AB4:AE4"/>
    <mergeCell ref="AA5:AB6"/>
    <mergeCell ref="AA17:AE17"/>
    <mergeCell ref="K2:O2"/>
    <mergeCell ref="C2:G2"/>
    <mergeCell ref="S2:W2"/>
    <mergeCell ref="AA21:AE21"/>
    <mergeCell ref="AA32:AE32"/>
    <mergeCell ref="L3:O3"/>
    <mergeCell ref="D3:G3"/>
    <mergeCell ref="L4:O4"/>
    <mergeCell ref="D4:G4"/>
    <mergeCell ref="T3:W3"/>
    <mergeCell ref="T4:W4"/>
    <mergeCell ref="S21:W21"/>
    <mergeCell ref="S32:W32"/>
    <mergeCell ref="R30:R31"/>
    <mergeCell ref="R32:R34"/>
    <mergeCell ref="K5:L6"/>
    <mergeCell ref="K35:O35"/>
    <mergeCell ref="C35:G35"/>
    <mergeCell ref="K21:O21"/>
    <mergeCell ref="C21:G21"/>
    <mergeCell ref="K32:O32"/>
    <mergeCell ref="C32:G32"/>
    <mergeCell ref="K17:O17"/>
    <mergeCell ref="C17:G17"/>
    <mergeCell ref="S5:T6"/>
    <mergeCell ref="S17:W17"/>
    <mergeCell ref="R3:R16"/>
    <mergeCell ref="R17:R19"/>
    <mergeCell ref="B35:B39"/>
    <mergeCell ref="B40:B41"/>
    <mergeCell ref="J3:J16"/>
    <mergeCell ref="J17:J19"/>
    <mergeCell ref="J21:J29"/>
    <mergeCell ref="J30:J31"/>
    <mergeCell ref="J32:J34"/>
    <mergeCell ref="J35:J39"/>
    <mergeCell ref="J40:J41"/>
    <mergeCell ref="B3:B16"/>
    <mergeCell ref="B17:B19"/>
    <mergeCell ref="B21:B29"/>
    <mergeCell ref="B30:B31"/>
    <mergeCell ref="B32:B34"/>
    <mergeCell ref="C5:D6"/>
    <mergeCell ref="R35:R39"/>
    <mergeCell ref="R40:R41"/>
    <mergeCell ref="Z3:Z16"/>
    <mergeCell ref="Z17:Z19"/>
    <mergeCell ref="Z21:Z29"/>
    <mergeCell ref="Z30:Z31"/>
    <mergeCell ref="Z32:Z34"/>
    <mergeCell ref="Z35:Z39"/>
    <mergeCell ref="Z40:Z41"/>
    <mergeCell ref="S35:W35"/>
    <mergeCell ref="R21:R29"/>
    <mergeCell ref="B42:G42"/>
    <mergeCell ref="B43:G43"/>
    <mergeCell ref="C44:G44"/>
    <mergeCell ref="C45:G45"/>
    <mergeCell ref="C46:G46"/>
    <mergeCell ref="R42:W42"/>
    <mergeCell ref="R43:W43"/>
    <mergeCell ref="S44:W44"/>
    <mergeCell ref="S45:W45"/>
    <mergeCell ref="S46:W46"/>
    <mergeCell ref="S47:W47"/>
    <mergeCell ref="S48:W48"/>
    <mergeCell ref="J43:O43"/>
    <mergeCell ref="K44:O44"/>
    <mergeCell ref="K45:O45"/>
    <mergeCell ref="K46:O46"/>
    <mergeCell ref="K47:O47"/>
    <mergeCell ref="K48:O48"/>
    <mergeCell ref="AA48:AE48"/>
    <mergeCell ref="AA49:AE49"/>
    <mergeCell ref="Z43:AE43"/>
    <mergeCell ref="AA44:AE44"/>
    <mergeCell ref="AA45:AE45"/>
    <mergeCell ref="AA46:AE46"/>
    <mergeCell ref="AA47:AE47"/>
  </mergeCells>
  <pageMargins left="0.7" right="0.7" top="0.75" bottom="0.75" header="0.3" footer="0.3"/>
  <pageSetup orientation="portrait" horizontalDpi="4294967295" verticalDpi="4294967295"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Explicación Tablas</vt:lpstr>
      <vt:lpstr>Caso IAIVA 2210</vt:lpstr>
      <vt:lpstr>Explicación Tablas ejemp (2)</vt:lpstr>
      <vt:lpstr>EJEMPLO AIVA 580</vt:lpstr>
      <vt:lpstr>EJEMPLO AIVA 480</vt:lpstr>
      <vt:lpstr>EJEMPLO AIVA 240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PATRICIO</dc:creator>
  <cp:lastModifiedBy>Ninike Ariel Celi Atala</cp:lastModifiedBy>
  <cp:lastPrinted>2019-01-25T16:26:48Z</cp:lastPrinted>
  <dcterms:created xsi:type="dcterms:W3CDTF">2018-11-20T17:50:48Z</dcterms:created>
  <dcterms:modified xsi:type="dcterms:W3CDTF">2019-02-25T16:40:18Z</dcterms:modified>
</cp:coreProperties>
</file>