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650" firstSheet="1" activeTab="1"/>
  </bookViews>
  <sheets>
    <sheet name="Apoyo formula venta edifica" sheetId="4" r:id="rId1"/>
    <sheet name="Hoja2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7" l="1"/>
  <c r="P19" i="7"/>
  <c r="K19" i="7"/>
  <c r="F19" i="7"/>
  <c r="A19" i="7"/>
  <c r="V27" i="7" l="1"/>
  <c r="V29" i="7" s="1"/>
  <c r="U34" i="7" s="1"/>
  <c r="U38" i="7" s="1"/>
  <c r="Q27" i="7"/>
  <c r="Q29" i="7" s="1"/>
  <c r="P34" i="7" s="1"/>
  <c r="P38" i="7" s="1"/>
  <c r="L27" i="7"/>
  <c r="L29" i="7" s="1"/>
  <c r="K34" i="7" s="1"/>
  <c r="K38" i="7" s="1"/>
  <c r="G27" i="7"/>
  <c r="G29" i="7" s="1"/>
  <c r="F34" i="7" s="1"/>
  <c r="F38" i="7" s="1"/>
  <c r="C27" i="7"/>
  <c r="C29" i="7" s="1"/>
  <c r="B34" i="7" s="1"/>
  <c r="B38" i="7" s="1"/>
  <c r="B27" i="7"/>
  <c r="B29" i="7" s="1"/>
  <c r="A34" i="7" s="1"/>
  <c r="A38" i="7" s="1"/>
  <c r="A45" i="7" s="1"/>
  <c r="W26" i="7"/>
  <c r="R26" i="7"/>
  <c r="R27" i="7" s="1"/>
  <c r="M26" i="7"/>
  <c r="H26" i="7"/>
  <c r="H27" i="7" s="1"/>
  <c r="AA25" i="7"/>
  <c r="AA24" i="7"/>
  <c r="AA23" i="7"/>
  <c r="AA21" i="7"/>
  <c r="V5" i="7"/>
  <c r="V8" i="7" s="1"/>
  <c r="U13" i="7" s="1"/>
  <c r="U17" i="7" s="1"/>
  <c r="W4" i="7"/>
  <c r="W5" i="7" s="1"/>
  <c r="R4" i="7"/>
  <c r="R5" i="7" s="1"/>
  <c r="R8" i="7" s="1"/>
  <c r="Q13" i="7" s="1"/>
  <c r="Q17" i="7" s="1"/>
  <c r="M4" i="7"/>
  <c r="H4" i="7"/>
  <c r="Q5" i="7"/>
  <c r="Q8" i="7" s="1"/>
  <c r="P13" i="7" s="1"/>
  <c r="P17" i="7" s="1"/>
  <c r="A42" i="7" l="1"/>
  <c r="A43" i="7"/>
  <c r="A44" i="7"/>
  <c r="B44" i="7"/>
  <c r="B42" i="7"/>
  <c r="B45" i="7"/>
  <c r="B43" i="7"/>
  <c r="K44" i="7"/>
  <c r="K42" i="7"/>
  <c r="K45" i="7"/>
  <c r="K43" i="7"/>
  <c r="K51" i="7" s="1"/>
  <c r="K52" i="7" s="1"/>
  <c r="U45" i="7"/>
  <c r="U43" i="7"/>
  <c r="U51" i="7" s="1"/>
  <c r="U52" i="7" s="1"/>
  <c r="U44" i="7"/>
  <c r="U42" i="7"/>
  <c r="F44" i="7"/>
  <c r="F42" i="7"/>
  <c r="F45" i="7"/>
  <c r="F43" i="7"/>
  <c r="F51" i="7" s="1"/>
  <c r="F52" i="7" s="1"/>
  <c r="P44" i="7"/>
  <c r="P42" i="7"/>
  <c r="P45" i="7"/>
  <c r="P43" i="7"/>
  <c r="P51" i="7" s="1"/>
  <c r="P52" i="7" s="1"/>
  <c r="M27" i="7"/>
  <c r="M29" i="7" s="1"/>
  <c r="L34" i="7" s="1"/>
  <c r="L38" i="7" s="1"/>
  <c r="W27" i="7"/>
  <c r="W29" i="7" s="1"/>
  <c r="V34" i="7" s="1"/>
  <c r="V38" i="7" s="1"/>
  <c r="H29" i="7"/>
  <c r="G34" i="7" s="1"/>
  <c r="G38" i="7" s="1"/>
  <c r="R29" i="7"/>
  <c r="Q34" i="7" s="1"/>
  <c r="Q38" i="7" s="1"/>
  <c r="W8" i="7"/>
  <c r="V13" i="7" s="1"/>
  <c r="V17" i="7" s="1"/>
  <c r="L5" i="7"/>
  <c r="L8" i="7" s="1"/>
  <c r="K13" i="7" s="1"/>
  <c r="K17" i="7" s="1"/>
  <c r="M5" i="7"/>
  <c r="H5" i="7"/>
  <c r="H8" i="7" s="1"/>
  <c r="G13" i="7" s="1"/>
  <c r="G5" i="7"/>
  <c r="G8" i="7" s="1"/>
  <c r="F13" i="7" s="1"/>
  <c r="C5" i="7"/>
  <c r="C8" i="7" s="1"/>
  <c r="B13" i="7" s="1"/>
  <c r="B17" i="7" s="1"/>
  <c r="B5" i="7"/>
  <c r="B8" i="7" s="1"/>
  <c r="A13" i="7" s="1"/>
  <c r="A17" i="7" s="1"/>
  <c r="L45" i="7" l="1"/>
  <c r="L43" i="7"/>
  <c r="L44" i="7"/>
  <c r="L42" i="7"/>
  <c r="Q44" i="7"/>
  <c r="Q42" i="7"/>
  <c r="Q45" i="7"/>
  <c r="Q43" i="7"/>
  <c r="G44" i="7"/>
  <c r="G42" i="7"/>
  <c r="G45" i="7"/>
  <c r="G43" i="7"/>
  <c r="V45" i="7"/>
  <c r="V43" i="7"/>
  <c r="V44" i="7"/>
  <c r="V42" i="7"/>
  <c r="M8" i="7"/>
  <c r="L13" i="7" s="1"/>
  <c r="L17" i="7" s="1"/>
  <c r="F17" i="7"/>
  <c r="G17" i="7"/>
  <c r="D165" i="4" l="1"/>
  <c r="C165" i="4"/>
  <c r="D157" i="4"/>
  <c r="D156" i="4"/>
  <c r="D155" i="4"/>
  <c r="F150" i="4"/>
  <c r="AC148" i="4"/>
  <c r="Y148" i="4"/>
  <c r="N148" i="4"/>
  <c r="J148" i="4"/>
  <c r="K148" i="4"/>
  <c r="H148" i="4"/>
  <c r="AC147" i="4"/>
  <c r="Y147" i="4"/>
  <c r="N147" i="4"/>
  <c r="J147" i="4"/>
  <c r="K147" i="4"/>
  <c r="H147" i="4"/>
  <c r="AC146" i="4"/>
  <c r="Y146" i="4"/>
  <c r="N146" i="4"/>
  <c r="J146" i="4"/>
  <c r="K146" i="4" s="1"/>
  <c r="M146" i="4" s="1"/>
  <c r="E146" i="4" s="1"/>
  <c r="H146" i="4"/>
  <c r="T144" i="4" s="1"/>
  <c r="AC145" i="4"/>
  <c r="Y145" i="4"/>
  <c r="N145" i="4"/>
  <c r="J145" i="4"/>
  <c r="K145" i="4" s="1"/>
  <c r="M145" i="4" s="1"/>
  <c r="E145" i="4" s="1"/>
  <c r="H145" i="4"/>
  <c r="AC144" i="4"/>
  <c r="Y144" i="4"/>
  <c r="S144" i="4"/>
  <c r="N144" i="4"/>
  <c r="J144" i="4"/>
  <c r="K144" i="4" s="1"/>
  <c r="H144" i="4"/>
  <c r="M143" i="4"/>
  <c r="M142" i="4"/>
  <c r="E142" i="4" s="1"/>
  <c r="J142" i="4"/>
  <c r="H142" i="4"/>
  <c r="M141" i="4"/>
  <c r="E141" i="4" s="1"/>
  <c r="J141" i="4"/>
  <c r="H141" i="4"/>
  <c r="M140" i="4"/>
  <c r="E140" i="4" s="1"/>
  <c r="J140" i="4"/>
  <c r="H140" i="4"/>
  <c r="M139" i="4"/>
  <c r="E139" i="4" s="1"/>
  <c r="J139" i="4"/>
  <c r="H139" i="4"/>
  <c r="M138" i="4"/>
  <c r="E138" i="4" s="1"/>
  <c r="J138" i="4"/>
  <c r="H138" i="4"/>
  <c r="M137" i="4"/>
  <c r="E137" i="4" s="1"/>
  <c r="J137" i="4"/>
  <c r="H137" i="4"/>
  <c r="M136" i="4"/>
  <c r="E136" i="4" s="1"/>
  <c r="J136" i="4"/>
  <c r="H136" i="4"/>
  <c r="M135" i="4"/>
  <c r="E135" i="4" s="1"/>
  <c r="J135" i="4"/>
  <c r="H135" i="4"/>
  <c r="M134" i="4"/>
  <c r="E134" i="4" s="1"/>
  <c r="J134" i="4"/>
  <c r="H134" i="4"/>
  <c r="M133" i="4"/>
  <c r="E133" i="4" s="1"/>
  <c r="J133" i="4"/>
  <c r="H133" i="4"/>
  <c r="M132" i="4"/>
  <c r="E132" i="4" s="1"/>
  <c r="J132" i="4"/>
  <c r="H132" i="4"/>
  <c r="M131" i="4"/>
  <c r="E131" i="4" s="1"/>
  <c r="J131" i="4"/>
  <c r="H131" i="4"/>
  <c r="M130" i="4"/>
  <c r="E130" i="4" s="1"/>
  <c r="J130" i="4"/>
  <c r="H130" i="4"/>
  <c r="M129" i="4"/>
  <c r="E129" i="4" s="1"/>
  <c r="J129" i="4"/>
  <c r="H129" i="4"/>
  <c r="M128" i="4"/>
  <c r="E128" i="4" s="1"/>
  <c r="J128" i="4"/>
  <c r="H128" i="4"/>
  <c r="M127" i="4"/>
  <c r="E127" i="4" s="1"/>
  <c r="J127" i="4"/>
  <c r="H127" i="4"/>
  <c r="M126" i="4"/>
  <c r="E126" i="4" s="1"/>
  <c r="J126" i="4"/>
  <c r="H126" i="4"/>
  <c r="M125" i="4"/>
  <c r="E125" i="4"/>
  <c r="J125" i="4"/>
  <c r="H125" i="4"/>
  <c r="M124" i="4"/>
  <c r="E124" i="4"/>
  <c r="J124" i="4"/>
  <c r="H124" i="4"/>
  <c r="U123" i="4"/>
  <c r="S123" i="4"/>
  <c r="M123" i="4"/>
  <c r="E123" i="4" s="1"/>
  <c r="J123" i="4"/>
  <c r="H123" i="4"/>
  <c r="M122" i="4"/>
  <c r="E122" i="4" s="1"/>
  <c r="M121" i="4"/>
  <c r="E121" i="4" s="1"/>
  <c r="J121" i="4"/>
  <c r="H121" i="4"/>
  <c r="M120" i="4"/>
  <c r="E120" i="4" s="1"/>
  <c r="J120" i="4"/>
  <c r="H120" i="4"/>
  <c r="M119" i="4"/>
  <c r="E119" i="4" s="1"/>
  <c r="J119" i="4"/>
  <c r="H119" i="4"/>
  <c r="M118" i="4"/>
  <c r="E118" i="4" s="1"/>
  <c r="J118" i="4"/>
  <c r="H118" i="4"/>
  <c r="M117" i="4"/>
  <c r="E117" i="4" s="1"/>
  <c r="J117" i="4"/>
  <c r="H117" i="4"/>
  <c r="M116" i="4"/>
  <c r="E116" i="4" s="1"/>
  <c r="J116" i="4"/>
  <c r="H116" i="4"/>
  <c r="M115" i="4"/>
  <c r="E115" i="4" s="1"/>
  <c r="J115" i="4"/>
  <c r="H115" i="4"/>
  <c r="M114" i="4"/>
  <c r="E114" i="4" s="1"/>
  <c r="J114" i="4"/>
  <c r="H114" i="4"/>
  <c r="M113" i="4"/>
  <c r="E113" i="4" s="1"/>
  <c r="J113" i="4"/>
  <c r="H113" i="4"/>
  <c r="M112" i="4"/>
  <c r="E112" i="4" s="1"/>
  <c r="J112" i="4"/>
  <c r="H112" i="4"/>
  <c r="M111" i="4"/>
  <c r="E111" i="4" s="1"/>
  <c r="J111" i="4"/>
  <c r="H111" i="4"/>
  <c r="M110" i="4"/>
  <c r="E110" i="4" s="1"/>
  <c r="J110" i="4"/>
  <c r="H110" i="4"/>
  <c r="M109" i="4"/>
  <c r="E109" i="4" s="1"/>
  <c r="J109" i="4"/>
  <c r="H109" i="4"/>
  <c r="M108" i="4"/>
  <c r="E108" i="4" s="1"/>
  <c r="J108" i="4"/>
  <c r="H108" i="4"/>
  <c r="M107" i="4"/>
  <c r="E107" i="4" s="1"/>
  <c r="J107" i="4"/>
  <c r="H107" i="4"/>
  <c r="M106" i="4"/>
  <c r="E106" i="4" s="1"/>
  <c r="J106" i="4"/>
  <c r="H106" i="4"/>
  <c r="M105" i="4"/>
  <c r="E105" i="4" s="1"/>
  <c r="J105" i="4"/>
  <c r="H105" i="4"/>
  <c r="M104" i="4"/>
  <c r="E104" i="4" s="1"/>
  <c r="J104" i="4"/>
  <c r="H104" i="4"/>
  <c r="M103" i="4"/>
  <c r="E103" i="4" s="1"/>
  <c r="J103" i="4"/>
  <c r="H103" i="4"/>
  <c r="M102" i="4"/>
  <c r="E102" i="4" s="1"/>
  <c r="J102" i="4"/>
  <c r="H102" i="4"/>
  <c r="M101" i="4"/>
  <c r="E101" i="4" s="1"/>
  <c r="J101" i="4"/>
  <c r="H101" i="4"/>
  <c r="M100" i="4"/>
  <c r="E100" i="4" s="1"/>
  <c r="J100" i="4"/>
  <c r="H100" i="4"/>
  <c r="M99" i="4"/>
  <c r="E99" i="4" s="1"/>
  <c r="J99" i="4"/>
  <c r="H99" i="4"/>
  <c r="M98" i="4"/>
  <c r="E98" i="4" s="1"/>
  <c r="J98" i="4"/>
  <c r="H98" i="4"/>
  <c r="M97" i="4"/>
  <c r="E97" i="4" s="1"/>
  <c r="J97" i="4"/>
  <c r="H97" i="4"/>
  <c r="M96" i="4"/>
  <c r="E96" i="4" s="1"/>
  <c r="J96" i="4"/>
  <c r="H96" i="4"/>
  <c r="M95" i="4"/>
  <c r="E95" i="4" s="1"/>
  <c r="J95" i="4"/>
  <c r="H95" i="4"/>
  <c r="M94" i="4"/>
  <c r="E94" i="4" s="1"/>
  <c r="J94" i="4"/>
  <c r="H94" i="4"/>
  <c r="M93" i="4"/>
  <c r="E93" i="4" s="1"/>
  <c r="J93" i="4"/>
  <c r="H93" i="4"/>
  <c r="M92" i="4"/>
  <c r="E92" i="4" s="1"/>
  <c r="J92" i="4"/>
  <c r="H92" i="4"/>
  <c r="M91" i="4"/>
  <c r="E91" i="4" s="1"/>
  <c r="J91" i="4"/>
  <c r="H91" i="4"/>
  <c r="M90" i="4"/>
  <c r="E90" i="4" s="1"/>
  <c r="J90" i="4"/>
  <c r="H90" i="4"/>
  <c r="M89" i="4"/>
  <c r="E89" i="4" s="1"/>
  <c r="J89" i="4"/>
  <c r="H89" i="4"/>
  <c r="M88" i="4"/>
  <c r="E88" i="4" s="1"/>
  <c r="J88" i="4"/>
  <c r="H88" i="4"/>
  <c r="M87" i="4"/>
  <c r="E87" i="4" s="1"/>
  <c r="J87" i="4"/>
  <c r="H87" i="4"/>
  <c r="M86" i="4"/>
  <c r="E86" i="4" s="1"/>
  <c r="J86" i="4"/>
  <c r="H86" i="4"/>
  <c r="M85" i="4"/>
  <c r="E85" i="4" s="1"/>
  <c r="J85" i="4"/>
  <c r="H85" i="4"/>
  <c r="M84" i="4"/>
  <c r="E84" i="4" s="1"/>
  <c r="J84" i="4"/>
  <c r="H84" i="4"/>
  <c r="M83" i="4"/>
  <c r="E83" i="4" s="1"/>
  <c r="J83" i="4"/>
  <c r="H83" i="4"/>
  <c r="M82" i="4"/>
  <c r="E82" i="4" s="1"/>
  <c r="J82" i="4"/>
  <c r="H82" i="4"/>
  <c r="M81" i="4"/>
  <c r="E81" i="4" s="1"/>
  <c r="J81" i="4"/>
  <c r="H81" i="4"/>
  <c r="U80" i="4"/>
  <c r="S80" i="4"/>
  <c r="M80" i="4"/>
  <c r="E80" i="4" s="1"/>
  <c r="J80" i="4"/>
  <c r="H80" i="4"/>
  <c r="M79" i="4"/>
  <c r="AC78" i="4"/>
  <c r="Y78" i="4"/>
  <c r="Z78" i="4" s="1"/>
  <c r="AA78" i="4" s="1"/>
  <c r="AD78" i="4" s="1"/>
  <c r="AE78" i="4" s="1"/>
  <c r="AG78" i="4" s="1"/>
  <c r="N78" i="4"/>
  <c r="J78" i="4"/>
  <c r="K78" i="4" s="1"/>
  <c r="H78" i="4"/>
  <c r="AC77" i="4"/>
  <c r="Y77" i="4"/>
  <c r="N77" i="4"/>
  <c r="O77" i="4" s="1"/>
  <c r="P77" i="4"/>
  <c r="J77" i="4"/>
  <c r="K77" i="4" s="1"/>
  <c r="H77" i="4"/>
  <c r="AC76" i="4"/>
  <c r="Y76" i="4"/>
  <c r="Z76" i="4" s="1"/>
  <c r="AA76" i="4" s="1"/>
  <c r="AD76" i="4" s="1"/>
  <c r="AE76" i="4" s="1"/>
  <c r="AG76" i="4" s="1"/>
  <c r="N76" i="4"/>
  <c r="O76" i="4" s="1"/>
  <c r="P76" i="4"/>
  <c r="J76" i="4"/>
  <c r="K76" i="4"/>
  <c r="M76" i="4" s="1"/>
  <c r="H76" i="4"/>
  <c r="AC75" i="4"/>
  <c r="Y75" i="4"/>
  <c r="N75" i="4"/>
  <c r="J75" i="4"/>
  <c r="K75" i="4"/>
  <c r="H75" i="4"/>
  <c r="AC74" i="4"/>
  <c r="Y74" i="4"/>
  <c r="S74" i="4"/>
  <c r="N74" i="4"/>
  <c r="O74" i="4"/>
  <c r="Q74" i="4" s="1"/>
  <c r="J74" i="4"/>
  <c r="K74" i="4" s="1"/>
  <c r="H74" i="4"/>
  <c r="M73" i="4"/>
  <c r="M72" i="4"/>
  <c r="E72" i="4" s="1"/>
  <c r="J72" i="4"/>
  <c r="H72" i="4"/>
  <c r="M71" i="4"/>
  <c r="E71" i="4" s="1"/>
  <c r="J71" i="4"/>
  <c r="H71" i="4"/>
  <c r="M70" i="4"/>
  <c r="E70" i="4" s="1"/>
  <c r="J70" i="4"/>
  <c r="H70" i="4"/>
  <c r="M69" i="4"/>
  <c r="E69" i="4" s="1"/>
  <c r="J69" i="4"/>
  <c r="H69" i="4"/>
  <c r="M68" i="4"/>
  <c r="E68" i="4" s="1"/>
  <c r="J68" i="4"/>
  <c r="H68" i="4"/>
  <c r="M67" i="4"/>
  <c r="E67" i="4" s="1"/>
  <c r="J67" i="4"/>
  <c r="H67" i="4"/>
  <c r="M66" i="4"/>
  <c r="E66" i="4" s="1"/>
  <c r="J66" i="4"/>
  <c r="H66" i="4"/>
  <c r="M65" i="4"/>
  <c r="E65" i="4" s="1"/>
  <c r="J65" i="4"/>
  <c r="H65" i="4"/>
  <c r="M64" i="4"/>
  <c r="E64" i="4" s="1"/>
  <c r="J64" i="4"/>
  <c r="H64" i="4"/>
  <c r="M63" i="4"/>
  <c r="E63" i="4" s="1"/>
  <c r="J63" i="4"/>
  <c r="H63" i="4"/>
  <c r="M62" i="4"/>
  <c r="E62" i="4" s="1"/>
  <c r="J62" i="4"/>
  <c r="H62" i="4"/>
  <c r="M61" i="4"/>
  <c r="E61" i="4" s="1"/>
  <c r="J61" i="4"/>
  <c r="H61" i="4"/>
  <c r="M60" i="4"/>
  <c r="E60" i="4" s="1"/>
  <c r="J60" i="4"/>
  <c r="H60" i="4"/>
  <c r="M59" i="4"/>
  <c r="E59" i="4" s="1"/>
  <c r="J59" i="4"/>
  <c r="H59" i="4"/>
  <c r="M58" i="4"/>
  <c r="E58" i="4" s="1"/>
  <c r="J58" i="4"/>
  <c r="H58" i="4"/>
  <c r="M57" i="4"/>
  <c r="E57" i="4" s="1"/>
  <c r="J57" i="4"/>
  <c r="H57" i="4"/>
  <c r="M56" i="4"/>
  <c r="E56" i="4" s="1"/>
  <c r="J56" i="4"/>
  <c r="H56" i="4"/>
  <c r="M55" i="4"/>
  <c r="E55" i="4" s="1"/>
  <c r="J55" i="4"/>
  <c r="H55" i="4"/>
  <c r="M54" i="4"/>
  <c r="E54" i="4" s="1"/>
  <c r="J54" i="4"/>
  <c r="H54" i="4"/>
  <c r="M53" i="4"/>
  <c r="E53" i="4" s="1"/>
  <c r="J53" i="4"/>
  <c r="H53" i="4"/>
  <c r="M52" i="4"/>
  <c r="E52" i="4" s="1"/>
  <c r="J52" i="4"/>
  <c r="H52" i="4"/>
  <c r="M51" i="4"/>
  <c r="E51" i="4" s="1"/>
  <c r="J51" i="4"/>
  <c r="H51" i="4"/>
  <c r="M50" i="4"/>
  <c r="E50" i="4" s="1"/>
  <c r="J50" i="4"/>
  <c r="H50" i="4"/>
  <c r="M49" i="4"/>
  <c r="E49" i="4" s="1"/>
  <c r="J49" i="4"/>
  <c r="H49" i="4"/>
  <c r="M48" i="4"/>
  <c r="E48" i="4" s="1"/>
  <c r="J48" i="4"/>
  <c r="H48" i="4"/>
  <c r="M47" i="4"/>
  <c r="E47" i="4" s="1"/>
  <c r="J47" i="4"/>
  <c r="H47" i="4"/>
  <c r="M46" i="4"/>
  <c r="E46" i="4" s="1"/>
  <c r="J46" i="4"/>
  <c r="H46" i="4"/>
  <c r="U45" i="4"/>
  <c r="S45" i="4"/>
  <c r="M45" i="4"/>
  <c r="J45" i="4"/>
  <c r="H45" i="4"/>
  <c r="M44" i="4"/>
  <c r="AC43" i="4"/>
  <c r="Y43" i="4"/>
  <c r="N43" i="4"/>
  <c r="K43" i="4"/>
  <c r="J43" i="4"/>
  <c r="H43" i="4"/>
  <c r="AC42" i="4"/>
  <c r="Y42" i="4"/>
  <c r="N42" i="4"/>
  <c r="K42" i="4"/>
  <c r="U40" i="4" s="1"/>
  <c r="J42" i="4"/>
  <c r="H42" i="4"/>
  <c r="AC41" i="4"/>
  <c r="Y41" i="4"/>
  <c r="N41" i="4"/>
  <c r="K41" i="4"/>
  <c r="M41" i="4"/>
  <c r="V40" i="4" s="1"/>
  <c r="Z41" i="4"/>
  <c r="AA41" i="4" s="1"/>
  <c r="AD41" i="4" s="1"/>
  <c r="AE41" i="4" s="1"/>
  <c r="AG41" i="4" s="1"/>
  <c r="J41" i="4"/>
  <c r="H41" i="4"/>
  <c r="AC40" i="4"/>
  <c r="Y40" i="4"/>
  <c r="H40" i="4"/>
  <c r="S40" i="4"/>
  <c r="N40" i="4"/>
  <c r="K40" i="4"/>
  <c r="M40" i="4" s="1"/>
  <c r="J40" i="4"/>
  <c r="M39" i="4"/>
  <c r="AC38" i="4"/>
  <c r="Y38" i="4"/>
  <c r="S38" i="4"/>
  <c r="N38" i="4"/>
  <c r="J38" i="4"/>
  <c r="K38" i="4" s="1"/>
  <c r="Z38" i="4" s="1"/>
  <c r="AA38" i="4" s="1"/>
  <c r="AD38" i="4" s="1"/>
  <c r="AE38" i="4" s="1"/>
  <c r="AG38" i="4" s="1"/>
  <c r="H38" i="4"/>
  <c r="T38" i="4" s="1"/>
  <c r="M37" i="4"/>
  <c r="AC36" i="4"/>
  <c r="Y36" i="4"/>
  <c r="N36" i="4"/>
  <c r="O36" i="4"/>
  <c r="P36" i="4" s="1"/>
  <c r="J36" i="4"/>
  <c r="K36" i="4" s="1"/>
  <c r="M36" i="4" s="1"/>
  <c r="E36" i="4" s="1"/>
  <c r="H36" i="4"/>
  <c r="AC35" i="4"/>
  <c r="Y35" i="4"/>
  <c r="S35" i="4"/>
  <c r="N35" i="4"/>
  <c r="O35" i="4" s="1"/>
  <c r="P35" i="4"/>
  <c r="J35" i="4"/>
  <c r="K35" i="4" s="1"/>
  <c r="H35" i="4"/>
  <c r="T35" i="4"/>
  <c r="M34" i="4"/>
  <c r="E34" i="4" s="1"/>
  <c r="AC33" i="4"/>
  <c r="Y33" i="4"/>
  <c r="Z33" i="4" s="1"/>
  <c r="AA33" i="4" s="1"/>
  <c r="AD33" i="4" s="1"/>
  <c r="AE33" i="4" s="1"/>
  <c r="AG33" i="4" s="1"/>
  <c r="N33" i="4"/>
  <c r="O33" i="4" s="1"/>
  <c r="P33" i="4" s="1"/>
  <c r="J33" i="4"/>
  <c r="K33" i="4" s="1"/>
  <c r="M33" i="4"/>
  <c r="E33" i="4" s="1"/>
  <c r="H33" i="4"/>
  <c r="AC32" i="4"/>
  <c r="Y32" i="4"/>
  <c r="S32" i="4"/>
  <c r="N32" i="4"/>
  <c r="O32" i="4" s="1"/>
  <c r="P32" i="4" s="1"/>
  <c r="J32" i="4"/>
  <c r="K32" i="4"/>
  <c r="Z32" i="4" s="1"/>
  <c r="AA32" i="4" s="1"/>
  <c r="H32" i="4"/>
  <c r="T32" i="4" s="1"/>
  <c r="M31" i="4"/>
  <c r="E31" i="4"/>
  <c r="AC30" i="4"/>
  <c r="Y30" i="4"/>
  <c r="Z30" i="4" s="1"/>
  <c r="AA30" i="4" s="1"/>
  <c r="N30" i="4"/>
  <c r="J30" i="4"/>
  <c r="K30" i="4" s="1"/>
  <c r="M30" i="4" s="1"/>
  <c r="H30" i="4"/>
  <c r="AC29" i="4"/>
  <c r="Y29" i="4"/>
  <c r="S29" i="4"/>
  <c r="N29" i="4"/>
  <c r="J29" i="4"/>
  <c r="K29" i="4" s="1"/>
  <c r="M29" i="4" s="1"/>
  <c r="O29" i="4" s="1"/>
  <c r="Q29" i="4" s="1"/>
  <c r="H29" i="4"/>
  <c r="M28" i="4"/>
  <c r="AC27" i="4"/>
  <c r="Y27" i="4"/>
  <c r="J27" i="4"/>
  <c r="K27" i="4"/>
  <c r="M27" i="4" s="1"/>
  <c r="N27" i="4"/>
  <c r="O27" i="4" s="1"/>
  <c r="P27" i="4" s="1"/>
  <c r="H27" i="4"/>
  <c r="AC26" i="4"/>
  <c r="Y26" i="4"/>
  <c r="N26" i="4"/>
  <c r="O26" i="4" s="1"/>
  <c r="P26" i="4" s="1"/>
  <c r="J26" i="4"/>
  <c r="K26" i="4" s="1"/>
  <c r="M26" i="4"/>
  <c r="H26" i="4"/>
  <c r="AC25" i="4"/>
  <c r="Y25" i="4"/>
  <c r="J25" i="4"/>
  <c r="K25" i="4" s="1"/>
  <c r="N25" i="4"/>
  <c r="O25" i="4" s="1"/>
  <c r="Q25" i="4" s="1"/>
  <c r="H25" i="4"/>
  <c r="AC24" i="4"/>
  <c r="Y24" i="4"/>
  <c r="N24" i="4"/>
  <c r="O24" i="4" s="1"/>
  <c r="P24" i="4" s="1"/>
  <c r="J24" i="4"/>
  <c r="K24" i="4"/>
  <c r="M24" i="4" s="1"/>
  <c r="H24" i="4"/>
  <c r="AC23" i="4"/>
  <c r="Y23" i="4"/>
  <c r="S23" i="4"/>
  <c r="N23" i="4"/>
  <c r="O23" i="4" s="1"/>
  <c r="P23" i="4" s="1"/>
  <c r="J23" i="4"/>
  <c r="K23" i="4"/>
  <c r="M23" i="4" s="1"/>
  <c r="H23" i="4"/>
  <c r="T23" i="4" s="1"/>
  <c r="M22" i="4"/>
  <c r="AC21" i="4"/>
  <c r="Y21" i="4"/>
  <c r="N21" i="4"/>
  <c r="O21" i="4" s="1"/>
  <c r="Q21" i="4" s="1"/>
  <c r="J21" i="4"/>
  <c r="K21" i="4" s="1"/>
  <c r="H21" i="4"/>
  <c r="AC20" i="4"/>
  <c r="Y20" i="4"/>
  <c r="J20" i="4"/>
  <c r="K20" i="4" s="1"/>
  <c r="U20" i="4" s="1"/>
  <c r="Z20" i="4"/>
  <c r="AA20" i="4" s="1"/>
  <c r="AD20" i="4" s="1"/>
  <c r="AE20" i="4" s="1"/>
  <c r="AG20" i="4" s="1"/>
  <c r="S20" i="4"/>
  <c r="N20" i="4"/>
  <c r="O20" i="4" s="1"/>
  <c r="Q20" i="4" s="1"/>
  <c r="M20" i="4"/>
  <c r="H20" i="4"/>
  <c r="T20" i="4" s="1"/>
  <c r="M19" i="4"/>
  <c r="AC18" i="4"/>
  <c r="Y18" i="4"/>
  <c r="N18" i="4"/>
  <c r="J18" i="4"/>
  <c r="K18" i="4" s="1"/>
  <c r="M18" i="4" s="1"/>
  <c r="H18" i="4"/>
  <c r="AC17" i="4"/>
  <c r="Y17" i="4"/>
  <c r="J17" i="4"/>
  <c r="K17" i="4" s="1"/>
  <c r="M17" i="4" s="1"/>
  <c r="O17" i="4" s="1"/>
  <c r="P17" i="4" s="1"/>
  <c r="N17" i="4"/>
  <c r="H17" i="4"/>
  <c r="AC16" i="4"/>
  <c r="Y16" i="4"/>
  <c r="N16" i="4"/>
  <c r="J16" i="4"/>
  <c r="K16" i="4" s="1"/>
  <c r="H16" i="4"/>
  <c r="AC15" i="4"/>
  <c r="Y15" i="4"/>
  <c r="Z15" i="4" s="1"/>
  <c r="AA15" i="4" s="1"/>
  <c r="AD15" i="4" s="1"/>
  <c r="AE15" i="4" s="1"/>
  <c r="AG15" i="4" s="1"/>
  <c r="N15" i="4"/>
  <c r="J15" i="4"/>
  <c r="K15" i="4"/>
  <c r="M15" i="4"/>
  <c r="O15" i="4" s="1"/>
  <c r="P15" i="4" s="1"/>
  <c r="H15" i="4"/>
  <c r="AC14" i="4"/>
  <c r="Y14" i="4"/>
  <c r="Z14" i="4" s="1"/>
  <c r="AA14" i="4" s="1"/>
  <c r="AD14" i="4" s="1"/>
  <c r="AE14" i="4" s="1"/>
  <c r="AG14" i="4" s="1"/>
  <c r="J14" i="4"/>
  <c r="K14" i="4" s="1"/>
  <c r="M14" i="4" s="1"/>
  <c r="O14" i="4" s="1"/>
  <c r="P14" i="4" s="1"/>
  <c r="N14" i="4"/>
  <c r="H14" i="4"/>
  <c r="AC13" i="4"/>
  <c r="Y13" i="4"/>
  <c r="N13" i="4"/>
  <c r="J13" i="4"/>
  <c r="K13" i="4" s="1"/>
  <c r="M13" i="4" s="1"/>
  <c r="O13" i="4" s="1"/>
  <c r="P13" i="4" s="1"/>
  <c r="H13" i="4"/>
  <c r="AC12" i="4"/>
  <c r="Y12" i="4"/>
  <c r="N12" i="4"/>
  <c r="J12" i="4"/>
  <c r="K12" i="4" s="1"/>
  <c r="M12" i="4" s="1"/>
  <c r="O12" i="4" s="1"/>
  <c r="P12" i="4" s="1"/>
  <c r="H12" i="4"/>
  <c r="AC11" i="4"/>
  <c r="Y11" i="4"/>
  <c r="N11" i="4"/>
  <c r="J11" i="4"/>
  <c r="K11" i="4" s="1"/>
  <c r="M11" i="4" s="1"/>
  <c r="O11" i="4" s="1"/>
  <c r="P11" i="4" s="1"/>
  <c r="H11" i="4"/>
  <c r="T10" i="4" s="1"/>
  <c r="AC10" i="4"/>
  <c r="Y10" i="4"/>
  <c r="S10" i="4"/>
  <c r="N10" i="4"/>
  <c r="J10" i="4"/>
  <c r="K10" i="4" s="1"/>
  <c r="H10" i="4"/>
  <c r="M9" i="4"/>
  <c r="AC7" i="4"/>
  <c r="Y7" i="4"/>
  <c r="J7" i="4"/>
  <c r="H7" i="4"/>
  <c r="K7" i="4" s="1"/>
  <c r="AC6" i="4"/>
  <c r="Y6" i="4"/>
  <c r="V6" i="4"/>
  <c r="S6" i="4"/>
  <c r="J6" i="4"/>
  <c r="H6" i="4"/>
  <c r="E5" i="4"/>
  <c r="B5" i="4"/>
  <c r="U38" i="4"/>
  <c r="Z75" i="4"/>
  <c r="AA75" i="4" s="1"/>
  <c r="AD75" i="4" s="1"/>
  <c r="AE75" i="4" s="1"/>
  <c r="AG75" i="4" s="1"/>
  <c r="M75" i="4"/>
  <c r="Z148" i="4"/>
  <c r="AA148" i="4" s="1"/>
  <c r="AD148" i="4" s="1"/>
  <c r="AE148" i="4" s="1"/>
  <c r="AG148" i="4" s="1"/>
  <c r="M148" i="4"/>
  <c r="E148" i="4" s="1"/>
  <c r="Z147" i="4"/>
  <c r="AA147" i="4" s="1"/>
  <c r="AD147" i="4" s="1"/>
  <c r="AE147" i="4" s="1"/>
  <c r="AG147" i="4" s="1"/>
  <c r="M147" i="4"/>
  <c r="Z40" i="4"/>
  <c r="AA40" i="4"/>
  <c r="M43" i="4"/>
  <c r="M78" i="4"/>
  <c r="E78" i="4" s="1"/>
  <c r="D158" i="4"/>
  <c r="E158" i="4" s="1"/>
  <c r="Z26" i="4"/>
  <c r="AA26" i="4" s="1"/>
  <c r="AD26" i="4" s="1"/>
  <c r="AE26" i="4" s="1"/>
  <c r="AG26" i="4" s="1"/>
  <c r="Z23" i="4"/>
  <c r="AA23" i="4" s="1"/>
  <c r="AD23" i="4" s="1"/>
  <c r="AE23" i="4" s="1"/>
  <c r="AG23" i="4" s="1"/>
  <c r="M32" i="4"/>
  <c r="V32" i="4" s="1"/>
  <c r="U32" i="4"/>
  <c r="M21" i="4"/>
  <c r="M42" i="4"/>
  <c r="T74" i="4"/>
  <c r="Z146" i="4"/>
  <c r="AA146" i="4" s="1"/>
  <c r="AD146" i="4" s="1"/>
  <c r="AE146" i="4" s="1"/>
  <c r="AG146" i="4" s="1"/>
  <c r="Z29" i="4"/>
  <c r="AA29" i="4" s="1"/>
  <c r="AD29" i="4" s="1"/>
  <c r="AE29" i="4" s="1"/>
  <c r="AG29" i="4" s="1"/>
  <c r="Z74" i="4"/>
  <c r="AA74" i="4" s="1"/>
  <c r="AD74" i="4" s="1"/>
  <c r="AE74" i="4" s="1"/>
  <c r="AG74" i="4" s="1"/>
  <c r="M74" i="4"/>
  <c r="F155" i="4"/>
  <c r="F156" i="4" s="1"/>
  <c r="F158" i="4" s="1"/>
  <c r="F152" i="4"/>
  <c r="Z145" i="4"/>
  <c r="AA145" i="4" s="1"/>
  <c r="AD145" i="4" s="1"/>
  <c r="AE145" i="4" s="1"/>
  <c r="AG145" i="4" s="1"/>
  <c r="F157" i="4"/>
  <c r="M35" i="4" l="1"/>
  <c r="Z35" i="4"/>
  <c r="AA35" i="4" s="1"/>
  <c r="AD35" i="4" s="1"/>
  <c r="AE35" i="4" s="1"/>
  <c r="AG35" i="4" s="1"/>
  <c r="M77" i="4"/>
  <c r="E77" i="4" s="1"/>
  <c r="U74" i="4"/>
  <c r="Z77" i="4"/>
  <c r="AA77" i="4" s="1"/>
  <c r="AD77" i="4" s="1"/>
  <c r="AE77" i="4" s="1"/>
  <c r="AG77" i="4" s="1"/>
  <c r="Z6" i="4"/>
  <c r="E32" i="4"/>
  <c r="E76" i="4"/>
  <c r="Z42" i="4"/>
  <c r="AA42" i="4" s="1"/>
  <c r="AD42" i="4" s="1"/>
  <c r="AE42" i="4" s="1"/>
  <c r="AG42" i="4" s="1"/>
  <c r="Z24" i="4"/>
  <c r="AA24" i="4" s="1"/>
  <c r="AD24" i="4" s="1"/>
  <c r="AE24" i="4" s="1"/>
  <c r="AG24" i="4" s="1"/>
  <c r="S150" i="4"/>
  <c r="U144" i="4"/>
  <c r="M144" i="4"/>
  <c r="E144" i="4" s="1"/>
  <c r="U29" i="4"/>
  <c r="Z12" i="4"/>
  <c r="AA12" i="4" s="1"/>
  <c r="AD12" i="4" s="1"/>
  <c r="AE12" i="4" s="1"/>
  <c r="AG12" i="4" s="1"/>
  <c r="Z25" i="4"/>
  <c r="AA25" i="4" s="1"/>
  <c r="AD25" i="4" s="1"/>
  <c r="AE25" i="4" s="1"/>
  <c r="AG25" i="4" s="1"/>
  <c r="M25" i="4"/>
  <c r="T80" i="4"/>
  <c r="K6" i="4"/>
  <c r="T6" i="4"/>
  <c r="U23" i="4"/>
  <c r="V123" i="4"/>
  <c r="P18" i="4"/>
  <c r="O18" i="4"/>
  <c r="V23" i="4"/>
  <c r="AD30" i="4"/>
  <c r="AE30" i="4" s="1"/>
  <c r="AG30" i="4" s="1"/>
  <c r="Z36" i="4"/>
  <c r="AA36" i="4" s="1"/>
  <c r="AD36" i="4" s="1"/>
  <c r="AE36" i="4" s="1"/>
  <c r="AG36" i="4" s="1"/>
  <c r="AD40" i="4"/>
  <c r="AE40" i="4" s="1"/>
  <c r="AG40" i="4" s="1"/>
  <c r="V45" i="4"/>
  <c r="T45" i="4"/>
  <c r="T123" i="4"/>
  <c r="Z144" i="4"/>
  <c r="AA144" i="4" s="1"/>
  <c r="AD144" i="4" s="1"/>
  <c r="AE144" i="4" s="1"/>
  <c r="AG144" i="4" s="1"/>
  <c r="Z21" i="4"/>
  <c r="AA21" i="4" s="1"/>
  <c r="AD21" i="4" s="1"/>
  <c r="AE21" i="4" s="1"/>
  <c r="AG21" i="4" s="1"/>
  <c r="AD32" i="4"/>
  <c r="AE32" i="4" s="1"/>
  <c r="AG32" i="4" s="1"/>
  <c r="T40" i="4"/>
  <c r="V144" i="4"/>
  <c r="Z7" i="4"/>
  <c r="AA7" i="4" s="1"/>
  <c r="AD7" i="4" s="1"/>
  <c r="AE7" i="4" s="1"/>
  <c r="AG7" i="4" s="1"/>
  <c r="Z11" i="4"/>
  <c r="AA11" i="4" s="1"/>
  <c r="AD11" i="4" s="1"/>
  <c r="AE11" i="4" s="1"/>
  <c r="AG11" i="4" s="1"/>
  <c r="Z18" i="4"/>
  <c r="AA18" i="4" s="1"/>
  <c r="AD18" i="4" s="1"/>
  <c r="AE18" i="4" s="1"/>
  <c r="AG18" i="4" s="1"/>
  <c r="V20" i="4"/>
  <c r="Z13" i="4"/>
  <c r="AA13" i="4" s="1"/>
  <c r="AD13" i="4" s="1"/>
  <c r="AE13" i="4" s="1"/>
  <c r="AG13" i="4" s="1"/>
  <c r="Z17" i="4"/>
  <c r="AA17" i="4" s="1"/>
  <c r="AD17" i="4" s="1"/>
  <c r="AE17" i="4" s="1"/>
  <c r="AG17" i="4" s="1"/>
  <c r="T29" i="4"/>
  <c r="K150" i="4"/>
  <c r="U6" i="4"/>
  <c r="E30" i="4"/>
  <c r="O30" i="4"/>
  <c r="Q30" i="4" s="1"/>
  <c r="Q150" i="4" s="1"/>
  <c r="AA6" i="4"/>
  <c r="Z10" i="4"/>
  <c r="AA10" i="4" s="1"/>
  <c r="AD10" i="4" s="1"/>
  <c r="AE10" i="4" s="1"/>
  <c r="AG10" i="4" s="1"/>
  <c r="M10" i="4"/>
  <c r="U10" i="4"/>
  <c r="M16" i="4"/>
  <c r="O16" i="4" s="1"/>
  <c r="P16" i="4" s="1"/>
  <c r="Z16" i="4"/>
  <c r="AA16" i="4" s="1"/>
  <c r="AD16" i="4" s="1"/>
  <c r="AE16" i="4" s="1"/>
  <c r="AG16" i="4" s="1"/>
  <c r="V35" i="4"/>
  <c r="E35" i="4"/>
  <c r="V80" i="4"/>
  <c r="U35" i="4"/>
  <c r="H150" i="4"/>
  <c r="E45" i="4"/>
  <c r="E147" i="4"/>
  <c r="M38" i="4"/>
  <c r="V38" i="4" s="1"/>
  <c r="Z27" i="4"/>
  <c r="AA27" i="4" s="1"/>
  <c r="AD27" i="4" s="1"/>
  <c r="AE27" i="4" s="1"/>
  <c r="AG27" i="4" s="1"/>
  <c r="Z43" i="4"/>
  <c r="AA43" i="4" s="1"/>
  <c r="AD43" i="4" s="1"/>
  <c r="AE43" i="4" s="1"/>
  <c r="AG43" i="4" s="1"/>
  <c r="V29" i="4"/>
  <c r="M150" i="4" l="1"/>
  <c r="T150" i="4"/>
  <c r="V74" i="4"/>
  <c r="U150" i="4"/>
  <c r="AD6" i="4"/>
  <c r="AA149" i="4"/>
  <c r="V10" i="4"/>
  <c r="O10" i="4"/>
  <c r="P10" i="4" s="1"/>
  <c r="P150" i="4" s="1"/>
  <c r="Z149" i="4"/>
  <c r="Z151" i="4" s="1"/>
  <c r="E150" i="4"/>
  <c r="V150" i="4" l="1"/>
  <c r="AE6" i="4"/>
  <c r="AG6" i="4" s="1"/>
  <c r="AG151" i="4" s="1"/>
  <c r="AD151" i="4"/>
</calcChain>
</file>

<file path=xl/sharedStrings.xml><?xml version="1.0" encoding="utf-8"?>
<sst xmlns="http://schemas.openxmlformats.org/spreadsheetml/2006/main" count="634" uniqueCount="220">
  <si>
    <t>AREAS POR LOTE</t>
  </si>
  <si>
    <t>AREAS POR PARCELA</t>
  </si>
  <si>
    <t>PARCELA</t>
  </si>
  <si>
    <t>USO</t>
  </si>
  <si>
    <t>LOTE</t>
  </si>
  <si>
    <t>UNIDADES CONSTRUCCIÓN</t>
  </si>
  <si>
    <t>VIVIENDA</t>
  </si>
  <si>
    <t>AREA LOTE</t>
  </si>
  <si>
    <t>COS  PB</t>
  </si>
  <si>
    <t>AREA COS PB</t>
  </si>
  <si>
    <t>N. PISOS</t>
  </si>
  <si>
    <t>COS TOTAL</t>
  </si>
  <si>
    <t>AREA CONSTRUCCIÓN</t>
  </si>
  <si>
    <t>% AREA UTIL</t>
  </si>
  <si>
    <t>AREA UTIL</t>
  </si>
  <si>
    <t>AREA ÚTIL</t>
  </si>
  <si>
    <t>B1</t>
  </si>
  <si>
    <t>COMERCIAL</t>
  </si>
  <si>
    <t>B2</t>
  </si>
  <si>
    <t>OFICINAS 3RA</t>
  </si>
  <si>
    <t>C1</t>
  </si>
  <si>
    <t>OFICINAS 1RA</t>
  </si>
  <si>
    <t>C1-C2</t>
  </si>
  <si>
    <t>C3-C4</t>
  </si>
  <si>
    <t>C5</t>
  </si>
  <si>
    <t>C6-C7</t>
  </si>
  <si>
    <t>OFICINAS 2DA Y PARKING</t>
  </si>
  <si>
    <t>C8</t>
  </si>
  <si>
    <t>C9-C10</t>
  </si>
  <si>
    <t>COMERCIO Y OFICINAS 2DA</t>
  </si>
  <si>
    <t>C11-C12</t>
  </si>
  <si>
    <t>C13</t>
  </si>
  <si>
    <t>C14</t>
  </si>
  <si>
    <t>C2</t>
  </si>
  <si>
    <t>COMERCIO Y RESIDENCIA 2DA</t>
  </si>
  <si>
    <t>C14-C15</t>
  </si>
  <si>
    <t>C16-C17</t>
  </si>
  <si>
    <t>C3</t>
  </si>
  <si>
    <t>COMERCIO Y OFICINAS 1RA</t>
  </si>
  <si>
    <t>C18</t>
  </si>
  <si>
    <t>C19</t>
  </si>
  <si>
    <t>HOTEL</t>
  </si>
  <si>
    <t>C20</t>
  </si>
  <si>
    <t>C21</t>
  </si>
  <si>
    <t>COMERCIO Y RESIDENCIA 1RA</t>
  </si>
  <si>
    <t>C22</t>
  </si>
  <si>
    <t>C4</t>
  </si>
  <si>
    <t>MEDICINA 2DA</t>
  </si>
  <si>
    <t>C23</t>
  </si>
  <si>
    <t>SENIOR LIVING</t>
  </si>
  <si>
    <t>C24</t>
  </si>
  <si>
    <t>RESIDENCIA 2DA</t>
  </si>
  <si>
    <t>C25</t>
  </si>
  <si>
    <t>C26</t>
  </si>
  <si>
    <t>C6</t>
  </si>
  <si>
    <t>RESIDENCIA 3RA</t>
  </si>
  <si>
    <t>C27</t>
  </si>
  <si>
    <t>C28</t>
  </si>
  <si>
    <t>C29</t>
  </si>
  <si>
    <t>COMERCIO 2DA</t>
  </si>
  <si>
    <t>D1</t>
  </si>
  <si>
    <t>D1A</t>
  </si>
  <si>
    <t>D1B</t>
  </si>
  <si>
    <t>D1C</t>
  </si>
  <si>
    <t>D1D</t>
  </si>
  <si>
    <t>D2</t>
  </si>
  <si>
    <t>UNIFAMILIAR 1RA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</si>
  <si>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</si>
  <si>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</si>
  <si>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</si>
  <si>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</si>
  <si>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</si>
  <si>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</si>
  <si>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</si>
  <si>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</si>
  <si>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</si>
  <si>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</si>
  <si>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</si>
  <si>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</si>
  <si>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</si>
  <si>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</si>
  <si>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</si>
  <si>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</si>
  <si>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</si>
  <si>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</si>
  <si>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</si>
  <si>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</si>
  <si>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</si>
  <si>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</si>
  <si>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</si>
  <si>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</si>
  <si>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</si>
  <si>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</si>
  <si>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E</t>
  </si>
  <si>
    <t>E1-E2-E5</t>
  </si>
  <si>
    <t>CENTRO CONVENCIONES</t>
  </si>
  <si>
    <t>E3</t>
  </si>
  <si>
    <t>E4</t>
  </si>
  <si>
    <t>E6-E7</t>
  </si>
  <si>
    <t>E8</t>
  </si>
  <si>
    <t>F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</si>
  <si>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</si>
  <si>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</si>
  <si>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</si>
  <si>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</si>
  <si>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</si>
  <si>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</si>
  <si>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</si>
  <si>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</si>
  <si>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</si>
  <si>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</si>
  <si>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</si>
  <si>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</si>
  <si>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</si>
  <si>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</si>
  <si>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</si>
  <si>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</si>
  <si>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</si>
  <si>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</si>
  <si>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</si>
  <si>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</si>
  <si>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</si>
  <si>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</si>
  <si>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</si>
  <si>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</si>
  <si>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</si>
  <si>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</si>
  <si>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</si>
  <si>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</si>
  <si>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</si>
  <si>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</si>
  <si>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</si>
  <si>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</si>
  <si>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</si>
  <si>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</si>
  <si>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</si>
  <si>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</si>
  <si>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</si>
  <si>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</si>
  <si>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</si>
  <si>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</si>
  <si>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</si>
  <si>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</si>
  <si>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G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</si>
  <si>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</si>
  <si>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</si>
  <si>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</si>
  <si>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</si>
  <si>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</si>
  <si>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</si>
  <si>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</si>
  <si>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</si>
  <si>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</si>
  <si>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</si>
  <si>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</si>
  <si>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</si>
  <si>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</si>
  <si>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</si>
  <si>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</si>
  <si>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</si>
  <si>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</si>
  <si>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</si>
  <si>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</si>
  <si>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</si>
  <si>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H</t>
  </si>
  <si>
    <t>TOTALES</t>
  </si>
  <si>
    <t>TOTAL TERRENOS</t>
  </si>
  <si>
    <t>TOTAL D</t>
  </si>
  <si>
    <t>TOTAL F</t>
  </si>
  <si>
    <t>TOTAL G</t>
  </si>
  <si>
    <t>H1-H5</t>
  </si>
  <si>
    <t>H6-H8</t>
  </si>
  <si>
    <t>H9-H10</t>
  </si>
  <si>
    <t xml:space="preserve">H11 </t>
  </si>
  <si>
    <t>H12</t>
  </si>
  <si>
    <t>NO SOLICITA CAMBIOS</t>
  </si>
  <si>
    <t>SOLICITADA</t>
  </si>
  <si>
    <t>OFICINA/RESID</t>
  </si>
  <si>
    <t>PRODUCTIVO</t>
  </si>
  <si>
    <t>PERMITIDO</t>
  </si>
  <si>
    <t>AREA UTIL POR PISO</t>
  </si>
  <si>
    <t>OFICINAS</t>
  </si>
  <si>
    <t>CENTRO TECNO</t>
  </si>
  <si>
    <t>RESIDENCIA</t>
  </si>
  <si>
    <t>RESID. EDUCA</t>
  </si>
  <si>
    <t>EQ.PRIVADO</t>
  </si>
  <si>
    <t>A</t>
  </si>
  <si>
    <t>Valor m2 contrucción neutro</t>
  </si>
  <si>
    <t>Factor de uso</t>
  </si>
  <si>
    <t>Valor m2 por uso</t>
  </si>
  <si>
    <t>Peso del terreno</t>
  </si>
  <si>
    <t>DESEADO</t>
  </si>
  <si>
    <t>VALOR M2</t>
  </si>
  <si>
    <t>DIFERENCIA</t>
  </si>
  <si>
    <t>30% CAPTURA</t>
  </si>
  <si>
    <t>Valor de la contrucción cd+ci</t>
  </si>
  <si>
    <t>Partida</t>
  </si>
  <si>
    <t>Valor  suelo partida</t>
  </si>
  <si>
    <t>% Actividades x ciclo económico</t>
  </si>
  <si>
    <t>Valor final</t>
  </si>
  <si>
    <t>Terreno crudo</t>
  </si>
  <si>
    <t>A bruta</t>
  </si>
  <si>
    <t>Infraestructura</t>
  </si>
  <si>
    <t>COD</t>
  </si>
  <si>
    <t>suma</t>
  </si>
  <si>
    <t>PVP</t>
  </si>
  <si>
    <t>DMQ</t>
  </si>
  <si>
    <t>MERCADO</t>
  </si>
  <si>
    <t>PVP- COSTO</t>
  </si>
  <si>
    <t>UTILIDAD NETA</t>
  </si>
  <si>
    <t>UTILIDAD BRUTA</t>
  </si>
  <si>
    <t>CAPTURA</t>
  </si>
  <si>
    <t>SIN COD</t>
  </si>
  <si>
    <t>SAN PATRICIO- Cumbayá</t>
  </si>
  <si>
    <t>HOTEL HOLIDAY INN - Tababela</t>
  </si>
  <si>
    <t>NÁPOLES - Puembo</t>
  </si>
  <si>
    <t>CITIVALL- Tumbaco</t>
  </si>
  <si>
    <t>Flexiplast - Pifo</t>
  </si>
  <si>
    <t>UTILIDAD NETA (-22%-15%)</t>
  </si>
  <si>
    <t>% de participación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</si>
</sst>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37" fontId="6" fillId="3" borderId="2" xfId="1" applyNumberFormat="1" applyFont="1" applyFill="1" applyBorder="1" applyAlignment="1">
      <alignment horizontal="center" vertical="center" wrapText="1"/>
    </xf>
    <xf numFmtId="39" fontId="6" fillId="3" borderId="2" xfId="1" applyNumberFormat="1" applyFont="1" applyFill="1" applyBorder="1" applyAlignment="1">
      <alignment horizontal="center" vertical="center" wrapText="1"/>
    </xf>
    <xf numFmtId="165" fontId="6" fillId="3" borderId="2" xfId="1" applyFont="1" applyFill="1" applyBorder="1" applyAlignment="1">
      <alignment horizontal="center" vertical="center" wrapText="1"/>
    </xf>
    <xf numFmtId="165" fontId="6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7" fontId="7" fillId="0" borderId="1" xfId="1" applyNumberFormat="1" applyFont="1" applyFill="1" applyBorder="1" applyAlignment="1">
      <alignment horizontal="center" vertical="center"/>
    </xf>
    <xf numFmtId="39" fontId="7" fillId="0" borderId="1" xfId="1" applyNumberFormat="1" applyFont="1" applyFill="1" applyBorder="1" applyAlignment="1">
      <alignment horizontal="center" vertical="center"/>
    </xf>
    <xf numFmtId="165" fontId="7" fillId="0" borderId="1" xfId="1" applyFont="1" applyFill="1" applyBorder="1" applyAlignment="1">
      <alignment vertical="center"/>
    </xf>
    <xf numFmtId="165" fontId="7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5" fontId="7" fillId="0" borderId="1" xfId="1" applyFont="1" applyFill="1" applyBorder="1" applyAlignment="1">
      <alignment horizontal="right"/>
    </xf>
    <xf numFmtId="9" fontId="8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/>
    <xf numFmtId="166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/>
    <xf numFmtId="39" fontId="8" fillId="0" borderId="1" xfId="0" applyNumberFormat="1" applyFont="1" applyFill="1" applyBorder="1"/>
    <xf numFmtId="165" fontId="9" fillId="0" borderId="1" xfId="0" applyNumberFormat="1" applyFont="1" applyFill="1" applyBorder="1"/>
    <xf numFmtId="165" fontId="8" fillId="0" borderId="5" xfId="0" applyNumberFormat="1" applyFont="1" applyFill="1" applyBorder="1"/>
    <xf numFmtId="0" fontId="3" fillId="0" borderId="0" xfId="0" applyFont="1"/>
    <xf numFmtId="0" fontId="10" fillId="3" borderId="1" xfId="0" applyFont="1" applyFill="1" applyBorder="1" applyAlignment="1">
      <alignment vertical="center"/>
    </xf>
    <xf numFmtId="165" fontId="10" fillId="3" borderId="1" xfId="0" applyNumberFormat="1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37" fontId="12" fillId="0" borderId="0" xfId="1" applyNumberFormat="1" applyFont="1" applyAlignment="1">
      <alignment horizontal="center"/>
    </xf>
    <xf numFmtId="39" fontId="13" fillId="0" borderId="0" xfId="1" applyNumberFormat="1" applyFont="1" applyAlignment="1">
      <alignment horizontal="center"/>
    </xf>
    <xf numFmtId="165" fontId="13" fillId="0" borderId="0" xfId="1" applyFont="1"/>
    <xf numFmtId="165" fontId="0" fillId="0" borderId="0" xfId="1" applyFont="1" applyAlignment="1">
      <alignment horizontal="center"/>
    </xf>
    <xf numFmtId="10" fontId="0" fillId="0" borderId="0" xfId="2" applyNumberFormat="1" applyFont="1" applyAlignment="1">
      <alignment horizontal="center"/>
    </xf>
    <xf numFmtId="165" fontId="0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10" fontId="13" fillId="0" borderId="0" xfId="1" applyNumberFormat="1" applyFont="1"/>
    <xf numFmtId="0" fontId="14" fillId="0" borderId="0" xfId="0" applyFont="1"/>
    <xf numFmtId="4" fontId="0" fillId="0" borderId="0" xfId="0" applyNumberFormat="1"/>
    <xf numFmtId="39" fontId="12" fillId="0" borderId="0" xfId="1" applyNumberFormat="1" applyFont="1" applyAlignment="1">
      <alignment horizontal="center"/>
    </xf>
    <xf numFmtId="165" fontId="12" fillId="0" borderId="0" xfId="1" applyFont="1"/>
    <xf numFmtId="3" fontId="0" fillId="0" borderId="0" xfId="0" applyNumberFormat="1"/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5" fontId="8" fillId="0" borderId="0" xfId="0" applyNumberFormat="1" applyFont="1" applyFill="1" applyBorder="1"/>
    <xf numFmtId="165" fontId="8" fillId="0" borderId="3" xfId="0" applyNumberFormat="1" applyFont="1" applyFill="1" applyBorder="1"/>
    <xf numFmtId="165" fontId="8" fillId="0" borderId="6" xfId="0" applyNumberFormat="1" applyFont="1" applyFill="1" applyBorder="1"/>
    <xf numFmtId="165" fontId="8" fillId="0" borderId="7" xfId="0" applyNumberFormat="1" applyFont="1" applyFill="1" applyBorder="1"/>
    <xf numFmtId="0" fontId="0" fillId="0" borderId="1" xfId="0" applyBorder="1"/>
    <xf numFmtId="0" fontId="9" fillId="4" borderId="2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center"/>
    </xf>
    <xf numFmtId="165" fontId="7" fillId="5" borderId="1" xfId="0" applyNumberFormat="1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0" fillId="6" borderId="11" xfId="0" applyFill="1" applyBorder="1"/>
    <xf numFmtId="0" fontId="0" fillId="6" borderId="9" xfId="0" applyFill="1" applyBorder="1"/>
    <xf numFmtId="0" fontId="0" fillId="6" borderId="6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7" xfId="0" applyFill="1" applyBorder="1"/>
    <xf numFmtId="0" fontId="0" fillId="6" borderId="0" xfId="0" applyFill="1" applyBorder="1"/>
    <xf numFmtId="0" fontId="3" fillId="6" borderId="7" xfId="0" applyFont="1" applyFill="1" applyBorder="1"/>
    <xf numFmtId="0" fontId="3" fillId="6" borderId="10" xfId="0" applyFont="1" applyFill="1" applyBorder="1" applyAlignment="1">
      <alignment horizontal="center"/>
    </xf>
    <xf numFmtId="0" fontId="0" fillId="6" borderId="10" xfId="0" applyFill="1" applyBorder="1"/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9" fontId="0" fillId="6" borderId="0" xfId="0" applyNumberFormat="1" applyFill="1" applyBorder="1"/>
    <xf numFmtId="0" fontId="0" fillId="6" borderId="14" xfId="0" applyFill="1" applyBorder="1"/>
    <xf numFmtId="0" fontId="0" fillId="6" borderId="15" xfId="0" applyFill="1" applyBorder="1"/>
    <xf numFmtId="2" fontId="3" fillId="6" borderId="0" xfId="0" applyNumberFormat="1" applyFont="1" applyFill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3" fillId="6" borderId="2" xfId="0" applyNumberFormat="1" applyFont="1" applyFill="1" applyBorder="1" applyAlignment="1">
      <alignment horizontal="center"/>
    </xf>
    <xf numFmtId="9" fontId="3" fillId="6" borderId="6" xfId="0" applyNumberFormat="1" applyFont="1" applyFill="1" applyBorder="1" applyAlignment="1">
      <alignment horizontal="center"/>
    </xf>
    <xf numFmtId="9" fontId="3" fillId="6" borderId="7" xfId="0" applyNumberFormat="1" applyFont="1" applyFill="1" applyBorder="1" applyAlignment="1">
      <alignment horizontal="center"/>
    </xf>
    <xf numFmtId="9" fontId="0" fillId="0" borderId="0" xfId="2" applyFont="1"/>
    <xf numFmtId="2" fontId="0" fillId="5" borderId="2" xfId="0" applyNumberForma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0" fontId="3" fillId="6" borderId="7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5" fontId="9" fillId="0" borderId="3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7" borderId="10" xfId="0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5"/>
  <sheetViews>
    <sheetView zoomScale="55" zoomScaleNormal="55" workbookViewId="0">
      <pane xSplit="9" ySplit="9" topLeftCell="V73" activePane="bottomRight" state="frozen"/>
      <selection pane="topRight" activeCell="J1" sqref="J1"/>
      <selection pane="bottomLeft" activeCell="A10" sqref="A10"/>
      <selection pane="bottomRight" activeCell="Y32" sqref="Y32"/>
    </sheetView>
  </sheetViews>
  <sheetFormatPr baseColWidth="10" defaultColWidth="11.5703125" defaultRowHeight="21" x14ac:dyDescent="0.35"/>
  <cols>
    <col min="1" max="1" width="13" style="27" customWidth="1"/>
    <col min="2" max="2" width="37.85546875" style="28" customWidth="1"/>
    <col min="3" max="3" width="11.42578125" style="28" customWidth="1"/>
    <col min="4" max="4" width="7.5703125" style="29" customWidth="1"/>
    <col min="5" max="5" width="22.7109375" style="39" hidden="1" customWidth="1"/>
    <col min="6" max="6" width="21.140625" style="40" customWidth="1"/>
    <col min="7" max="7" width="11.42578125" style="32" customWidth="1"/>
    <col min="8" max="8" width="19.5703125" style="32" customWidth="1"/>
    <col min="9" max="9" width="12" style="28" customWidth="1"/>
    <col min="10" max="10" width="14.85546875" style="28" customWidth="1"/>
    <col min="11" max="11" width="18" style="34" customWidth="1"/>
    <col min="12" max="12" width="11.85546875" style="35" customWidth="1"/>
    <col min="13" max="14" width="19" customWidth="1"/>
    <col min="15" max="15" width="34.28515625" customWidth="1"/>
    <col min="16" max="16" width="23.7109375" customWidth="1"/>
    <col min="17" max="17" width="19" customWidth="1"/>
    <col min="18" max="18" width="21.85546875" customWidth="1"/>
    <col min="19" max="20" width="31.7109375" style="23" customWidth="1"/>
    <col min="21" max="21" width="30" style="23" customWidth="1"/>
    <col min="22" max="22" width="27.140625" style="23" customWidth="1"/>
    <col min="23" max="23" width="32.7109375" customWidth="1"/>
    <col min="26" max="26" width="38.85546875" bestFit="1" customWidth="1"/>
    <col min="27" max="27" width="23.5703125" bestFit="1" customWidth="1"/>
    <col min="29" max="29" width="20.140625" bestFit="1" customWidth="1"/>
    <col min="30" max="30" width="23.5703125" bestFit="1" customWidth="1"/>
    <col min="31" max="31" width="20.140625" bestFit="1" customWidth="1"/>
    <col min="33" max="33" width="22" bestFit="1" customWidth="1"/>
  </cols>
  <sheetData>
    <row r="1" spans="1:34" ht="66" customHeight="1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43"/>
      <c r="O1" s="43"/>
      <c r="P1" s="92" t="s">
        <v>176</v>
      </c>
      <c r="Q1" s="93"/>
      <c r="R1" s="94"/>
      <c r="S1" s="95" t="s">
        <v>1</v>
      </c>
      <c r="T1" s="95"/>
      <c r="U1" s="95"/>
      <c r="V1" s="95"/>
      <c r="W1" s="96" t="s">
        <v>191</v>
      </c>
      <c r="X1" s="97"/>
      <c r="Y1" s="97"/>
      <c r="Z1" s="97"/>
      <c r="AA1" s="97"/>
      <c r="AB1" s="97" t="s">
        <v>196</v>
      </c>
      <c r="AC1" s="97"/>
    </row>
    <row r="2" spans="1:34" s="6" customFormat="1" ht="61.15" customHeight="1" x14ac:dyDescent="0.25">
      <c r="A2" s="1" t="s">
        <v>2</v>
      </c>
      <c r="B2" s="1" t="s">
        <v>3</v>
      </c>
      <c r="C2" s="1" t="s">
        <v>4</v>
      </c>
      <c r="D2" s="2" t="s">
        <v>5</v>
      </c>
      <c r="E2" s="3" t="s">
        <v>6</v>
      </c>
      <c r="F2" s="4" t="s">
        <v>7</v>
      </c>
      <c r="G2" s="4" t="s">
        <v>8</v>
      </c>
      <c r="H2" s="4" t="s">
        <v>9</v>
      </c>
      <c r="I2" s="1" t="s">
        <v>10</v>
      </c>
      <c r="J2" s="1" t="s">
        <v>11</v>
      </c>
      <c r="K2" s="5" t="s">
        <v>12</v>
      </c>
      <c r="L2" s="1" t="s">
        <v>13</v>
      </c>
      <c r="M2" s="1" t="s">
        <v>14</v>
      </c>
      <c r="N2" s="1" t="s">
        <v>179</v>
      </c>
      <c r="O2" s="1" t="s">
        <v>180</v>
      </c>
      <c r="P2" s="49" t="s">
        <v>177</v>
      </c>
      <c r="Q2" s="49" t="s">
        <v>178</v>
      </c>
      <c r="R2" s="49" t="s">
        <v>3</v>
      </c>
      <c r="S2" s="1" t="s">
        <v>7</v>
      </c>
      <c r="T2" s="1" t="s">
        <v>9</v>
      </c>
      <c r="U2" s="1" t="s">
        <v>12</v>
      </c>
      <c r="V2" s="1" t="s">
        <v>15</v>
      </c>
      <c r="W2" s="1" t="s">
        <v>187</v>
      </c>
      <c r="X2" s="1" t="s">
        <v>188</v>
      </c>
      <c r="Y2" s="1" t="s">
        <v>189</v>
      </c>
      <c r="Z2" s="1" t="s">
        <v>195</v>
      </c>
      <c r="AA2" s="1" t="s">
        <v>190</v>
      </c>
      <c r="AB2" s="1" t="s">
        <v>192</v>
      </c>
      <c r="AC2" s="1" t="s">
        <v>197</v>
      </c>
      <c r="AD2" s="1" t="s">
        <v>193</v>
      </c>
      <c r="AE2" s="1" t="s">
        <v>194</v>
      </c>
      <c r="AF2" s="1" t="s">
        <v>198</v>
      </c>
      <c r="AG2" s="1" t="s">
        <v>199</v>
      </c>
      <c r="AH2" s="1"/>
    </row>
    <row r="3" spans="1:34" x14ac:dyDescent="0.35">
      <c r="A3" s="7"/>
      <c r="B3" s="8"/>
      <c r="C3" s="8"/>
      <c r="D3" s="9"/>
      <c r="E3" s="10"/>
      <c r="F3" s="11"/>
      <c r="G3" s="12"/>
      <c r="H3" s="12"/>
      <c r="I3" s="13"/>
      <c r="J3" s="13"/>
      <c r="K3" s="14"/>
      <c r="L3" s="15"/>
      <c r="M3" s="16"/>
      <c r="N3" s="16"/>
      <c r="O3" s="16"/>
      <c r="P3" s="16"/>
      <c r="Q3" s="16"/>
      <c r="R3" s="16"/>
      <c r="S3" s="98"/>
      <c r="T3" s="98"/>
      <c r="U3" s="98"/>
      <c r="V3" s="98"/>
    </row>
    <row r="4" spans="1:34" x14ac:dyDescent="0.35">
      <c r="A4" s="7" t="s">
        <v>186</v>
      </c>
      <c r="B4" s="8"/>
      <c r="C4" s="8"/>
      <c r="D4" s="9"/>
      <c r="E4" s="10"/>
      <c r="F4" s="11"/>
      <c r="G4" s="12"/>
      <c r="H4" s="12"/>
      <c r="I4" s="13"/>
      <c r="J4" s="13"/>
      <c r="K4" s="14"/>
      <c r="L4" s="15"/>
      <c r="M4" s="16"/>
      <c r="N4" s="16"/>
      <c r="O4" s="16" t="s">
        <v>175</v>
      </c>
      <c r="P4" s="16"/>
      <c r="Q4" s="16"/>
      <c r="R4" s="16" t="s">
        <v>185</v>
      </c>
      <c r="S4" s="99"/>
      <c r="T4" s="99"/>
      <c r="U4" s="99"/>
      <c r="V4" s="99"/>
    </row>
    <row r="5" spans="1:34" x14ac:dyDescent="0.35">
      <c r="A5" s="7"/>
      <c r="B5" s="17">
        <f>SUM(F3:F4)*450*0.965</f>
        <v>0</v>
      </c>
      <c r="C5" s="8"/>
      <c r="D5" s="9"/>
      <c r="E5" s="10">
        <f>F5*500</f>
        <v>0</v>
      </c>
      <c r="F5" s="11"/>
      <c r="G5" s="12"/>
      <c r="H5" s="12"/>
      <c r="I5" s="13"/>
      <c r="J5" s="13"/>
      <c r="K5" s="14"/>
      <c r="L5" s="15"/>
      <c r="M5" s="16"/>
      <c r="N5" s="44"/>
      <c r="O5" s="44"/>
      <c r="P5" s="44"/>
      <c r="Q5" s="44"/>
      <c r="R5" s="44"/>
      <c r="S5" s="18"/>
      <c r="T5" s="18"/>
      <c r="U5" s="19"/>
      <c r="V5" s="19"/>
    </row>
    <row r="6" spans="1:34" x14ac:dyDescent="0.35">
      <c r="A6" s="7" t="s">
        <v>16</v>
      </c>
      <c r="B6" s="8" t="s">
        <v>17</v>
      </c>
      <c r="C6" s="8" t="s">
        <v>16</v>
      </c>
      <c r="D6" s="9">
        <v>2</v>
      </c>
      <c r="E6" s="10"/>
      <c r="F6" s="11">
        <v>24874</v>
      </c>
      <c r="G6" s="12">
        <v>40</v>
      </c>
      <c r="H6" s="12">
        <f>F6*G6/100</f>
        <v>9949.6</v>
      </c>
      <c r="I6" s="13">
        <v>6</v>
      </c>
      <c r="J6" s="13">
        <f t="shared" ref="J6:J38" si="0">G6*I6</f>
        <v>240</v>
      </c>
      <c r="K6" s="14">
        <f>+H6*I6</f>
        <v>59697.600000000006</v>
      </c>
      <c r="L6" s="15">
        <v>0.85</v>
      </c>
      <c r="M6" s="16">
        <v>8128.78</v>
      </c>
      <c r="N6" s="16"/>
      <c r="O6" s="16" t="s">
        <v>175</v>
      </c>
      <c r="P6" s="16"/>
      <c r="Q6" s="16"/>
      <c r="R6" s="16" t="s">
        <v>17</v>
      </c>
      <c r="S6" s="98">
        <f>SUM(F6:F7)</f>
        <v>48674</v>
      </c>
      <c r="T6" s="98">
        <f>SUM(H6:H7)</f>
        <v>19469.599999999999</v>
      </c>
      <c r="U6" s="98">
        <f>SUM(K6:K7)</f>
        <v>116817.60000000001</v>
      </c>
      <c r="V6" s="98">
        <f>SUM(M6:M7)</f>
        <v>28750.21</v>
      </c>
      <c r="W6" s="13">
        <v>954</v>
      </c>
      <c r="X6" s="13">
        <v>1.37</v>
      </c>
      <c r="Y6" s="13">
        <f>W6*X6</f>
        <v>1306.98</v>
      </c>
      <c r="Z6" s="51">
        <f>Y6*K6</f>
        <v>78023569.248000011</v>
      </c>
      <c r="AA6" s="51">
        <f>Z6*13.64%</f>
        <v>10642414.8454272</v>
      </c>
      <c r="AB6" s="13">
        <v>400</v>
      </c>
      <c r="AC6" s="51">
        <f>AB6*F6</f>
        <v>9949600</v>
      </c>
      <c r="AD6" s="51">
        <f>AA6-AC6</f>
        <v>692814.8454272002</v>
      </c>
      <c r="AE6" s="51">
        <f>AD6*30%</f>
        <v>207844.45362816006</v>
      </c>
      <c r="AF6" s="13"/>
      <c r="AG6" s="51">
        <f>AE6</f>
        <v>207844.45362816006</v>
      </c>
    </row>
    <row r="7" spans="1:34" x14ac:dyDescent="0.35">
      <c r="A7" s="7" t="s">
        <v>16</v>
      </c>
      <c r="B7" s="8" t="s">
        <v>17</v>
      </c>
      <c r="C7" s="8" t="s">
        <v>18</v>
      </c>
      <c r="D7" s="9">
        <v>1</v>
      </c>
      <c r="E7" s="10"/>
      <c r="F7" s="11">
        <v>23800</v>
      </c>
      <c r="G7" s="12">
        <v>40</v>
      </c>
      <c r="H7" s="12">
        <f>F7*G7/100</f>
        <v>9520</v>
      </c>
      <c r="I7" s="13">
        <v>6</v>
      </c>
      <c r="J7" s="13">
        <f t="shared" si="0"/>
        <v>240</v>
      </c>
      <c r="K7" s="14">
        <f>+H7*I7</f>
        <v>57120</v>
      </c>
      <c r="L7" s="15">
        <v>0.85</v>
      </c>
      <c r="M7" s="16">
        <v>20621.43</v>
      </c>
      <c r="N7" s="16"/>
      <c r="O7" s="16" t="s">
        <v>175</v>
      </c>
      <c r="P7" s="16"/>
      <c r="Q7" s="16"/>
      <c r="R7" s="16" t="s">
        <v>17</v>
      </c>
      <c r="S7" s="99"/>
      <c r="T7" s="99"/>
      <c r="U7" s="99"/>
      <c r="V7" s="99"/>
      <c r="W7" s="13">
        <v>954</v>
      </c>
      <c r="X7" s="13">
        <v>1.37</v>
      </c>
      <c r="Y7" s="13">
        <f t="shared" ref="Y7:Y43" si="1">W7*X7</f>
        <v>1306.98</v>
      </c>
      <c r="Z7" s="51">
        <f t="shared" ref="Z7:Z43" si="2">Y7*K7</f>
        <v>74654697.599999994</v>
      </c>
      <c r="AA7" s="51">
        <f t="shared" ref="AA7:AA43" si="3">Z7*13.64%</f>
        <v>10182900.75264</v>
      </c>
      <c r="AB7" s="13">
        <v>400</v>
      </c>
      <c r="AC7" s="51">
        <f t="shared" ref="AC7:AC43" si="4">AB7*F7</f>
        <v>9520000</v>
      </c>
      <c r="AD7" s="51">
        <f t="shared" ref="AD7:AD43" si="5">AA7-AC7</f>
        <v>662900.75263999961</v>
      </c>
      <c r="AE7" s="51">
        <f t="shared" ref="AE7:AE43" si="6">AD7*30%</f>
        <v>198870.22579199987</v>
      </c>
      <c r="AF7" s="13"/>
      <c r="AG7" s="51">
        <f t="shared" ref="AG7:AG43" si="7">AE7</f>
        <v>198870.22579199987</v>
      </c>
    </row>
    <row r="8" spans="1:34" x14ac:dyDescent="0.35">
      <c r="A8" s="7"/>
      <c r="B8" s="8"/>
      <c r="C8" s="8"/>
      <c r="D8" s="9"/>
      <c r="E8" s="10"/>
      <c r="F8" s="11"/>
      <c r="G8" s="12"/>
      <c r="H8" s="12"/>
      <c r="I8" s="13"/>
      <c r="J8" s="13"/>
      <c r="K8" s="14"/>
      <c r="L8" s="15"/>
      <c r="M8" s="16"/>
      <c r="N8" s="44"/>
      <c r="O8" s="44"/>
      <c r="P8" s="44"/>
      <c r="Q8" s="44"/>
      <c r="R8" s="44"/>
      <c r="S8" s="18"/>
      <c r="T8" s="18"/>
      <c r="U8" s="19"/>
      <c r="V8" s="19"/>
      <c r="W8" s="13"/>
      <c r="X8" s="13"/>
      <c r="Y8" s="13"/>
      <c r="Z8" s="51"/>
      <c r="AA8" s="51"/>
      <c r="AB8" s="13"/>
      <c r="AC8" s="51"/>
      <c r="AD8" s="51"/>
      <c r="AE8" s="51"/>
      <c r="AF8" s="13"/>
      <c r="AG8" s="51"/>
    </row>
    <row r="9" spans="1:34" x14ac:dyDescent="0.35">
      <c r="A9" s="7"/>
      <c r="B9" s="8"/>
      <c r="C9" s="8"/>
      <c r="D9" s="9"/>
      <c r="E9" s="10"/>
      <c r="F9" s="11"/>
      <c r="G9" s="12"/>
      <c r="H9" s="12"/>
      <c r="I9" s="13"/>
      <c r="J9" s="13"/>
      <c r="K9" s="14"/>
      <c r="L9" s="15"/>
      <c r="M9" s="16">
        <f t="shared" ref="M9:M72" si="8">K9*L9</f>
        <v>0</v>
      </c>
      <c r="N9" s="44"/>
      <c r="O9" s="44"/>
      <c r="P9" s="44"/>
      <c r="Q9" s="44"/>
      <c r="R9" s="44"/>
      <c r="S9" s="19"/>
      <c r="T9" s="19"/>
      <c r="U9" s="19"/>
      <c r="V9" s="19"/>
      <c r="W9" s="13"/>
      <c r="X9" s="13"/>
      <c r="Y9" s="13"/>
      <c r="Z9" s="51"/>
      <c r="AA9" s="51"/>
      <c r="AB9" s="13"/>
      <c r="AC9" s="51"/>
      <c r="AD9" s="51"/>
      <c r="AE9" s="51"/>
      <c r="AF9" s="13"/>
      <c r="AG9" s="51"/>
    </row>
    <row r="10" spans="1:34" x14ac:dyDescent="0.35">
      <c r="A10" s="7" t="s">
        <v>20</v>
      </c>
      <c r="B10" s="8" t="s">
        <v>21</v>
      </c>
      <c r="C10" s="8" t="s">
        <v>22</v>
      </c>
      <c r="D10" s="9">
        <v>2</v>
      </c>
      <c r="E10" s="10"/>
      <c r="F10" s="11">
        <v>4881.04</v>
      </c>
      <c r="G10" s="12">
        <v>35</v>
      </c>
      <c r="H10" s="12">
        <f t="shared" ref="H10:H18" si="9">F10*G10/100</f>
        <v>1708.364</v>
      </c>
      <c r="I10" s="13">
        <v>13</v>
      </c>
      <c r="J10" s="13">
        <f t="shared" si="0"/>
        <v>455</v>
      </c>
      <c r="K10" s="14">
        <f t="shared" ref="K10:K18" si="10">F10*J10/100</f>
        <v>22208.732000000004</v>
      </c>
      <c r="L10" s="15">
        <v>0.85</v>
      </c>
      <c r="M10" s="16">
        <f t="shared" si="8"/>
        <v>18877.422200000001</v>
      </c>
      <c r="N10" s="45">
        <f>+F10*0.4*6</f>
        <v>11714.496000000001</v>
      </c>
      <c r="O10" s="45">
        <f>+M10/I10</f>
        <v>1452.1094000000001</v>
      </c>
      <c r="P10" s="45">
        <f>+O10*7</f>
        <v>10164.765800000001</v>
      </c>
      <c r="Q10" s="16"/>
      <c r="R10" s="16" t="s">
        <v>181</v>
      </c>
      <c r="S10" s="100">
        <f>SUM(F10:F18)</f>
        <v>37962.039999999994</v>
      </c>
      <c r="T10" s="100">
        <f>SUM(H10:H18)</f>
        <v>13286.714</v>
      </c>
      <c r="U10" s="100">
        <f>SUM(K10:K18)</f>
        <v>148401.47349999999</v>
      </c>
      <c r="V10" s="100">
        <f>SUM(M10:M18)</f>
        <v>126141.252475</v>
      </c>
      <c r="W10" s="13">
        <v>1083</v>
      </c>
      <c r="X10" s="13">
        <v>1.72</v>
      </c>
      <c r="Y10" s="13">
        <f t="shared" si="1"/>
        <v>1862.76</v>
      </c>
      <c r="Z10" s="51">
        <f t="shared" si="2"/>
        <v>41369537.620320007</v>
      </c>
      <c r="AA10" s="51">
        <f t="shared" si="3"/>
        <v>5642804.9314116491</v>
      </c>
      <c r="AB10" s="13">
        <v>400</v>
      </c>
      <c r="AC10" s="51">
        <f t="shared" si="4"/>
        <v>1952416</v>
      </c>
      <c r="AD10" s="51">
        <f t="shared" si="5"/>
        <v>3690388.9314116491</v>
      </c>
      <c r="AE10" s="51">
        <f t="shared" si="6"/>
        <v>1107116.6794234947</v>
      </c>
      <c r="AF10" s="13"/>
      <c r="AG10" s="51">
        <f t="shared" si="7"/>
        <v>1107116.6794234947</v>
      </c>
    </row>
    <row r="11" spans="1:34" x14ac:dyDescent="0.35">
      <c r="A11" s="7" t="s">
        <v>20</v>
      </c>
      <c r="B11" s="8" t="s">
        <v>21</v>
      </c>
      <c r="C11" s="8" t="s">
        <v>23</v>
      </c>
      <c r="D11" s="9">
        <v>2</v>
      </c>
      <c r="E11" s="10"/>
      <c r="F11" s="11">
        <v>3882.54</v>
      </c>
      <c r="G11" s="12">
        <v>35</v>
      </c>
      <c r="H11" s="12">
        <f t="shared" si="9"/>
        <v>1358.8889999999999</v>
      </c>
      <c r="I11" s="13">
        <v>13</v>
      </c>
      <c r="J11" s="13">
        <f t="shared" si="0"/>
        <v>455</v>
      </c>
      <c r="K11" s="14">
        <f t="shared" si="10"/>
        <v>17665.557000000001</v>
      </c>
      <c r="L11" s="15">
        <v>0.85</v>
      </c>
      <c r="M11" s="16">
        <f t="shared" si="8"/>
        <v>15015.72345</v>
      </c>
      <c r="N11" s="16">
        <f>+F11*0.4*6</f>
        <v>9318.0960000000014</v>
      </c>
      <c r="O11" s="16">
        <f>+M11/I11</f>
        <v>1155.05565</v>
      </c>
      <c r="P11" s="16">
        <f>+O11*7</f>
        <v>8085.3895499999999</v>
      </c>
      <c r="Q11" s="16"/>
      <c r="R11" s="16" t="s">
        <v>181</v>
      </c>
      <c r="S11" s="101"/>
      <c r="T11" s="101"/>
      <c r="U11" s="101"/>
      <c r="V11" s="101"/>
      <c r="W11" s="13">
        <v>1083</v>
      </c>
      <c r="X11" s="13">
        <v>1.72</v>
      </c>
      <c r="Y11" s="13">
        <f t="shared" si="1"/>
        <v>1862.76</v>
      </c>
      <c r="Z11" s="51">
        <f t="shared" si="2"/>
        <v>32906692.957320001</v>
      </c>
      <c r="AA11" s="51">
        <f t="shared" si="3"/>
        <v>4488472.9193784483</v>
      </c>
      <c r="AB11" s="13">
        <v>400</v>
      </c>
      <c r="AC11" s="51">
        <f t="shared" si="4"/>
        <v>1553016</v>
      </c>
      <c r="AD11" s="51">
        <f t="shared" si="5"/>
        <v>2935456.9193784483</v>
      </c>
      <c r="AE11" s="51">
        <f t="shared" si="6"/>
        <v>880637.07581353444</v>
      </c>
      <c r="AF11" s="13"/>
      <c r="AG11" s="51">
        <f t="shared" si="7"/>
        <v>880637.07581353444</v>
      </c>
    </row>
    <row r="12" spans="1:34" x14ac:dyDescent="0.35">
      <c r="A12" s="7" t="s">
        <v>20</v>
      </c>
      <c r="B12" s="8" t="s">
        <v>21</v>
      </c>
      <c r="C12" s="8" t="s">
        <v>24</v>
      </c>
      <c r="D12" s="9">
        <v>1</v>
      </c>
      <c r="E12" s="10"/>
      <c r="F12" s="11">
        <v>4247.41</v>
      </c>
      <c r="G12" s="12">
        <v>35</v>
      </c>
      <c r="H12" s="12">
        <f t="shared" si="9"/>
        <v>1486.5934999999999</v>
      </c>
      <c r="I12" s="13">
        <v>8</v>
      </c>
      <c r="J12" s="13">
        <f t="shared" si="0"/>
        <v>280</v>
      </c>
      <c r="K12" s="14">
        <f t="shared" si="10"/>
        <v>11892.748</v>
      </c>
      <c r="L12" s="15">
        <v>0.85</v>
      </c>
      <c r="M12" s="16">
        <f t="shared" si="8"/>
        <v>10108.835799999999</v>
      </c>
      <c r="N12" s="16">
        <f t="shared" ref="N12:N18" si="11">+F12*0.4*6</f>
        <v>10193.784</v>
      </c>
      <c r="O12" s="16">
        <f t="shared" ref="O12:O18" si="12">+M12/I12</f>
        <v>1263.6044749999999</v>
      </c>
      <c r="P12" s="16">
        <f>+O12*2</f>
        <v>2527.2089499999997</v>
      </c>
      <c r="Q12" s="16"/>
      <c r="R12" s="16" t="s">
        <v>181</v>
      </c>
      <c r="S12" s="101"/>
      <c r="T12" s="101"/>
      <c r="U12" s="101"/>
      <c r="V12" s="101"/>
      <c r="W12" s="13">
        <v>954</v>
      </c>
      <c r="X12" s="13">
        <v>1.72</v>
      </c>
      <c r="Y12" s="13">
        <f t="shared" si="1"/>
        <v>1640.8799999999999</v>
      </c>
      <c r="Z12" s="51">
        <f t="shared" si="2"/>
        <v>19514572.338239998</v>
      </c>
      <c r="AA12" s="51">
        <f t="shared" si="3"/>
        <v>2661787.6669359356</v>
      </c>
      <c r="AB12" s="13">
        <v>400</v>
      </c>
      <c r="AC12" s="51">
        <f t="shared" si="4"/>
        <v>1698964</v>
      </c>
      <c r="AD12" s="51">
        <f t="shared" si="5"/>
        <v>962823.66693593562</v>
      </c>
      <c r="AE12" s="51">
        <f t="shared" si="6"/>
        <v>288847.10008078068</v>
      </c>
      <c r="AF12" s="13"/>
      <c r="AG12" s="51">
        <f t="shared" si="7"/>
        <v>288847.10008078068</v>
      </c>
    </row>
    <row r="13" spans="1:34" x14ac:dyDescent="0.35">
      <c r="A13" s="7" t="s">
        <v>20</v>
      </c>
      <c r="B13" s="8" t="s">
        <v>21</v>
      </c>
      <c r="C13" s="8" t="s">
        <v>25</v>
      </c>
      <c r="D13" s="9">
        <v>2</v>
      </c>
      <c r="E13" s="10"/>
      <c r="F13" s="11">
        <v>4062.2</v>
      </c>
      <c r="G13" s="12">
        <v>35</v>
      </c>
      <c r="H13" s="12">
        <f t="shared" si="9"/>
        <v>1421.77</v>
      </c>
      <c r="I13" s="13">
        <v>8</v>
      </c>
      <c r="J13" s="13">
        <f t="shared" si="0"/>
        <v>280</v>
      </c>
      <c r="K13" s="14">
        <f t="shared" si="10"/>
        <v>11374.16</v>
      </c>
      <c r="L13" s="15">
        <v>0.85</v>
      </c>
      <c r="M13" s="16">
        <f t="shared" si="8"/>
        <v>9668.0360000000001</v>
      </c>
      <c r="N13" s="16">
        <f t="shared" si="11"/>
        <v>9749.2800000000007</v>
      </c>
      <c r="O13" s="16">
        <f t="shared" si="12"/>
        <v>1208.5045</v>
      </c>
      <c r="P13" s="16">
        <f>+O13*2</f>
        <v>2417.009</v>
      </c>
      <c r="Q13" s="16"/>
      <c r="R13" s="16" t="s">
        <v>181</v>
      </c>
      <c r="S13" s="101"/>
      <c r="T13" s="101"/>
      <c r="U13" s="101"/>
      <c r="V13" s="101"/>
      <c r="W13" s="13">
        <v>954</v>
      </c>
      <c r="X13" s="13">
        <v>1.72</v>
      </c>
      <c r="Y13" s="13">
        <f t="shared" si="1"/>
        <v>1640.8799999999999</v>
      </c>
      <c r="Z13" s="51">
        <f t="shared" si="2"/>
        <v>18663631.660799999</v>
      </c>
      <c r="AA13" s="51">
        <f t="shared" si="3"/>
        <v>2545719.3585331198</v>
      </c>
      <c r="AB13" s="13">
        <v>400</v>
      </c>
      <c r="AC13" s="51">
        <f t="shared" si="4"/>
        <v>1624880</v>
      </c>
      <c r="AD13" s="51">
        <f t="shared" si="5"/>
        <v>920839.35853311978</v>
      </c>
      <c r="AE13" s="51">
        <f t="shared" si="6"/>
        <v>276251.8075599359</v>
      </c>
      <c r="AF13" s="13"/>
      <c r="AG13" s="51">
        <f t="shared" si="7"/>
        <v>276251.8075599359</v>
      </c>
    </row>
    <row r="14" spans="1:34" x14ac:dyDescent="0.35">
      <c r="A14" s="7" t="s">
        <v>20</v>
      </c>
      <c r="B14" s="8" t="s">
        <v>26</v>
      </c>
      <c r="C14" s="8" t="s">
        <v>27</v>
      </c>
      <c r="D14" s="9">
        <v>1</v>
      </c>
      <c r="E14" s="10"/>
      <c r="F14" s="11">
        <v>4643.3599999999997</v>
      </c>
      <c r="G14" s="12">
        <v>35</v>
      </c>
      <c r="H14" s="12">
        <f t="shared" si="9"/>
        <v>1625.1759999999997</v>
      </c>
      <c r="I14" s="13">
        <v>8</v>
      </c>
      <c r="J14" s="13">
        <f t="shared" si="0"/>
        <v>280</v>
      </c>
      <c r="K14" s="14">
        <f t="shared" si="10"/>
        <v>13001.407999999998</v>
      </c>
      <c r="L14" s="15">
        <v>0.85</v>
      </c>
      <c r="M14" s="16">
        <f t="shared" si="8"/>
        <v>11051.196799999998</v>
      </c>
      <c r="N14" s="16">
        <f t="shared" si="11"/>
        <v>11144.064</v>
      </c>
      <c r="O14" s="16">
        <f t="shared" si="12"/>
        <v>1381.3995999999997</v>
      </c>
      <c r="P14" s="16">
        <f>+O14*2</f>
        <v>2762.7991999999995</v>
      </c>
      <c r="Q14" s="16"/>
      <c r="R14" s="16" t="s">
        <v>181</v>
      </c>
      <c r="S14" s="101"/>
      <c r="T14" s="101"/>
      <c r="U14" s="101"/>
      <c r="V14" s="101"/>
      <c r="W14" s="13">
        <v>954</v>
      </c>
      <c r="X14" s="13">
        <v>1.72</v>
      </c>
      <c r="Y14" s="13">
        <f t="shared" si="1"/>
        <v>1640.8799999999999</v>
      </c>
      <c r="Z14" s="51">
        <f t="shared" si="2"/>
        <v>21333750.359039996</v>
      </c>
      <c r="AA14" s="51">
        <f t="shared" si="3"/>
        <v>2909923.5489730551</v>
      </c>
      <c r="AB14" s="13">
        <v>400</v>
      </c>
      <c r="AC14" s="51">
        <f t="shared" si="4"/>
        <v>1857343.9999999998</v>
      </c>
      <c r="AD14" s="51">
        <f t="shared" si="5"/>
        <v>1052579.5489730553</v>
      </c>
      <c r="AE14" s="51">
        <f t="shared" si="6"/>
        <v>315773.86469191656</v>
      </c>
      <c r="AF14" s="13"/>
      <c r="AG14" s="51">
        <f t="shared" si="7"/>
        <v>315773.86469191656</v>
      </c>
    </row>
    <row r="15" spans="1:34" x14ac:dyDescent="0.35">
      <c r="A15" s="7" t="s">
        <v>20</v>
      </c>
      <c r="B15" s="8" t="s">
        <v>21</v>
      </c>
      <c r="C15" s="8" t="s">
        <v>28</v>
      </c>
      <c r="D15" s="9">
        <v>2</v>
      </c>
      <c r="E15" s="10"/>
      <c r="F15" s="11">
        <v>5265.26</v>
      </c>
      <c r="G15" s="12">
        <v>35</v>
      </c>
      <c r="H15" s="12">
        <f t="shared" si="9"/>
        <v>1842.8410000000001</v>
      </c>
      <c r="I15" s="13">
        <v>13</v>
      </c>
      <c r="J15" s="13">
        <f t="shared" si="0"/>
        <v>455</v>
      </c>
      <c r="K15" s="14">
        <f t="shared" si="10"/>
        <v>23956.933000000005</v>
      </c>
      <c r="L15" s="15">
        <v>0.85</v>
      </c>
      <c r="M15" s="16">
        <f t="shared" si="8"/>
        <v>20363.393050000002</v>
      </c>
      <c r="N15" s="16">
        <f t="shared" si="11"/>
        <v>12636.624000000002</v>
      </c>
      <c r="O15" s="16">
        <f t="shared" si="12"/>
        <v>1566.4148500000001</v>
      </c>
      <c r="P15" s="16">
        <f>+O15*7</f>
        <v>10964.90395</v>
      </c>
      <c r="Q15" s="16"/>
      <c r="R15" s="16" t="s">
        <v>181</v>
      </c>
      <c r="S15" s="101"/>
      <c r="T15" s="101"/>
      <c r="U15" s="101"/>
      <c r="V15" s="101"/>
      <c r="W15" s="13">
        <v>1083</v>
      </c>
      <c r="X15" s="13">
        <v>1.72</v>
      </c>
      <c r="Y15" s="13">
        <f t="shared" si="1"/>
        <v>1862.76</v>
      </c>
      <c r="Z15" s="51">
        <f t="shared" si="2"/>
        <v>44626016.515080005</v>
      </c>
      <c r="AA15" s="51">
        <f t="shared" si="3"/>
        <v>6086988.6526569128</v>
      </c>
      <c r="AB15" s="13">
        <v>400</v>
      </c>
      <c r="AC15" s="51">
        <f t="shared" si="4"/>
        <v>2106104</v>
      </c>
      <c r="AD15" s="51">
        <f t="shared" si="5"/>
        <v>3980884.6526569128</v>
      </c>
      <c r="AE15" s="51">
        <f t="shared" si="6"/>
        <v>1194265.3957970738</v>
      </c>
      <c r="AF15" s="13"/>
      <c r="AG15" s="51">
        <f t="shared" si="7"/>
        <v>1194265.3957970738</v>
      </c>
    </row>
    <row r="16" spans="1:34" x14ac:dyDescent="0.35">
      <c r="A16" s="7" t="s">
        <v>20</v>
      </c>
      <c r="B16" s="8" t="s">
        <v>29</v>
      </c>
      <c r="C16" s="8" t="s">
        <v>30</v>
      </c>
      <c r="D16" s="9">
        <v>2</v>
      </c>
      <c r="E16" s="10"/>
      <c r="F16" s="11">
        <v>4737.46</v>
      </c>
      <c r="G16" s="12">
        <v>35</v>
      </c>
      <c r="H16" s="12">
        <f t="shared" si="9"/>
        <v>1658.1110000000001</v>
      </c>
      <c r="I16" s="13">
        <v>12</v>
      </c>
      <c r="J16" s="13">
        <f t="shared" si="0"/>
        <v>420</v>
      </c>
      <c r="K16" s="14">
        <f t="shared" si="10"/>
        <v>19897.331999999999</v>
      </c>
      <c r="L16" s="15">
        <v>0.85</v>
      </c>
      <c r="M16" s="16">
        <f t="shared" si="8"/>
        <v>16912.732199999999</v>
      </c>
      <c r="N16" s="16">
        <f t="shared" si="11"/>
        <v>11369.904</v>
      </c>
      <c r="O16" s="16">
        <f t="shared" si="12"/>
        <v>1409.3943499999998</v>
      </c>
      <c r="P16" s="16">
        <f>+O16*6</f>
        <v>8456.3660999999993</v>
      </c>
      <c r="Q16" s="16"/>
      <c r="R16" s="16" t="s">
        <v>181</v>
      </c>
      <c r="S16" s="101"/>
      <c r="T16" s="101"/>
      <c r="U16" s="101"/>
      <c r="V16" s="101"/>
      <c r="W16" s="13">
        <v>1083</v>
      </c>
      <c r="X16" s="13">
        <v>1.72</v>
      </c>
      <c r="Y16" s="13">
        <f t="shared" si="1"/>
        <v>1862.76</v>
      </c>
      <c r="Z16" s="51">
        <f t="shared" si="2"/>
        <v>37063954.156319998</v>
      </c>
      <c r="AA16" s="51">
        <f t="shared" si="3"/>
        <v>5055523.3469220474</v>
      </c>
      <c r="AB16" s="13">
        <v>400</v>
      </c>
      <c r="AC16" s="51">
        <f t="shared" si="4"/>
        <v>1894984</v>
      </c>
      <c r="AD16" s="51">
        <f t="shared" si="5"/>
        <v>3160539.3469220474</v>
      </c>
      <c r="AE16" s="51">
        <f t="shared" si="6"/>
        <v>948161.80407661421</v>
      </c>
      <c r="AF16" s="13"/>
      <c r="AG16" s="51">
        <f t="shared" si="7"/>
        <v>948161.80407661421</v>
      </c>
    </row>
    <row r="17" spans="1:33" x14ac:dyDescent="0.35">
      <c r="A17" s="7" t="s">
        <v>20</v>
      </c>
      <c r="B17" s="8" t="s">
        <v>29</v>
      </c>
      <c r="C17" s="8" t="s">
        <v>31</v>
      </c>
      <c r="D17" s="9">
        <v>1</v>
      </c>
      <c r="E17" s="10"/>
      <c r="F17" s="11">
        <v>2341.96</v>
      </c>
      <c r="G17" s="12">
        <v>35</v>
      </c>
      <c r="H17" s="12">
        <f t="shared" si="9"/>
        <v>819.68600000000004</v>
      </c>
      <c r="I17" s="13">
        <v>13</v>
      </c>
      <c r="J17" s="13">
        <f t="shared" si="0"/>
        <v>455</v>
      </c>
      <c r="K17" s="14">
        <f t="shared" si="10"/>
        <v>10655.918</v>
      </c>
      <c r="L17" s="15">
        <v>0.85</v>
      </c>
      <c r="M17" s="16">
        <f t="shared" si="8"/>
        <v>9057.5303000000004</v>
      </c>
      <c r="N17" s="16">
        <f t="shared" si="11"/>
        <v>5620.7040000000006</v>
      </c>
      <c r="O17" s="16">
        <f t="shared" si="12"/>
        <v>696.73310000000004</v>
      </c>
      <c r="P17" s="16">
        <f>+O17*7</f>
        <v>4877.1316999999999</v>
      </c>
      <c r="Q17" s="16"/>
      <c r="R17" s="16" t="s">
        <v>181</v>
      </c>
      <c r="S17" s="101"/>
      <c r="T17" s="101"/>
      <c r="U17" s="101"/>
      <c r="V17" s="101"/>
      <c r="W17" s="13">
        <v>1083</v>
      </c>
      <c r="X17" s="13">
        <v>1.72</v>
      </c>
      <c r="Y17" s="13">
        <f t="shared" si="1"/>
        <v>1862.76</v>
      </c>
      <c r="Z17" s="51">
        <f t="shared" si="2"/>
        <v>19849417.813680001</v>
      </c>
      <c r="AA17" s="51">
        <f t="shared" si="3"/>
        <v>2707460.5897859521</v>
      </c>
      <c r="AB17" s="13">
        <v>400</v>
      </c>
      <c r="AC17" s="51">
        <f t="shared" si="4"/>
        <v>936784</v>
      </c>
      <c r="AD17" s="51">
        <f t="shared" si="5"/>
        <v>1770676.5897859521</v>
      </c>
      <c r="AE17" s="51">
        <f t="shared" si="6"/>
        <v>531202.97693578561</v>
      </c>
      <c r="AF17" s="13"/>
      <c r="AG17" s="51">
        <f t="shared" si="7"/>
        <v>531202.97693578561</v>
      </c>
    </row>
    <row r="18" spans="1:33" ht="21" customHeight="1" x14ac:dyDescent="0.35">
      <c r="A18" s="7" t="s">
        <v>20</v>
      </c>
      <c r="B18" s="8" t="s">
        <v>19</v>
      </c>
      <c r="C18" s="8" t="s">
        <v>32</v>
      </c>
      <c r="D18" s="9">
        <v>1</v>
      </c>
      <c r="E18" s="10"/>
      <c r="F18" s="11">
        <v>3900.81</v>
      </c>
      <c r="G18" s="12">
        <v>35</v>
      </c>
      <c r="H18" s="12">
        <f t="shared" si="9"/>
        <v>1365.2835</v>
      </c>
      <c r="I18" s="13">
        <v>13</v>
      </c>
      <c r="J18" s="13">
        <f t="shared" si="0"/>
        <v>455</v>
      </c>
      <c r="K18" s="14">
        <f t="shared" si="10"/>
        <v>17748.6855</v>
      </c>
      <c r="L18" s="15">
        <v>0.85</v>
      </c>
      <c r="M18" s="16">
        <f t="shared" si="8"/>
        <v>15086.382674999999</v>
      </c>
      <c r="N18" s="16">
        <f t="shared" si="11"/>
        <v>9361.9439999999995</v>
      </c>
      <c r="O18" s="16">
        <f t="shared" si="12"/>
        <v>1160.4909749999999</v>
      </c>
      <c r="P18" s="16">
        <f>+M18*7</f>
        <v>105604.67872499999</v>
      </c>
      <c r="Q18" s="16"/>
      <c r="R18" s="16" t="s">
        <v>181</v>
      </c>
      <c r="S18" s="102"/>
      <c r="T18" s="102"/>
      <c r="U18" s="102"/>
      <c r="V18" s="102"/>
      <c r="W18" s="13">
        <v>1083</v>
      </c>
      <c r="X18" s="13">
        <v>1.72</v>
      </c>
      <c r="Y18" s="13">
        <f t="shared" si="1"/>
        <v>1862.76</v>
      </c>
      <c r="Z18" s="51">
        <f t="shared" si="2"/>
        <v>33061541.401979998</v>
      </c>
      <c r="AA18" s="51">
        <f t="shared" si="3"/>
        <v>4509594.2472300716</v>
      </c>
      <c r="AB18" s="13">
        <v>400</v>
      </c>
      <c r="AC18" s="51">
        <f t="shared" si="4"/>
        <v>1560324</v>
      </c>
      <c r="AD18" s="51">
        <f t="shared" si="5"/>
        <v>2949270.2472300716</v>
      </c>
      <c r="AE18" s="51">
        <f t="shared" si="6"/>
        <v>884781.07416902145</v>
      </c>
      <c r="AF18" s="13"/>
      <c r="AG18" s="51">
        <f t="shared" si="7"/>
        <v>884781.07416902145</v>
      </c>
    </row>
    <row r="19" spans="1:33" ht="21" customHeight="1" x14ac:dyDescent="0.35">
      <c r="A19" s="7"/>
      <c r="B19" s="8"/>
      <c r="C19" s="8"/>
      <c r="D19" s="9"/>
      <c r="E19" s="10"/>
      <c r="F19" s="11"/>
      <c r="G19" s="12"/>
      <c r="H19" s="12"/>
      <c r="I19" s="13"/>
      <c r="J19" s="13"/>
      <c r="K19" s="14"/>
      <c r="L19" s="15"/>
      <c r="M19" s="16">
        <f t="shared" si="8"/>
        <v>0</v>
      </c>
      <c r="N19" s="44"/>
      <c r="O19" s="44"/>
      <c r="P19" s="44"/>
      <c r="Q19" s="44"/>
      <c r="R19" s="44"/>
      <c r="S19" s="19"/>
      <c r="T19" s="19"/>
      <c r="U19" s="19"/>
      <c r="V19" s="19"/>
      <c r="W19" s="13"/>
      <c r="X19" s="13"/>
      <c r="Y19" s="13"/>
      <c r="Z19" s="51"/>
      <c r="AA19" s="51"/>
      <c r="AB19" s="13"/>
      <c r="AC19" s="51"/>
      <c r="AD19" s="51"/>
      <c r="AE19" s="51"/>
      <c r="AF19" s="13"/>
      <c r="AG19" s="51"/>
    </row>
    <row r="20" spans="1:33" x14ac:dyDescent="0.35">
      <c r="A20" s="7" t="s">
        <v>33</v>
      </c>
      <c r="B20" s="8" t="s">
        <v>34</v>
      </c>
      <c r="C20" s="8" t="s">
        <v>35</v>
      </c>
      <c r="D20" s="9">
        <v>2</v>
      </c>
      <c r="E20" s="10"/>
      <c r="F20" s="11">
        <v>8280.32</v>
      </c>
      <c r="G20" s="12">
        <v>50</v>
      </c>
      <c r="H20" s="12">
        <f>F20*G20/100</f>
        <v>4140.16</v>
      </c>
      <c r="I20" s="13">
        <v>10</v>
      </c>
      <c r="J20" s="13">
        <f t="shared" si="0"/>
        <v>500</v>
      </c>
      <c r="K20" s="14">
        <f>F20*J20/100</f>
        <v>41401.599999999999</v>
      </c>
      <c r="L20" s="15">
        <v>0.8</v>
      </c>
      <c r="M20" s="16">
        <f t="shared" si="8"/>
        <v>33121.279999999999</v>
      </c>
      <c r="N20" s="16">
        <f>+F20*0.4*6</f>
        <v>19872.768</v>
      </c>
      <c r="O20" s="16">
        <f>+N20/10*L20</f>
        <v>1589.8214400000002</v>
      </c>
      <c r="P20" s="48"/>
      <c r="Q20" s="16">
        <f>+O20*4+10%</f>
        <v>6359.385760000001</v>
      </c>
      <c r="R20" s="16" t="s">
        <v>182</v>
      </c>
      <c r="S20" s="98">
        <f>SUM(F20:F21)</f>
        <v>15186.41</v>
      </c>
      <c r="T20" s="98">
        <f>SUM(H20:H21)</f>
        <v>7593.2049999999999</v>
      </c>
      <c r="U20" s="98">
        <f>SUM(K20:K21)</f>
        <v>75932.049999999988</v>
      </c>
      <c r="V20" s="98">
        <f>SUM(M20:M21)</f>
        <v>60745.64</v>
      </c>
      <c r="W20" s="13">
        <v>1083</v>
      </c>
      <c r="X20" s="13">
        <v>1.37</v>
      </c>
      <c r="Y20" s="13">
        <f t="shared" si="1"/>
        <v>1483.71</v>
      </c>
      <c r="Z20" s="51">
        <f t="shared" si="2"/>
        <v>61427967.935999997</v>
      </c>
      <c r="AA20" s="51">
        <f t="shared" si="3"/>
        <v>8378774.8264703993</v>
      </c>
      <c r="AB20" s="13">
        <v>400</v>
      </c>
      <c r="AC20" s="51">
        <f t="shared" si="4"/>
        <v>3312128</v>
      </c>
      <c r="AD20" s="51">
        <f t="shared" si="5"/>
        <v>5066646.8264703993</v>
      </c>
      <c r="AE20" s="51">
        <f t="shared" si="6"/>
        <v>1519994.0479411196</v>
      </c>
      <c r="AF20" s="13"/>
      <c r="AG20" s="51">
        <f t="shared" si="7"/>
        <v>1519994.0479411196</v>
      </c>
    </row>
    <row r="21" spans="1:33" x14ac:dyDescent="0.35">
      <c r="A21" s="7" t="s">
        <v>33</v>
      </c>
      <c r="B21" s="8" t="s">
        <v>34</v>
      </c>
      <c r="C21" s="8" t="s">
        <v>36</v>
      </c>
      <c r="D21" s="9">
        <v>2</v>
      </c>
      <c r="E21" s="10"/>
      <c r="F21" s="11">
        <v>6906.09</v>
      </c>
      <c r="G21" s="12">
        <v>50</v>
      </c>
      <c r="H21" s="12">
        <f>F21*G21/100</f>
        <v>3453.0450000000001</v>
      </c>
      <c r="I21" s="13">
        <v>10</v>
      </c>
      <c r="J21" s="13">
        <f t="shared" si="0"/>
        <v>500</v>
      </c>
      <c r="K21" s="14">
        <f>F21*J21/100</f>
        <v>34530.449999999997</v>
      </c>
      <c r="L21" s="15">
        <v>0.8</v>
      </c>
      <c r="M21" s="16">
        <f t="shared" si="8"/>
        <v>27624.36</v>
      </c>
      <c r="N21" s="16">
        <f>+F21*0.4*6</f>
        <v>16574.616000000002</v>
      </c>
      <c r="O21" s="16">
        <f>+N21/10*L21</f>
        <v>1325.9692800000003</v>
      </c>
      <c r="P21" s="48"/>
      <c r="Q21" s="16">
        <f>+O21*4+10%</f>
        <v>5303.9771200000014</v>
      </c>
      <c r="R21" s="16" t="s">
        <v>182</v>
      </c>
      <c r="S21" s="99"/>
      <c r="T21" s="99"/>
      <c r="U21" s="99"/>
      <c r="V21" s="99"/>
      <c r="W21" s="13">
        <v>1083</v>
      </c>
      <c r="X21" s="13">
        <v>1.37</v>
      </c>
      <c r="Y21" s="13">
        <f t="shared" si="1"/>
        <v>1483.71</v>
      </c>
      <c r="Z21" s="51">
        <f t="shared" si="2"/>
        <v>51233173.969499998</v>
      </c>
      <c r="AA21" s="51">
        <f t="shared" si="3"/>
        <v>6988204.9294397989</v>
      </c>
      <c r="AB21" s="13">
        <v>400</v>
      </c>
      <c r="AC21" s="51">
        <f t="shared" si="4"/>
        <v>2762436</v>
      </c>
      <c r="AD21" s="51">
        <f t="shared" si="5"/>
        <v>4225768.9294397989</v>
      </c>
      <c r="AE21" s="51">
        <f t="shared" si="6"/>
        <v>1267730.6788319396</v>
      </c>
      <c r="AF21" s="13"/>
      <c r="AG21" s="51">
        <f t="shared" si="7"/>
        <v>1267730.6788319396</v>
      </c>
    </row>
    <row r="22" spans="1:33" x14ac:dyDescent="0.35">
      <c r="A22" s="7"/>
      <c r="B22" s="8"/>
      <c r="C22" s="8"/>
      <c r="D22" s="9"/>
      <c r="E22" s="10"/>
      <c r="F22" s="11"/>
      <c r="G22" s="12"/>
      <c r="H22" s="12"/>
      <c r="I22" s="13"/>
      <c r="J22" s="13"/>
      <c r="K22" s="14"/>
      <c r="L22" s="15"/>
      <c r="M22" s="16">
        <f t="shared" si="8"/>
        <v>0</v>
      </c>
      <c r="N22" s="44"/>
      <c r="O22" s="44"/>
      <c r="P22" s="44"/>
      <c r="Q22" s="44"/>
      <c r="R22" s="44"/>
      <c r="S22" s="19"/>
      <c r="T22" s="19"/>
      <c r="U22" s="19"/>
      <c r="V22" s="19"/>
      <c r="W22" s="13"/>
      <c r="X22" s="13"/>
      <c r="Y22" s="13"/>
      <c r="Z22" s="51"/>
      <c r="AA22" s="51"/>
      <c r="AB22" s="13"/>
      <c r="AC22" s="51"/>
      <c r="AD22" s="51"/>
      <c r="AE22" s="51"/>
      <c r="AF22" s="13"/>
      <c r="AG22" s="51"/>
    </row>
    <row r="23" spans="1:33" x14ac:dyDescent="0.35">
      <c r="A23" s="7" t="s">
        <v>37</v>
      </c>
      <c r="B23" s="8" t="s">
        <v>38</v>
      </c>
      <c r="C23" s="8" t="s">
        <v>39</v>
      </c>
      <c r="D23" s="9">
        <v>1</v>
      </c>
      <c r="E23" s="10"/>
      <c r="F23" s="11">
        <v>5435.97</v>
      </c>
      <c r="G23" s="12">
        <v>50</v>
      </c>
      <c r="H23" s="12">
        <f>F23*G23/100</f>
        <v>2717.9850000000001</v>
      </c>
      <c r="I23" s="13">
        <v>7</v>
      </c>
      <c r="J23" s="13">
        <f t="shared" si="0"/>
        <v>350</v>
      </c>
      <c r="K23" s="14">
        <f>F23*J23/100</f>
        <v>19025.895</v>
      </c>
      <c r="L23" s="15">
        <v>0.83</v>
      </c>
      <c r="M23" s="16">
        <f t="shared" si="8"/>
        <v>15791.492849999999</v>
      </c>
      <c r="N23" s="16">
        <f>+F23*0.4*6</f>
        <v>13046.328000000001</v>
      </c>
      <c r="O23" s="16">
        <f>+N23/10*L23</f>
        <v>1082.8452239999999</v>
      </c>
      <c r="P23" s="16">
        <f>+O23*1.1</f>
        <v>1191.1297463999999</v>
      </c>
      <c r="Q23" s="16"/>
      <c r="R23" s="16" t="s">
        <v>181</v>
      </c>
      <c r="S23" s="98">
        <f>SUM(F23:F27)</f>
        <v>22368.97</v>
      </c>
      <c r="T23" s="98">
        <f>SUM(H23:H27)</f>
        <v>11184.485000000001</v>
      </c>
      <c r="U23" s="98">
        <f>SUM(K23:K27)</f>
        <v>81277.095000000001</v>
      </c>
      <c r="V23" s="98">
        <f>SUM(M23:M27)</f>
        <v>67459.988849999994</v>
      </c>
      <c r="W23" s="13">
        <v>954</v>
      </c>
      <c r="X23" s="13">
        <v>1.72</v>
      </c>
      <c r="Y23" s="13">
        <f t="shared" si="1"/>
        <v>1640.8799999999999</v>
      </c>
      <c r="Z23" s="51">
        <f t="shared" si="2"/>
        <v>31219210.5876</v>
      </c>
      <c r="AA23" s="51">
        <f t="shared" si="3"/>
        <v>4258300.32414864</v>
      </c>
      <c r="AB23" s="13">
        <v>400</v>
      </c>
      <c r="AC23" s="51">
        <f t="shared" si="4"/>
        <v>2174388</v>
      </c>
      <c r="AD23" s="51">
        <f t="shared" si="5"/>
        <v>2083912.32414864</v>
      </c>
      <c r="AE23" s="51">
        <f t="shared" si="6"/>
        <v>625173.69724459201</v>
      </c>
      <c r="AF23" s="13"/>
      <c r="AG23" s="51">
        <f t="shared" si="7"/>
        <v>625173.69724459201</v>
      </c>
    </row>
    <row r="24" spans="1:33" x14ac:dyDescent="0.35">
      <c r="A24" s="7" t="s">
        <v>37</v>
      </c>
      <c r="B24" s="8" t="s">
        <v>38</v>
      </c>
      <c r="C24" s="8" t="s">
        <v>40</v>
      </c>
      <c r="D24" s="9">
        <v>1</v>
      </c>
      <c r="E24" s="10"/>
      <c r="F24" s="11">
        <v>2511.9899999999998</v>
      </c>
      <c r="G24" s="12">
        <v>50</v>
      </c>
      <c r="H24" s="12">
        <f>F24*G24/100</f>
        <v>1255.9949999999999</v>
      </c>
      <c r="I24" s="13">
        <v>7</v>
      </c>
      <c r="J24" s="13">
        <f t="shared" si="0"/>
        <v>350</v>
      </c>
      <c r="K24" s="14">
        <f>F24*J24/100</f>
        <v>8791.9649999999983</v>
      </c>
      <c r="L24" s="15">
        <v>0.83</v>
      </c>
      <c r="M24" s="16">
        <f t="shared" si="8"/>
        <v>7297.3309499999987</v>
      </c>
      <c r="N24" s="16">
        <f>+F24*0.4*6</f>
        <v>6028.7759999999998</v>
      </c>
      <c r="O24" s="16">
        <f>+N24/10*L24</f>
        <v>500.38840800000003</v>
      </c>
      <c r="P24" s="16">
        <f>+O24*1.1</f>
        <v>550.42724880000003</v>
      </c>
      <c r="Q24" s="16"/>
      <c r="R24" s="16" t="s">
        <v>181</v>
      </c>
      <c r="S24" s="99"/>
      <c r="T24" s="99"/>
      <c r="U24" s="99"/>
      <c r="V24" s="99"/>
      <c r="W24" s="13">
        <v>954</v>
      </c>
      <c r="X24" s="13">
        <v>1.72</v>
      </c>
      <c r="Y24" s="13">
        <f t="shared" si="1"/>
        <v>1640.8799999999999</v>
      </c>
      <c r="Z24" s="51">
        <f t="shared" si="2"/>
        <v>14426559.529199997</v>
      </c>
      <c r="AA24" s="51">
        <f t="shared" si="3"/>
        <v>1967782.7197828796</v>
      </c>
      <c r="AB24" s="13">
        <v>400</v>
      </c>
      <c r="AC24" s="51">
        <f t="shared" si="4"/>
        <v>1004795.9999999999</v>
      </c>
      <c r="AD24" s="51">
        <f t="shared" si="5"/>
        <v>962986.71978287969</v>
      </c>
      <c r="AE24" s="51">
        <f t="shared" si="6"/>
        <v>288896.01593486388</v>
      </c>
      <c r="AF24" s="13"/>
      <c r="AG24" s="51">
        <f t="shared" si="7"/>
        <v>288896.01593486388</v>
      </c>
    </row>
    <row r="25" spans="1:33" x14ac:dyDescent="0.35">
      <c r="A25" s="7" t="s">
        <v>37</v>
      </c>
      <c r="B25" s="8" t="s">
        <v>41</v>
      </c>
      <c r="C25" s="8" t="s">
        <v>42</v>
      </c>
      <c r="D25" s="9">
        <v>1</v>
      </c>
      <c r="E25" s="10"/>
      <c r="F25" s="11">
        <v>5971.4</v>
      </c>
      <c r="G25" s="12">
        <v>50</v>
      </c>
      <c r="H25" s="12">
        <f>F25*G25/100</f>
        <v>2985.7</v>
      </c>
      <c r="I25" s="13">
        <v>8</v>
      </c>
      <c r="J25" s="13">
        <f t="shared" si="0"/>
        <v>400</v>
      </c>
      <c r="K25" s="14">
        <f>F25*J25/100</f>
        <v>23885.599999999999</v>
      </c>
      <c r="L25" s="15">
        <v>0.83</v>
      </c>
      <c r="M25" s="16">
        <f t="shared" si="8"/>
        <v>19825.047999999999</v>
      </c>
      <c r="N25" s="16">
        <f>+F25*0.4*6</f>
        <v>14331.36</v>
      </c>
      <c r="O25" s="16">
        <f>+N25/10*L25</f>
        <v>1189.50288</v>
      </c>
      <c r="P25" s="16"/>
      <c r="Q25" s="16">
        <f>+O25*2.11</f>
        <v>2509.8510767999996</v>
      </c>
      <c r="R25" s="16" t="s">
        <v>41</v>
      </c>
      <c r="S25" s="99"/>
      <c r="T25" s="99"/>
      <c r="U25" s="99"/>
      <c r="V25" s="99"/>
      <c r="W25" s="13">
        <v>954</v>
      </c>
      <c r="X25" s="13">
        <v>2.0699999999999998</v>
      </c>
      <c r="Y25" s="13">
        <f t="shared" si="1"/>
        <v>1974.7799999999997</v>
      </c>
      <c r="Z25" s="51">
        <f t="shared" si="2"/>
        <v>47168805.16799999</v>
      </c>
      <c r="AA25" s="51">
        <f t="shared" si="3"/>
        <v>6433825.0249151988</v>
      </c>
      <c r="AB25" s="13">
        <v>400</v>
      </c>
      <c r="AC25" s="51">
        <f t="shared" si="4"/>
        <v>2388560</v>
      </c>
      <c r="AD25" s="51">
        <f t="shared" si="5"/>
        <v>4045265.0249151988</v>
      </c>
      <c r="AE25" s="51">
        <f t="shared" si="6"/>
        <v>1213579.5074745596</v>
      </c>
      <c r="AF25" s="53">
        <v>0.45</v>
      </c>
      <c r="AG25" s="51">
        <f>AE25*AF25</f>
        <v>546110.77836355183</v>
      </c>
    </row>
    <row r="26" spans="1:33" x14ac:dyDescent="0.35">
      <c r="A26" s="7" t="s">
        <v>37</v>
      </c>
      <c r="B26" s="8" t="s">
        <v>38</v>
      </c>
      <c r="C26" s="8" t="s">
        <v>43</v>
      </c>
      <c r="D26" s="9">
        <v>1</v>
      </c>
      <c r="E26" s="10"/>
      <c r="F26" s="11">
        <v>6003.07</v>
      </c>
      <c r="G26" s="12">
        <v>50</v>
      </c>
      <c r="H26" s="12">
        <f>F26*G26/100</f>
        <v>3001.5349999999999</v>
      </c>
      <c r="I26" s="13">
        <v>7</v>
      </c>
      <c r="J26" s="13">
        <f t="shared" si="0"/>
        <v>350</v>
      </c>
      <c r="K26" s="14">
        <f>F26*J26/100</f>
        <v>21010.744999999999</v>
      </c>
      <c r="L26" s="15">
        <v>0.83</v>
      </c>
      <c r="M26" s="16">
        <f t="shared" si="8"/>
        <v>17438.91835</v>
      </c>
      <c r="N26" s="16">
        <f>+F26*0.4*6</f>
        <v>14407.368</v>
      </c>
      <c r="O26" s="16">
        <f>+N26/10*L26</f>
        <v>1195.8115440000001</v>
      </c>
      <c r="P26" s="16">
        <f>+O26*1.1</f>
        <v>1315.3926984000002</v>
      </c>
      <c r="Q26" s="16"/>
      <c r="R26" s="16" t="s">
        <v>183</v>
      </c>
      <c r="S26" s="99"/>
      <c r="T26" s="99"/>
      <c r="U26" s="99"/>
      <c r="V26" s="99"/>
      <c r="W26" s="13">
        <v>954</v>
      </c>
      <c r="X26" s="13">
        <v>1.72</v>
      </c>
      <c r="Y26" s="13">
        <f t="shared" si="1"/>
        <v>1640.8799999999999</v>
      </c>
      <c r="Z26" s="51">
        <f t="shared" si="2"/>
        <v>34476111.255599998</v>
      </c>
      <c r="AA26" s="51">
        <f t="shared" si="3"/>
        <v>4702541.5752638392</v>
      </c>
      <c r="AB26" s="13">
        <v>400</v>
      </c>
      <c r="AC26" s="51">
        <f t="shared" si="4"/>
        <v>2401228</v>
      </c>
      <c r="AD26" s="51">
        <f t="shared" si="5"/>
        <v>2301313.5752638392</v>
      </c>
      <c r="AE26" s="51">
        <f t="shared" si="6"/>
        <v>690394.07257915172</v>
      </c>
      <c r="AF26" s="13"/>
      <c r="AG26" s="51">
        <f t="shared" si="7"/>
        <v>690394.07257915172</v>
      </c>
    </row>
    <row r="27" spans="1:33" x14ac:dyDescent="0.35">
      <c r="A27" s="7" t="s">
        <v>37</v>
      </c>
      <c r="B27" s="8" t="s">
        <v>44</v>
      </c>
      <c r="C27" s="8" t="s">
        <v>45</v>
      </c>
      <c r="D27" s="9">
        <v>1</v>
      </c>
      <c r="E27" s="10"/>
      <c r="F27" s="11">
        <v>2446.54</v>
      </c>
      <c r="G27" s="12">
        <v>50</v>
      </c>
      <c r="H27" s="12">
        <f>F27*G27/100</f>
        <v>1223.27</v>
      </c>
      <c r="I27" s="13">
        <v>7</v>
      </c>
      <c r="J27" s="13">
        <f t="shared" si="0"/>
        <v>350</v>
      </c>
      <c r="K27" s="14">
        <f>F27*J27/100</f>
        <v>8562.89</v>
      </c>
      <c r="L27" s="15">
        <v>0.83</v>
      </c>
      <c r="M27" s="16">
        <f t="shared" si="8"/>
        <v>7107.198699999999</v>
      </c>
      <c r="N27" s="16">
        <f>+F27*0.4*6</f>
        <v>5871.6959999999999</v>
      </c>
      <c r="O27" s="16">
        <f>+N27/10*L27</f>
        <v>487.35076799999996</v>
      </c>
      <c r="P27" s="16">
        <f>+O27*1.1</f>
        <v>536.08584480000002</v>
      </c>
      <c r="Q27" s="16"/>
      <c r="R27" s="16" t="s">
        <v>183</v>
      </c>
      <c r="S27" s="99"/>
      <c r="T27" s="99"/>
      <c r="U27" s="99"/>
      <c r="V27" s="99"/>
      <c r="W27" s="13">
        <v>954</v>
      </c>
      <c r="X27" s="13">
        <v>1.37</v>
      </c>
      <c r="Y27" s="13">
        <f t="shared" si="1"/>
        <v>1306.98</v>
      </c>
      <c r="Z27" s="51">
        <f t="shared" si="2"/>
        <v>11191525.972199999</v>
      </c>
      <c r="AA27" s="51">
        <f t="shared" si="3"/>
        <v>1526524.1426080798</v>
      </c>
      <c r="AB27" s="13">
        <v>400</v>
      </c>
      <c r="AC27" s="51">
        <f t="shared" si="4"/>
        <v>978616</v>
      </c>
      <c r="AD27" s="51">
        <f t="shared" si="5"/>
        <v>547908.14260807983</v>
      </c>
      <c r="AE27" s="51">
        <f t="shared" si="6"/>
        <v>164372.44278242395</v>
      </c>
      <c r="AF27" s="13"/>
      <c r="AG27" s="51">
        <f t="shared" si="7"/>
        <v>164372.44278242395</v>
      </c>
    </row>
    <row r="28" spans="1:33" x14ac:dyDescent="0.35">
      <c r="A28" s="7"/>
      <c r="B28" s="8"/>
      <c r="C28" s="8"/>
      <c r="D28" s="9"/>
      <c r="E28" s="10"/>
      <c r="F28" s="11"/>
      <c r="G28" s="12"/>
      <c r="H28" s="12"/>
      <c r="I28" s="13"/>
      <c r="J28" s="13"/>
      <c r="K28" s="14"/>
      <c r="L28" s="15"/>
      <c r="M28" s="16">
        <f t="shared" si="8"/>
        <v>0</v>
      </c>
      <c r="N28" s="44"/>
      <c r="O28" s="44"/>
      <c r="P28" s="44"/>
      <c r="Q28" s="44"/>
      <c r="R28" s="44"/>
      <c r="S28" s="19"/>
      <c r="T28" s="19"/>
      <c r="U28" s="19"/>
      <c r="V28" s="19"/>
      <c r="W28" s="13"/>
      <c r="X28" s="13"/>
      <c r="Y28" s="13"/>
      <c r="Z28" s="51"/>
      <c r="AA28" s="51"/>
      <c r="AB28" s="13"/>
      <c r="AC28" s="51"/>
      <c r="AD28" s="51"/>
      <c r="AE28" s="51"/>
      <c r="AF28" s="13"/>
      <c r="AG28" s="51"/>
    </row>
    <row r="29" spans="1:33" x14ac:dyDescent="0.35">
      <c r="A29" s="7" t="s">
        <v>46</v>
      </c>
      <c r="B29" s="8" t="s">
        <v>47</v>
      </c>
      <c r="C29" s="8" t="s">
        <v>48</v>
      </c>
      <c r="D29" s="9">
        <v>1</v>
      </c>
      <c r="E29" s="10"/>
      <c r="F29" s="11">
        <v>8871.19</v>
      </c>
      <c r="G29" s="12">
        <v>45</v>
      </c>
      <c r="H29" s="12">
        <f>F29*G29/100</f>
        <v>3992.0355000000004</v>
      </c>
      <c r="I29" s="13">
        <v>6</v>
      </c>
      <c r="J29" s="13">
        <f t="shared" si="0"/>
        <v>270</v>
      </c>
      <c r="K29" s="14">
        <f>F29*J29/100</f>
        <v>23952.213000000003</v>
      </c>
      <c r="L29" s="15">
        <v>0.83</v>
      </c>
      <c r="M29" s="16">
        <f t="shared" si="8"/>
        <v>19880.336790000001</v>
      </c>
      <c r="N29" s="16">
        <f>+F29*0.4*6</f>
        <v>21290.856000000003</v>
      </c>
      <c r="O29" s="16">
        <f>+M29/6</f>
        <v>3313.3894650000002</v>
      </c>
      <c r="P29" s="16"/>
      <c r="Q29" s="16">
        <f>+O29+0.5%</f>
        <v>3313.3944650000003</v>
      </c>
      <c r="R29" s="16" t="s">
        <v>185</v>
      </c>
      <c r="S29" s="98">
        <f>SUM(F29:F30)</f>
        <v>15088.66</v>
      </c>
      <c r="T29" s="98">
        <f>SUM(H29:H30)</f>
        <v>6789.8970000000008</v>
      </c>
      <c r="U29" s="98">
        <f>SUM(K29:K30)</f>
        <v>49132.96650000001</v>
      </c>
      <c r="V29" s="98">
        <f>SUM(M29:M30)</f>
        <v>40780.362195000002</v>
      </c>
      <c r="W29" s="13">
        <v>954</v>
      </c>
      <c r="X29" s="13">
        <v>2.04</v>
      </c>
      <c r="Y29" s="13">
        <f t="shared" si="1"/>
        <v>1946.16</v>
      </c>
      <c r="Z29" s="51">
        <f t="shared" si="2"/>
        <v>46614838.85208001</v>
      </c>
      <c r="AA29" s="51">
        <f t="shared" si="3"/>
        <v>6358264.019423713</v>
      </c>
      <c r="AB29" s="13">
        <v>400</v>
      </c>
      <c r="AC29" s="51">
        <f t="shared" si="4"/>
        <v>3548476</v>
      </c>
      <c r="AD29" s="51">
        <f t="shared" si="5"/>
        <v>2809788.019423713</v>
      </c>
      <c r="AE29" s="51">
        <f t="shared" si="6"/>
        <v>842936.40582711389</v>
      </c>
      <c r="AF29" s="53">
        <v>0.45</v>
      </c>
      <c r="AG29" s="51">
        <f>AE29*AF29</f>
        <v>379321.38262220129</v>
      </c>
    </row>
    <row r="30" spans="1:33" x14ac:dyDescent="0.35">
      <c r="A30" s="7" t="s">
        <v>46</v>
      </c>
      <c r="B30" s="8" t="s">
        <v>49</v>
      </c>
      <c r="C30" s="8" t="s">
        <v>50</v>
      </c>
      <c r="D30" s="9">
        <v>1</v>
      </c>
      <c r="E30" s="20">
        <f>M30</f>
        <v>20900.025405</v>
      </c>
      <c r="F30" s="11">
        <v>6217.47</v>
      </c>
      <c r="G30" s="12">
        <v>45</v>
      </c>
      <c r="H30" s="12">
        <f>F30*G30/100</f>
        <v>2797.8615000000004</v>
      </c>
      <c r="I30" s="13">
        <v>9</v>
      </c>
      <c r="J30" s="13">
        <f t="shared" si="0"/>
        <v>405</v>
      </c>
      <c r="K30" s="14">
        <f>F30*J30/100</f>
        <v>25180.753500000003</v>
      </c>
      <c r="L30" s="15">
        <v>0.83</v>
      </c>
      <c r="M30" s="16">
        <f t="shared" si="8"/>
        <v>20900.025405</v>
      </c>
      <c r="N30" s="16">
        <f>+F30*0.4*6</f>
        <v>14921.928000000002</v>
      </c>
      <c r="O30" s="16">
        <f>+M30/6</f>
        <v>3483.3375675000002</v>
      </c>
      <c r="P30" s="16"/>
      <c r="Q30" s="16">
        <f>+(O30*3)+0.5%</f>
        <v>10450.017702499999</v>
      </c>
      <c r="R30" s="16" t="s">
        <v>184</v>
      </c>
      <c r="S30" s="99"/>
      <c r="T30" s="99"/>
      <c r="U30" s="99"/>
      <c r="V30" s="99"/>
      <c r="W30" s="13">
        <v>954</v>
      </c>
      <c r="X30" s="13">
        <v>1</v>
      </c>
      <c r="Y30" s="13">
        <f t="shared" si="1"/>
        <v>954</v>
      </c>
      <c r="Z30" s="51">
        <f t="shared" si="2"/>
        <v>24022438.839000002</v>
      </c>
      <c r="AA30" s="51">
        <f t="shared" si="3"/>
        <v>3276660.6576395999</v>
      </c>
      <c r="AB30" s="13">
        <v>400</v>
      </c>
      <c r="AC30" s="51">
        <f t="shared" si="4"/>
        <v>2486988</v>
      </c>
      <c r="AD30" s="51">
        <f t="shared" si="5"/>
        <v>789672.65763959987</v>
      </c>
      <c r="AE30" s="51">
        <f t="shared" si="6"/>
        <v>236901.79729187995</v>
      </c>
      <c r="AF30" s="13"/>
      <c r="AG30" s="51">
        <f t="shared" si="7"/>
        <v>236901.79729187995</v>
      </c>
    </row>
    <row r="31" spans="1:33" x14ac:dyDescent="0.35">
      <c r="A31" s="7"/>
      <c r="B31" s="8"/>
      <c r="C31" s="8"/>
      <c r="D31" s="9"/>
      <c r="E31" s="20">
        <f t="shared" ref="E31:E36" si="13">M31</f>
        <v>0</v>
      </c>
      <c r="F31" s="11"/>
      <c r="G31" s="12"/>
      <c r="H31" s="12"/>
      <c r="I31" s="13"/>
      <c r="J31" s="13"/>
      <c r="K31" s="14"/>
      <c r="L31" s="15"/>
      <c r="M31" s="16">
        <f t="shared" si="8"/>
        <v>0</v>
      </c>
      <c r="N31" s="44"/>
      <c r="O31" s="44"/>
      <c r="P31" s="44"/>
      <c r="Q31" s="44"/>
      <c r="R31" s="44"/>
      <c r="S31" s="19"/>
      <c r="T31" s="19"/>
      <c r="U31" s="19"/>
      <c r="V31" s="19"/>
      <c r="W31" s="13"/>
      <c r="X31" s="13"/>
      <c r="Y31" s="13"/>
      <c r="Z31" s="51"/>
      <c r="AA31" s="51"/>
      <c r="AB31" s="13"/>
      <c r="AC31" s="51"/>
      <c r="AD31" s="51"/>
      <c r="AE31" s="51"/>
      <c r="AF31" s="13"/>
      <c r="AG31" s="51"/>
    </row>
    <row r="32" spans="1:33" x14ac:dyDescent="0.35">
      <c r="A32" s="7" t="s">
        <v>24</v>
      </c>
      <c r="B32" s="8" t="s">
        <v>51</v>
      </c>
      <c r="C32" s="8" t="s">
        <v>52</v>
      </c>
      <c r="D32" s="9">
        <v>1</v>
      </c>
      <c r="E32" s="20">
        <f t="shared" si="13"/>
        <v>16944.947999999997</v>
      </c>
      <c r="F32" s="11">
        <v>4536.8</v>
      </c>
      <c r="G32" s="12">
        <v>45</v>
      </c>
      <c r="H32" s="12">
        <f>F32*G32/100</f>
        <v>2041.56</v>
      </c>
      <c r="I32" s="13">
        <v>10</v>
      </c>
      <c r="J32" s="13">
        <f t="shared" si="0"/>
        <v>450</v>
      </c>
      <c r="K32" s="14">
        <f>F32*J32/100</f>
        <v>20415.599999999999</v>
      </c>
      <c r="L32" s="15">
        <v>0.83</v>
      </c>
      <c r="M32" s="16">
        <f t="shared" si="8"/>
        <v>16944.947999999997</v>
      </c>
      <c r="N32" s="16">
        <f>+F32*0.4*6</f>
        <v>10888.320000000002</v>
      </c>
      <c r="O32" s="16">
        <f>+N32/I32</f>
        <v>1088.8320000000001</v>
      </c>
      <c r="P32" s="16">
        <f>+(O32*4)+0.5%</f>
        <v>4355.3330000000005</v>
      </c>
      <c r="Q32" s="16"/>
      <c r="R32" s="16" t="s">
        <v>183</v>
      </c>
      <c r="S32" s="98">
        <f>SUM(F32:F33)</f>
        <v>9127.08</v>
      </c>
      <c r="T32" s="98">
        <f>SUM(H32:H33)</f>
        <v>4107.1859999999997</v>
      </c>
      <c r="U32" s="98">
        <f>SUM(K32:K33)</f>
        <v>41071.86</v>
      </c>
      <c r="V32" s="98">
        <f>SUM(M32:M33)</f>
        <v>34089.643799999991</v>
      </c>
      <c r="W32" s="13">
        <v>1083</v>
      </c>
      <c r="X32" s="13">
        <v>1</v>
      </c>
      <c r="Y32" s="13">
        <f t="shared" si="1"/>
        <v>1083</v>
      </c>
      <c r="Z32" s="51">
        <f t="shared" si="2"/>
        <v>22110094.799999997</v>
      </c>
      <c r="AA32" s="51">
        <f t="shared" si="3"/>
        <v>3015816.9307199996</v>
      </c>
      <c r="AB32" s="13">
        <v>400</v>
      </c>
      <c r="AC32" s="51">
        <f t="shared" si="4"/>
        <v>1814720</v>
      </c>
      <c r="AD32" s="51">
        <f t="shared" si="5"/>
        <v>1201096.9307199996</v>
      </c>
      <c r="AE32" s="51">
        <f t="shared" si="6"/>
        <v>360329.07921599987</v>
      </c>
      <c r="AF32" s="13"/>
      <c r="AG32" s="51">
        <f t="shared" si="7"/>
        <v>360329.07921599987</v>
      </c>
    </row>
    <row r="33" spans="1:33" x14ac:dyDescent="0.35">
      <c r="A33" s="7" t="s">
        <v>24</v>
      </c>
      <c r="B33" s="8" t="s">
        <v>51</v>
      </c>
      <c r="C33" s="8" t="s">
        <v>53</v>
      </c>
      <c r="D33" s="9">
        <v>1</v>
      </c>
      <c r="E33" s="20">
        <f t="shared" si="13"/>
        <v>17144.695799999998</v>
      </c>
      <c r="F33" s="11">
        <v>4590.28</v>
      </c>
      <c r="G33" s="12">
        <v>45</v>
      </c>
      <c r="H33" s="12">
        <f>F33*G33/100</f>
        <v>2065.6259999999997</v>
      </c>
      <c r="I33" s="13">
        <v>10</v>
      </c>
      <c r="J33" s="13">
        <f t="shared" si="0"/>
        <v>450</v>
      </c>
      <c r="K33" s="14">
        <f>F33*J33/100</f>
        <v>20656.259999999998</v>
      </c>
      <c r="L33" s="15">
        <v>0.83</v>
      </c>
      <c r="M33" s="16">
        <f t="shared" si="8"/>
        <v>17144.695799999998</v>
      </c>
      <c r="N33" s="16">
        <f>+F33*0.4*6</f>
        <v>11016.672</v>
      </c>
      <c r="O33" s="16">
        <f>+N33/I33</f>
        <v>1101.6672000000001</v>
      </c>
      <c r="P33" s="16">
        <f>+(O33*4)+0.5%</f>
        <v>4406.6738000000005</v>
      </c>
      <c r="Q33" s="16"/>
      <c r="R33" s="16" t="s">
        <v>183</v>
      </c>
      <c r="S33" s="99"/>
      <c r="T33" s="99"/>
      <c r="U33" s="99"/>
      <c r="V33" s="99"/>
      <c r="W33" s="13">
        <v>1083</v>
      </c>
      <c r="X33" s="13">
        <v>1</v>
      </c>
      <c r="Y33" s="13">
        <f t="shared" si="1"/>
        <v>1083</v>
      </c>
      <c r="Z33" s="51">
        <f t="shared" si="2"/>
        <v>22370729.579999998</v>
      </c>
      <c r="AA33" s="51">
        <f t="shared" si="3"/>
        <v>3051367.5147119998</v>
      </c>
      <c r="AB33" s="13">
        <v>400</v>
      </c>
      <c r="AC33" s="51">
        <f t="shared" si="4"/>
        <v>1836112</v>
      </c>
      <c r="AD33" s="51">
        <f t="shared" si="5"/>
        <v>1215255.5147119998</v>
      </c>
      <c r="AE33" s="51">
        <f t="shared" si="6"/>
        <v>364576.65441359993</v>
      </c>
      <c r="AF33" s="13"/>
      <c r="AG33" s="51">
        <f t="shared" si="7"/>
        <v>364576.65441359993</v>
      </c>
    </row>
    <row r="34" spans="1:33" x14ac:dyDescent="0.35">
      <c r="A34" s="7"/>
      <c r="B34" s="8"/>
      <c r="C34" s="8"/>
      <c r="D34" s="9"/>
      <c r="E34" s="20">
        <f t="shared" si="13"/>
        <v>0</v>
      </c>
      <c r="F34" s="11"/>
      <c r="G34" s="12"/>
      <c r="H34" s="12"/>
      <c r="I34" s="13"/>
      <c r="J34" s="13"/>
      <c r="K34" s="14"/>
      <c r="L34" s="15"/>
      <c r="M34" s="16">
        <f t="shared" si="8"/>
        <v>0</v>
      </c>
      <c r="N34" s="44"/>
      <c r="O34" s="44"/>
      <c r="P34" s="44"/>
      <c r="Q34" s="44"/>
      <c r="R34" s="44"/>
      <c r="S34" s="19"/>
      <c r="T34" s="19"/>
      <c r="U34" s="19"/>
      <c r="V34" s="19"/>
      <c r="W34" s="13"/>
      <c r="X34" s="13"/>
      <c r="Y34" s="13"/>
      <c r="Z34" s="51"/>
      <c r="AA34" s="51"/>
      <c r="AB34" s="13"/>
      <c r="AC34" s="51"/>
      <c r="AD34" s="51"/>
      <c r="AE34" s="51"/>
      <c r="AF34" s="13"/>
      <c r="AG34" s="51"/>
    </row>
    <row r="35" spans="1:33" x14ac:dyDescent="0.35">
      <c r="A35" s="7" t="s">
        <v>54</v>
      </c>
      <c r="B35" s="8" t="s">
        <v>55</v>
      </c>
      <c r="C35" s="8" t="s">
        <v>56</v>
      </c>
      <c r="D35" s="9">
        <v>1</v>
      </c>
      <c r="E35" s="20">
        <f t="shared" si="13"/>
        <v>7502.0175999999992</v>
      </c>
      <c r="F35" s="11">
        <v>3827.56</v>
      </c>
      <c r="G35" s="12">
        <v>35</v>
      </c>
      <c r="H35" s="12">
        <f>F35*G35/100</f>
        <v>1339.646</v>
      </c>
      <c r="I35" s="13">
        <v>7</v>
      </c>
      <c r="J35" s="13">
        <f t="shared" si="0"/>
        <v>245</v>
      </c>
      <c r="K35" s="14">
        <f>F35*J35/100</f>
        <v>9377.521999999999</v>
      </c>
      <c r="L35" s="15">
        <v>0.8</v>
      </c>
      <c r="M35" s="16">
        <f t="shared" si="8"/>
        <v>7502.0175999999992</v>
      </c>
      <c r="N35" s="16">
        <f>+F35*0.4*6</f>
        <v>9186.1440000000002</v>
      </c>
      <c r="O35" s="16">
        <f>+N35/I35</f>
        <v>1312.3062857142857</v>
      </c>
      <c r="P35" s="16">
        <f>+O35*1</f>
        <v>1312.3062857142857</v>
      </c>
      <c r="Q35" s="16"/>
      <c r="R35" s="16" t="s">
        <v>183</v>
      </c>
      <c r="S35" s="98">
        <f>SUM(F35:F36)</f>
        <v>8731.51</v>
      </c>
      <c r="T35" s="98">
        <f>SUM(H35:H36)</f>
        <v>3056.0284999999999</v>
      </c>
      <c r="U35" s="98">
        <f>SUM(K35:K36)</f>
        <v>21392.199499999999</v>
      </c>
      <c r="V35" s="98">
        <f>SUM(M35:M36)</f>
        <v>17113.759599999998</v>
      </c>
      <c r="W35" s="13">
        <v>954</v>
      </c>
      <c r="X35" s="13">
        <v>1</v>
      </c>
      <c r="Y35" s="13">
        <f t="shared" si="1"/>
        <v>954</v>
      </c>
      <c r="Z35" s="51">
        <f t="shared" si="2"/>
        <v>8946155.9879999999</v>
      </c>
      <c r="AA35" s="51">
        <f t="shared" si="3"/>
        <v>1220255.6767632</v>
      </c>
      <c r="AB35" s="13">
        <v>400</v>
      </c>
      <c r="AC35" s="51">
        <f t="shared" si="4"/>
        <v>1531024</v>
      </c>
      <c r="AD35" s="52">
        <f t="shared" si="5"/>
        <v>-310768.32323680003</v>
      </c>
      <c r="AE35" s="51">
        <f t="shared" si="6"/>
        <v>-93230.496971040004</v>
      </c>
      <c r="AF35" s="13"/>
      <c r="AG35" s="52">
        <f t="shared" si="7"/>
        <v>-93230.496971040004</v>
      </c>
    </row>
    <row r="36" spans="1:33" x14ac:dyDescent="0.35">
      <c r="A36" s="7" t="s">
        <v>54</v>
      </c>
      <c r="B36" s="8" t="s">
        <v>55</v>
      </c>
      <c r="C36" s="8" t="s">
        <v>57</v>
      </c>
      <c r="D36" s="9">
        <v>1</v>
      </c>
      <c r="E36" s="20">
        <f t="shared" si="13"/>
        <v>9611.7420000000002</v>
      </c>
      <c r="F36" s="11">
        <v>4903.95</v>
      </c>
      <c r="G36" s="12">
        <v>35</v>
      </c>
      <c r="H36" s="12">
        <f>F36*G36/100</f>
        <v>1716.3824999999999</v>
      </c>
      <c r="I36" s="13">
        <v>7</v>
      </c>
      <c r="J36" s="13">
        <f t="shared" si="0"/>
        <v>245</v>
      </c>
      <c r="K36" s="14">
        <f>F36*J36/100</f>
        <v>12014.6775</v>
      </c>
      <c r="L36" s="15">
        <v>0.8</v>
      </c>
      <c r="M36" s="16">
        <f t="shared" si="8"/>
        <v>9611.7420000000002</v>
      </c>
      <c r="N36" s="16">
        <f>+F36*0.4*6</f>
        <v>11769.48</v>
      </c>
      <c r="O36" s="16">
        <f>+N36/I36</f>
        <v>1681.3542857142857</v>
      </c>
      <c r="P36" s="16">
        <f>+O36*1</f>
        <v>1681.3542857142857</v>
      </c>
      <c r="Q36" s="16"/>
      <c r="R36" s="16" t="s">
        <v>183</v>
      </c>
      <c r="S36" s="99"/>
      <c r="T36" s="99"/>
      <c r="U36" s="99"/>
      <c r="V36" s="99"/>
      <c r="W36" s="13">
        <v>954</v>
      </c>
      <c r="X36" s="13">
        <v>1</v>
      </c>
      <c r="Y36" s="13">
        <f t="shared" si="1"/>
        <v>954</v>
      </c>
      <c r="Z36" s="51">
        <f t="shared" si="2"/>
        <v>11462002.334999999</v>
      </c>
      <c r="AA36" s="51">
        <f t="shared" si="3"/>
        <v>1563417.1184939998</v>
      </c>
      <c r="AB36" s="13">
        <v>400</v>
      </c>
      <c r="AC36" s="51">
        <f t="shared" si="4"/>
        <v>1961580</v>
      </c>
      <c r="AD36" s="52">
        <f t="shared" si="5"/>
        <v>-398162.88150600018</v>
      </c>
      <c r="AE36" s="51">
        <f t="shared" si="6"/>
        <v>-119448.86445180005</v>
      </c>
      <c r="AF36" s="13"/>
      <c r="AG36" s="52">
        <f t="shared" si="7"/>
        <v>-119448.86445180005</v>
      </c>
    </row>
    <row r="37" spans="1:33" x14ac:dyDescent="0.35">
      <c r="A37" s="7"/>
      <c r="B37" s="8"/>
      <c r="C37" s="8"/>
      <c r="D37" s="9"/>
      <c r="E37" s="10"/>
      <c r="F37" s="11"/>
      <c r="G37" s="12"/>
      <c r="H37" s="12"/>
      <c r="I37" s="13"/>
      <c r="J37" s="13"/>
      <c r="K37" s="14"/>
      <c r="L37" s="15"/>
      <c r="M37" s="16">
        <f t="shared" si="8"/>
        <v>0</v>
      </c>
      <c r="N37" s="44"/>
      <c r="O37" s="44"/>
      <c r="P37" s="44"/>
      <c r="Q37" s="44"/>
      <c r="R37" s="44"/>
      <c r="S37" s="19"/>
      <c r="T37" s="19"/>
      <c r="U37" s="19"/>
      <c r="V37" s="19"/>
      <c r="W37" s="13"/>
      <c r="X37" s="13"/>
      <c r="Y37" s="13"/>
      <c r="Z37" s="51"/>
      <c r="AA37" s="51"/>
      <c r="AB37" s="13"/>
      <c r="AC37" s="51"/>
      <c r="AD37" s="51"/>
      <c r="AE37" s="51"/>
      <c r="AF37" s="13"/>
      <c r="AG37" s="51"/>
    </row>
    <row r="38" spans="1:33" x14ac:dyDescent="0.35">
      <c r="A38" s="7" t="s">
        <v>58</v>
      </c>
      <c r="B38" s="8" t="s">
        <v>59</v>
      </c>
      <c r="C38" s="8" t="s">
        <v>58</v>
      </c>
      <c r="D38" s="9">
        <v>1</v>
      </c>
      <c r="E38" s="10"/>
      <c r="F38" s="11">
        <v>2709.95</v>
      </c>
      <c r="G38" s="12">
        <v>35</v>
      </c>
      <c r="H38" s="12">
        <f>F38*G38/100</f>
        <v>948.48249999999996</v>
      </c>
      <c r="I38" s="13">
        <v>2</v>
      </c>
      <c r="J38" s="13">
        <f t="shared" si="0"/>
        <v>70</v>
      </c>
      <c r="K38" s="14">
        <f>F38*J38/100</f>
        <v>1896.9649999999999</v>
      </c>
      <c r="L38" s="15">
        <v>0.85</v>
      </c>
      <c r="M38" s="16">
        <f t="shared" si="8"/>
        <v>1612.4202499999999</v>
      </c>
      <c r="N38" s="16">
        <f>+F38*0.4</f>
        <v>1083.98</v>
      </c>
      <c r="O38" s="16" t="s">
        <v>175</v>
      </c>
      <c r="P38" s="16"/>
      <c r="Q38" s="16"/>
      <c r="R38" s="16"/>
      <c r="S38" s="21">
        <f>F38</f>
        <v>2709.95</v>
      </c>
      <c r="T38" s="21">
        <f>H38</f>
        <v>948.48249999999996</v>
      </c>
      <c r="U38" s="21">
        <f>K38</f>
        <v>1896.9649999999999</v>
      </c>
      <c r="V38" s="21">
        <f>M38</f>
        <v>1612.4202499999999</v>
      </c>
      <c r="W38" s="13">
        <v>720</v>
      </c>
      <c r="X38" s="13">
        <v>1.37</v>
      </c>
      <c r="Y38" s="13">
        <f t="shared" si="1"/>
        <v>986.40000000000009</v>
      </c>
      <c r="Z38" s="51">
        <f t="shared" si="2"/>
        <v>1871166.2760000001</v>
      </c>
      <c r="AA38" s="51">
        <f t="shared" si="3"/>
        <v>255227.08004639999</v>
      </c>
      <c r="AB38" s="13">
        <v>400</v>
      </c>
      <c r="AC38" s="51">
        <f t="shared" si="4"/>
        <v>1083980</v>
      </c>
      <c r="AD38" s="52">
        <f t="shared" si="5"/>
        <v>-828752.91995360004</v>
      </c>
      <c r="AE38" s="51">
        <f t="shared" si="6"/>
        <v>-248625.87598608001</v>
      </c>
      <c r="AF38" s="13"/>
      <c r="AG38" s="52">
        <f t="shared" si="7"/>
        <v>-248625.87598608001</v>
      </c>
    </row>
    <row r="39" spans="1:33" x14ac:dyDescent="0.35">
      <c r="A39" s="7"/>
      <c r="B39" s="8"/>
      <c r="C39" s="8"/>
      <c r="D39" s="9"/>
      <c r="E39" s="10"/>
      <c r="F39" s="11"/>
      <c r="G39" s="12"/>
      <c r="H39" s="12"/>
      <c r="I39" s="13"/>
      <c r="J39" s="13"/>
      <c r="K39" s="14"/>
      <c r="L39" s="15"/>
      <c r="M39" s="16">
        <f t="shared" si="8"/>
        <v>0</v>
      </c>
      <c r="N39" s="44"/>
      <c r="O39" s="44"/>
      <c r="P39" s="44"/>
      <c r="Q39" s="44"/>
      <c r="R39" s="44"/>
      <c r="S39" s="19"/>
      <c r="T39" s="19"/>
      <c r="U39" s="19"/>
      <c r="V39" s="19"/>
      <c r="W39" s="13"/>
      <c r="X39" s="13"/>
      <c r="Y39" s="13"/>
      <c r="Z39" s="51"/>
      <c r="AA39" s="51"/>
      <c r="AB39" s="13"/>
      <c r="AC39" s="51"/>
      <c r="AD39" s="51"/>
      <c r="AE39" s="51"/>
      <c r="AF39" s="13"/>
      <c r="AG39" s="51"/>
    </row>
    <row r="40" spans="1:33" x14ac:dyDescent="0.35">
      <c r="A40" s="7" t="s">
        <v>60</v>
      </c>
      <c r="B40" s="8" t="s">
        <v>59</v>
      </c>
      <c r="C40" s="8" t="s">
        <v>61</v>
      </c>
      <c r="D40" s="9">
        <v>1</v>
      </c>
      <c r="E40" s="10"/>
      <c r="F40" s="11">
        <v>2714.7</v>
      </c>
      <c r="G40" s="12">
        <v>40</v>
      </c>
      <c r="H40" s="12">
        <f>F40*G40/100</f>
        <v>1085.8800000000001</v>
      </c>
      <c r="I40" s="13">
        <v>3</v>
      </c>
      <c r="J40" s="13">
        <f t="shared" ref="J40:J148" si="14">G40*I40</f>
        <v>120</v>
      </c>
      <c r="K40" s="14">
        <f>+F40*0.4*3</f>
        <v>3257.6399999999994</v>
      </c>
      <c r="L40" s="15">
        <v>0.85</v>
      </c>
      <c r="M40" s="22">
        <f t="shared" si="8"/>
        <v>2768.9939999999992</v>
      </c>
      <c r="N40" s="46">
        <f>+F40*0.4*6</f>
        <v>6515.2799999999988</v>
      </c>
      <c r="O40" s="16" t="s">
        <v>175</v>
      </c>
      <c r="P40" s="16"/>
      <c r="Q40" s="16"/>
      <c r="R40" s="16"/>
      <c r="S40" s="100">
        <f>SUM(F40:F43)</f>
        <v>9914.7199999999993</v>
      </c>
      <c r="T40" s="100">
        <f>SUM(H40:H43)</f>
        <v>3965.8879999999999</v>
      </c>
      <c r="U40" s="100">
        <f>SUM(K40:K43)</f>
        <v>11897.664000000001</v>
      </c>
      <c r="V40" s="100">
        <f>SUM(M40:M43)</f>
        <v>10113.0144</v>
      </c>
      <c r="W40" s="13">
        <v>720</v>
      </c>
      <c r="X40" s="13">
        <v>1.37</v>
      </c>
      <c r="Y40" s="13">
        <f t="shared" si="1"/>
        <v>986.40000000000009</v>
      </c>
      <c r="Z40" s="51">
        <f t="shared" si="2"/>
        <v>3213336.0959999999</v>
      </c>
      <c r="AA40" s="51">
        <f t="shared" si="3"/>
        <v>438299.04349439999</v>
      </c>
      <c r="AB40" s="13">
        <v>400</v>
      </c>
      <c r="AC40" s="51">
        <f t="shared" si="4"/>
        <v>1085880</v>
      </c>
      <c r="AD40" s="52">
        <f t="shared" si="5"/>
        <v>-647580.95650560001</v>
      </c>
      <c r="AE40" s="51">
        <f t="shared" si="6"/>
        <v>-194274.28695168</v>
      </c>
      <c r="AF40" s="13"/>
      <c r="AG40" s="52">
        <f t="shared" si="7"/>
        <v>-194274.28695168</v>
      </c>
    </row>
    <row r="41" spans="1:33" x14ac:dyDescent="0.35">
      <c r="A41" s="7" t="s">
        <v>60</v>
      </c>
      <c r="B41" s="8" t="s">
        <v>59</v>
      </c>
      <c r="C41" s="8" t="s">
        <v>62</v>
      </c>
      <c r="D41" s="9">
        <v>1</v>
      </c>
      <c r="E41" s="10"/>
      <c r="F41" s="11">
        <v>2409.4499999999998</v>
      </c>
      <c r="G41" s="12">
        <v>40</v>
      </c>
      <c r="H41" s="12">
        <f>F41*G41/100</f>
        <v>963.78</v>
      </c>
      <c r="I41" s="13">
        <v>3</v>
      </c>
      <c r="J41" s="13">
        <f t="shared" si="14"/>
        <v>120</v>
      </c>
      <c r="K41" s="14">
        <f>+F41*0.4*3</f>
        <v>2891.34</v>
      </c>
      <c r="L41" s="15">
        <v>0.85</v>
      </c>
      <c r="M41" s="22">
        <f t="shared" si="8"/>
        <v>2457.6390000000001</v>
      </c>
      <c r="N41" s="46">
        <f t="shared" ref="N41:N43" si="15">+F41*0.4*6</f>
        <v>5782.68</v>
      </c>
      <c r="O41" s="16" t="s">
        <v>175</v>
      </c>
      <c r="P41" s="16"/>
      <c r="Q41" s="16"/>
      <c r="R41" s="16"/>
      <c r="S41" s="103"/>
      <c r="T41" s="103"/>
      <c r="U41" s="103"/>
      <c r="V41" s="103"/>
      <c r="W41" s="13">
        <v>720</v>
      </c>
      <c r="X41" s="13">
        <v>1.37</v>
      </c>
      <c r="Y41" s="13">
        <f t="shared" si="1"/>
        <v>986.40000000000009</v>
      </c>
      <c r="Z41" s="51">
        <f t="shared" si="2"/>
        <v>2852017.7760000005</v>
      </c>
      <c r="AA41" s="51">
        <f t="shared" si="3"/>
        <v>389015.22464640008</v>
      </c>
      <c r="AB41" s="13">
        <v>400</v>
      </c>
      <c r="AC41" s="51">
        <f t="shared" si="4"/>
        <v>963779.99999999988</v>
      </c>
      <c r="AD41" s="52">
        <f t="shared" si="5"/>
        <v>-574764.77535359981</v>
      </c>
      <c r="AE41" s="51">
        <f t="shared" si="6"/>
        <v>-172429.43260607994</v>
      </c>
      <c r="AF41" s="13"/>
      <c r="AG41" s="52">
        <f t="shared" si="7"/>
        <v>-172429.43260607994</v>
      </c>
    </row>
    <row r="42" spans="1:33" x14ac:dyDescent="0.35">
      <c r="A42" s="7" t="s">
        <v>60</v>
      </c>
      <c r="B42" s="8" t="s">
        <v>59</v>
      </c>
      <c r="C42" s="8" t="s">
        <v>63</v>
      </c>
      <c r="D42" s="9">
        <v>1</v>
      </c>
      <c r="E42" s="10"/>
      <c r="F42" s="11">
        <v>2424.46</v>
      </c>
      <c r="G42" s="12">
        <v>40</v>
      </c>
      <c r="H42" s="12">
        <f>F42*G42/100</f>
        <v>969.78399999999999</v>
      </c>
      <c r="I42" s="13">
        <v>3</v>
      </c>
      <c r="J42" s="13">
        <f t="shared" si="14"/>
        <v>120</v>
      </c>
      <c r="K42" s="14">
        <f>+F42*0.4*3</f>
        <v>2909.3520000000003</v>
      </c>
      <c r="L42" s="15">
        <v>0.85</v>
      </c>
      <c r="M42" s="22">
        <f t="shared" si="8"/>
        <v>2472.9492</v>
      </c>
      <c r="N42" s="46">
        <f t="shared" si="15"/>
        <v>5818.7040000000006</v>
      </c>
      <c r="O42" s="16" t="s">
        <v>175</v>
      </c>
      <c r="P42" s="16"/>
      <c r="Q42" s="16"/>
      <c r="R42" s="16"/>
      <c r="S42" s="103"/>
      <c r="T42" s="103"/>
      <c r="U42" s="103"/>
      <c r="V42" s="103"/>
      <c r="W42" s="13">
        <v>720</v>
      </c>
      <c r="X42" s="13">
        <v>1.37</v>
      </c>
      <c r="Y42" s="13">
        <f t="shared" si="1"/>
        <v>986.40000000000009</v>
      </c>
      <c r="Z42" s="51">
        <f t="shared" si="2"/>
        <v>2869784.8128000004</v>
      </c>
      <c r="AA42" s="51">
        <f t="shared" si="3"/>
        <v>391438.64846592007</v>
      </c>
      <c r="AB42" s="13">
        <v>400</v>
      </c>
      <c r="AC42" s="51">
        <f t="shared" si="4"/>
        <v>969784</v>
      </c>
      <c r="AD42" s="52">
        <f t="shared" si="5"/>
        <v>-578345.35153407999</v>
      </c>
      <c r="AE42" s="51">
        <f t="shared" si="6"/>
        <v>-173503.605460224</v>
      </c>
      <c r="AF42" s="13"/>
      <c r="AG42" s="52">
        <f t="shared" si="7"/>
        <v>-173503.605460224</v>
      </c>
    </row>
    <row r="43" spans="1:33" x14ac:dyDescent="0.35">
      <c r="A43" s="7" t="s">
        <v>60</v>
      </c>
      <c r="B43" s="8" t="s">
        <v>59</v>
      </c>
      <c r="C43" s="8" t="s">
        <v>64</v>
      </c>
      <c r="D43" s="9">
        <v>1</v>
      </c>
      <c r="E43" s="10"/>
      <c r="F43" s="11">
        <v>2366.11</v>
      </c>
      <c r="G43" s="12">
        <v>40</v>
      </c>
      <c r="H43" s="12">
        <f>F43*G43/100</f>
        <v>946.44400000000007</v>
      </c>
      <c r="I43" s="13">
        <v>3</v>
      </c>
      <c r="J43" s="13">
        <f t="shared" si="14"/>
        <v>120</v>
      </c>
      <c r="K43" s="14">
        <f>+F43*0.4*3</f>
        <v>2839.3320000000003</v>
      </c>
      <c r="L43" s="15">
        <v>0.85</v>
      </c>
      <c r="M43" s="22">
        <f t="shared" si="8"/>
        <v>2413.4322000000002</v>
      </c>
      <c r="N43" s="16">
        <f t="shared" si="15"/>
        <v>5678.6640000000007</v>
      </c>
      <c r="O43" s="16" t="s">
        <v>175</v>
      </c>
      <c r="P43" s="16"/>
      <c r="Q43" s="16"/>
      <c r="R43" s="16"/>
      <c r="S43" s="104"/>
      <c r="T43" s="104"/>
      <c r="U43" s="104"/>
      <c r="V43" s="104"/>
      <c r="W43" s="13">
        <v>720</v>
      </c>
      <c r="X43" s="13">
        <v>1.37</v>
      </c>
      <c r="Y43" s="13">
        <f t="shared" si="1"/>
        <v>986.40000000000009</v>
      </c>
      <c r="Z43" s="51">
        <f t="shared" si="2"/>
        <v>2800717.0848000008</v>
      </c>
      <c r="AA43" s="51">
        <f t="shared" si="3"/>
        <v>382017.81036672008</v>
      </c>
      <c r="AB43" s="13">
        <v>400</v>
      </c>
      <c r="AC43" s="51">
        <f t="shared" si="4"/>
        <v>946444</v>
      </c>
      <c r="AD43" s="52">
        <f t="shared" si="5"/>
        <v>-564426.18963327992</v>
      </c>
      <c r="AE43" s="51">
        <f t="shared" si="6"/>
        <v>-169327.85688998396</v>
      </c>
      <c r="AF43" s="13"/>
      <c r="AG43" s="52">
        <f t="shared" si="7"/>
        <v>-169327.85688998396</v>
      </c>
    </row>
    <row r="44" spans="1:33" x14ac:dyDescent="0.35">
      <c r="A44" s="7"/>
      <c r="B44" s="8"/>
      <c r="C44" s="8"/>
      <c r="D44" s="9"/>
      <c r="E44" s="10"/>
      <c r="F44" s="11"/>
      <c r="G44" s="12"/>
      <c r="H44" s="12"/>
      <c r="I44" s="13"/>
      <c r="J44" s="13"/>
      <c r="K44" s="14"/>
      <c r="L44" s="15"/>
      <c r="M44" s="16">
        <f t="shared" si="8"/>
        <v>0</v>
      </c>
      <c r="N44" s="44"/>
      <c r="O44" s="44"/>
      <c r="P44" s="44"/>
      <c r="Q44" s="44"/>
      <c r="R44" s="44"/>
      <c r="S44" s="19"/>
      <c r="T44" s="19"/>
      <c r="U44" s="19"/>
      <c r="V44" s="19"/>
      <c r="W44" s="13"/>
      <c r="X44" s="13"/>
      <c r="Y44" s="13"/>
      <c r="Z44" s="51"/>
      <c r="AA44" s="51"/>
      <c r="AB44" s="13"/>
      <c r="AC44" s="51"/>
      <c r="AD44" s="51"/>
      <c r="AE44" s="51"/>
      <c r="AF44" s="13"/>
      <c r="AG44" s="51"/>
    </row>
    <row r="45" spans="1:33" hidden="1" x14ac:dyDescent="0.35">
      <c r="A45" s="7" t="s">
        <v>65</v>
      </c>
      <c r="B45" s="8" t="s">
        <v>66</v>
      </c>
      <c r="C45" s="8" t="s">
        <v>60</v>
      </c>
      <c r="D45" s="9">
        <v>1</v>
      </c>
      <c r="E45" s="10">
        <f>M45</f>
        <v>0</v>
      </c>
      <c r="F45" s="11">
        <v>1003.21</v>
      </c>
      <c r="G45" s="12">
        <v>35</v>
      </c>
      <c r="H45" s="12">
        <f t="shared" ref="H45:H72" si="16">F45*G45/100</f>
        <v>351.12349999999998</v>
      </c>
      <c r="I45" s="13">
        <v>2</v>
      </c>
      <c r="J45" s="13">
        <f t="shared" si="14"/>
        <v>70</v>
      </c>
      <c r="K45" s="14"/>
      <c r="L45" s="15">
        <v>1</v>
      </c>
      <c r="M45" s="16">
        <f t="shared" si="8"/>
        <v>0</v>
      </c>
      <c r="N45" s="16"/>
      <c r="O45" s="16"/>
      <c r="P45" s="16"/>
      <c r="Q45" s="16"/>
      <c r="R45" s="16"/>
      <c r="S45" s="98">
        <f>SUM(F45:F72)</f>
        <v>31143.46</v>
      </c>
      <c r="T45" s="98">
        <f>SUM(H45:H72)</f>
        <v>10900.211000000001</v>
      </c>
      <c r="U45" s="98">
        <f>SUM(K45:K72)</f>
        <v>0</v>
      </c>
      <c r="V45" s="98">
        <f>SUM(M45:M72)</f>
        <v>0</v>
      </c>
      <c r="W45" s="13"/>
      <c r="X45" s="13"/>
      <c r="Y45" s="13"/>
      <c r="Z45" s="51"/>
      <c r="AA45" s="51"/>
      <c r="AB45" s="13"/>
      <c r="AC45" s="51"/>
      <c r="AD45" s="51"/>
      <c r="AE45" s="51"/>
      <c r="AF45" s="13"/>
      <c r="AG45" s="51"/>
    </row>
    <row r="46" spans="1:33" hidden="1" x14ac:dyDescent="0.35">
      <c r="A46" s="7" t="s">
        <v>65</v>
      </c>
      <c r="B46" s="8" t="s">
        <v>66</v>
      </c>
      <c r="C46" s="8" t="s">
        <v>65</v>
      </c>
      <c r="D46" s="9">
        <v>1</v>
      </c>
      <c r="E46" s="10">
        <f t="shared" ref="E46:E72" si="17">M46</f>
        <v>0</v>
      </c>
      <c r="F46" s="11">
        <v>1000</v>
      </c>
      <c r="G46" s="12">
        <v>35</v>
      </c>
      <c r="H46" s="12">
        <f t="shared" si="16"/>
        <v>350</v>
      </c>
      <c r="I46" s="13">
        <v>2</v>
      </c>
      <c r="J46" s="13">
        <f t="shared" si="14"/>
        <v>70</v>
      </c>
      <c r="K46" s="14"/>
      <c r="L46" s="15">
        <v>1</v>
      </c>
      <c r="M46" s="16">
        <f t="shared" si="8"/>
        <v>0</v>
      </c>
      <c r="N46" s="16"/>
      <c r="O46" s="16"/>
      <c r="P46" s="16"/>
      <c r="Q46" s="16"/>
      <c r="R46" s="16"/>
      <c r="S46" s="99"/>
      <c r="T46" s="99"/>
      <c r="U46" s="99"/>
      <c r="V46" s="99"/>
      <c r="W46" s="13"/>
      <c r="X46" s="13"/>
      <c r="Y46" s="13"/>
      <c r="Z46" s="51"/>
      <c r="AA46" s="51"/>
      <c r="AB46" s="13"/>
      <c r="AC46" s="51"/>
      <c r="AD46" s="51"/>
      <c r="AE46" s="51"/>
      <c r="AF46" s="13"/>
      <c r="AG46" s="51"/>
    </row>
    <row r="47" spans="1:33" hidden="1" x14ac:dyDescent="0.35">
      <c r="A47" s="7" t="s">
        <v>65</v>
      </c>
      <c r="B47" s="8" t="s">
        <v>66</v>
      </c>
      <c r="C47" s="8" t="s">
        <v>67</v>
      </c>
      <c r="D47" s="9">
        <v>1</v>
      </c>
      <c r="E47" s="10">
        <f t="shared" si="17"/>
        <v>0</v>
      </c>
      <c r="F47" s="11">
        <v>1000</v>
      </c>
      <c r="G47" s="12">
        <v>35</v>
      </c>
      <c r="H47" s="12">
        <f t="shared" si="16"/>
        <v>350</v>
      </c>
      <c r="I47" s="13">
        <v>2</v>
      </c>
      <c r="J47" s="13">
        <f t="shared" si="14"/>
        <v>70</v>
      </c>
      <c r="K47" s="14"/>
      <c r="L47" s="15">
        <v>1</v>
      </c>
      <c r="M47" s="16">
        <f t="shared" si="8"/>
        <v>0</v>
      </c>
      <c r="N47" s="16"/>
      <c r="O47" s="16"/>
      <c r="P47" s="16"/>
      <c r="Q47" s="16"/>
      <c r="R47" s="16"/>
      <c r="S47" s="99"/>
      <c r="T47" s="99"/>
      <c r="U47" s="99"/>
      <c r="V47" s="99"/>
      <c r="W47" s="13"/>
      <c r="X47" s="13"/>
      <c r="Y47" s="13"/>
      <c r="Z47" s="51"/>
      <c r="AA47" s="51"/>
      <c r="AB47" s="13"/>
      <c r="AC47" s="51"/>
      <c r="AD47" s="51"/>
      <c r="AE47" s="51"/>
      <c r="AF47" s="13"/>
      <c r="AG47" s="51"/>
    </row>
    <row r="48" spans="1:33" hidden="1" x14ac:dyDescent="0.35">
      <c r="A48" s="7" t="s">
        <v>65</v>
      </c>
      <c r="B48" s="8" t="s">
        <v>66</v>
      </c>
      <c r="C48" s="8" t="s">
        <v>68</v>
      </c>
      <c r="D48" s="9">
        <v>1</v>
      </c>
      <c r="E48" s="10">
        <f t="shared" si="17"/>
        <v>0</v>
      </c>
      <c r="F48" s="11">
        <v>1008.22</v>
      </c>
      <c r="G48" s="12">
        <v>35</v>
      </c>
      <c r="H48" s="12">
        <f t="shared" si="16"/>
        <v>352.87700000000007</v>
      </c>
      <c r="I48" s="13">
        <v>2</v>
      </c>
      <c r="J48" s="13">
        <f t="shared" si="14"/>
        <v>70</v>
      </c>
      <c r="K48" s="14"/>
      <c r="L48" s="15">
        <v>1</v>
      </c>
      <c r="M48" s="16">
        <f t="shared" si="8"/>
        <v>0</v>
      </c>
      <c r="N48" s="16"/>
      <c r="O48" s="16"/>
      <c r="P48" s="16"/>
      <c r="Q48" s="16"/>
      <c r="R48" s="16"/>
      <c r="S48" s="99"/>
      <c r="T48" s="99"/>
      <c r="U48" s="99"/>
      <c r="V48" s="99"/>
      <c r="W48" s="13"/>
      <c r="X48" s="13"/>
      <c r="Y48" s="13"/>
      <c r="Z48" s="51"/>
      <c r="AA48" s="51"/>
      <c r="AB48" s="13"/>
      <c r="AC48" s="51"/>
      <c r="AD48" s="51"/>
      <c r="AE48" s="51"/>
      <c r="AF48" s="13"/>
      <c r="AG48" s="51"/>
    </row>
    <row r="49" spans="1:33" hidden="1" x14ac:dyDescent="0.35">
      <c r="A49" s="7" t="s">
        <v>65</v>
      </c>
      <c r="B49" s="8" t="s">
        <v>66</v>
      </c>
      <c r="C49" s="8" t="s">
        <v>69</v>
      </c>
      <c r="D49" s="9">
        <v>1</v>
      </c>
      <c r="E49" s="10">
        <f t="shared" si="17"/>
        <v>0</v>
      </c>
      <c r="F49" s="11">
        <v>1098.08</v>
      </c>
      <c r="G49" s="12">
        <v>35</v>
      </c>
      <c r="H49" s="12">
        <f t="shared" si="16"/>
        <v>384.32799999999997</v>
      </c>
      <c r="I49" s="13">
        <v>2</v>
      </c>
      <c r="J49" s="13">
        <f t="shared" si="14"/>
        <v>70</v>
      </c>
      <c r="K49" s="14"/>
      <c r="L49" s="15">
        <v>1</v>
      </c>
      <c r="M49" s="16">
        <f t="shared" si="8"/>
        <v>0</v>
      </c>
      <c r="N49" s="16"/>
      <c r="O49" s="16"/>
      <c r="P49" s="16"/>
      <c r="Q49" s="16"/>
      <c r="R49" s="16"/>
      <c r="S49" s="99"/>
      <c r="T49" s="99"/>
      <c r="U49" s="99"/>
      <c r="V49" s="99"/>
      <c r="W49" s="13"/>
      <c r="X49" s="13"/>
      <c r="Y49" s="13"/>
      <c r="Z49" s="51"/>
      <c r="AA49" s="51"/>
      <c r="AB49" s="13"/>
      <c r="AC49" s="51"/>
      <c r="AD49" s="51"/>
      <c r="AE49" s="51"/>
      <c r="AF49" s="13"/>
      <c r="AG49" s="51"/>
    </row>
    <row r="50" spans="1:33" hidden="1" x14ac:dyDescent="0.35">
      <c r="A50" s="7" t="s">
        <v>65</v>
      </c>
      <c r="B50" s="8" t="s">
        <v>66</v>
      </c>
      <c r="C50" s="8" t="s">
        <v>70</v>
      </c>
      <c r="D50" s="9">
        <v>1</v>
      </c>
      <c r="E50" s="10">
        <f t="shared" si="17"/>
        <v>0</v>
      </c>
      <c r="F50" s="11">
        <v>1039.55</v>
      </c>
      <c r="G50" s="12">
        <v>35</v>
      </c>
      <c r="H50" s="12">
        <f t="shared" si="16"/>
        <v>363.84249999999997</v>
      </c>
      <c r="I50" s="13">
        <v>2</v>
      </c>
      <c r="J50" s="13">
        <f t="shared" si="14"/>
        <v>70</v>
      </c>
      <c r="K50" s="14"/>
      <c r="L50" s="15">
        <v>1</v>
      </c>
      <c r="M50" s="16">
        <f t="shared" si="8"/>
        <v>0</v>
      </c>
      <c r="N50" s="16"/>
      <c r="O50" s="16"/>
      <c r="P50" s="16"/>
      <c r="Q50" s="16"/>
      <c r="R50" s="16"/>
      <c r="S50" s="99"/>
      <c r="T50" s="99"/>
      <c r="U50" s="99"/>
      <c r="V50" s="99"/>
      <c r="W50" s="13"/>
      <c r="X50" s="13"/>
      <c r="Y50" s="13"/>
      <c r="Z50" s="51"/>
      <c r="AA50" s="51"/>
      <c r="AB50" s="13"/>
      <c r="AC50" s="51"/>
      <c r="AD50" s="51"/>
      <c r="AE50" s="51"/>
      <c r="AF50" s="13"/>
      <c r="AG50" s="51"/>
    </row>
    <row r="51" spans="1:33" hidden="1" x14ac:dyDescent="0.35">
      <c r="A51" s="7" t="s">
        <v>65</v>
      </c>
      <c r="B51" s="8" t="s">
        <v>66</v>
      </c>
      <c r="C51" s="8" t="s">
        <v>71</v>
      </c>
      <c r="D51" s="9">
        <v>1</v>
      </c>
      <c r="E51" s="10">
        <f t="shared" si="17"/>
        <v>0</v>
      </c>
      <c r="F51" s="11">
        <v>1305.02</v>
      </c>
      <c r="G51" s="12">
        <v>35</v>
      </c>
      <c r="H51" s="12">
        <f t="shared" si="16"/>
        <v>456.75699999999995</v>
      </c>
      <c r="I51" s="13">
        <v>2</v>
      </c>
      <c r="J51" s="13">
        <f t="shared" si="14"/>
        <v>70</v>
      </c>
      <c r="K51" s="14"/>
      <c r="L51" s="15">
        <v>1</v>
      </c>
      <c r="M51" s="16">
        <f t="shared" si="8"/>
        <v>0</v>
      </c>
      <c r="N51" s="16"/>
      <c r="O51" s="16"/>
      <c r="P51" s="16"/>
      <c r="Q51" s="16"/>
      <c r="R51" s="16"/>
      <c r="S51" s="99"/>
      <c r="T51" s="99"/>
      <c r="U51" s="99"/>
      <c r="V51" s="99"/>
      <c r="W51" s="13"/>
      <c r="X51" s="13"/>
      <c r="Y51" s="13"/>
      <c r="Z51" s="51"/>
      <c r="AA51" s="51"/>
      <c r="AB51" s="13"/>
      <c r="AC51" s="51"/>
      <c r="AD51" s="51"/>
      <c r="AE51" s="51"/>
      <c r="AF51" s="13"/>
      <c r="AG51" s="51"/>
    </row>
    <row r="52" spans="1:33" hidden="1" x14ac:dyDescent="0.35">
      <c r="A52" s="7" t="s">
        <v>65</v>
      </c>
      <c r="B52" s="8" t="s">
        <v>66</v>
      </c>
      <c r="C52" s="8" t="s">
        <v>72</v>
      </c>
      <c r="D52" s="9">
        <v>1</v>
      </c>
      <c r="E52" s="10">
        <f t="shared" si="17"/>
        <v>0</v>
      </c>
      <c r="F52" s="11">
        <v>1036.8900000000001</v>
      </c>
      <c r="G52" s="12">
        <v>35</v>
      </c>
      <c r="H52" s="12">
        <f t="shared" si="16"/>
        <v>362.91149999999999</v>
      </c>
      <c r="I52" s="13">
        <v>2</v>
      </c>
      <c r="J52" s="13">
        <f t="shared" si="14"/>
        <v>70</v>
      </c>
      <c r="K52" s="14"/>
      <c r="L52" s="15">
        <v>1</v>
      </c>
      <c r="M52" s="16">
        <f t="shared" si="8"/>
        <v>0</v>
      </c>
      <c r="N52" s="16"/>
      <c r="O52" s="16"/>
      <c r="P52" s="16"/>
      <c r="Q52" s="16"/>
      <c r="R52" s="16"/>
      <c r="S52" s="99"/>
      <c r="T52" s="99"/>
      <c r="U52" s="99"/>
      <c r="V52" s="99"/>
      <c r="W52" s="13"/>
      <c r="X52" s="13"/>
      <c r="Y52" s="13"/>
      <c r="Z52" s="51"/>
      <c r="AA52" s="51"/>
      <c r="AB52" s="13"/>
      <c r="AC52" s="51"/>
      <c r="AD52" s="51"/>
      <c r="AE52" s="51"/>
      <c r="AF52" s="13"/>
      <c r="AG52" s="51"/>
    </row>
    <row r="53" spans="1:33" hidden="1" x14ac:dyDescent="0.35">
      <c r="A53" s="7" t="s">
        <v>65</v>
      </c>
      <c r="B53" s="8" t="s">
        <v>66</v>
      </c>
      <c r="C53" s="8" t="s">
        <v>73</v>
      </c>
      <c r="D53" s="9">
        <v>1</v>
      </c>
      <c r="E53" s="10">
        <f t="shared" si="17"/>
        <v>0</v>
      </c>
      <c r="F53" s="11">
        <v>1116.25</v>
      </c>
      <c r="G53" s="12">
        <v>35</v>
      </c>
      <c r="H53" s="12">
        <f t="shared" si="16"/>
        <v>390.6875</v>
      </c>
      <c r="I53" s="13">
        <v>2</v>
      </c>
      <c r="J53" s="13">
        <f t="shared" si="14"/>
        <v>70</v>
      </c>
      <c r="K53" s="14"/>
      <c r="L53" s="15">
        <v>1</v>
      </c>
      <c r="M53" s="16">
        <f t="shared" si="8"/>
        <v>0</v>
      </c>
      <c r="N53" s="16"/>
      <c r="O53" s="16"/>
      <c r="P53" s="16"/>
      <c r="Q53" s="16"/>
      <c r="R53" s="16"/>
      <c r="S53" s="99"/>
      <c r="T53" s="99"/>
      <c r="U53" s="99"/>
      <c r="V53" s="99"/>
      <c r="W53" s="13"/>
      <c r="X53" s="13"/>
      <c r="Y53" s="13"/>
      <c r="Z53" s="51"/>
      <c r="AA53" s="51"/>
      <c r="AB53" s="13"/>
      <c r="AC53" s="51"/>
      <c r="AD53" s="51"/>
      <c r="AE53" s="51"/>
      <c r="AF53" s="13"/>
      <c r="AG53" s="51"/>
    </row>
    <row r="54" spans="1:33" hidden="1" x14ac:dyDescent="0.35">
      <c r="A54" s="7" t="s">
        <v>65</v>
      </c>
      <c r="B54" s="8" t="s">
        <v>66</v>
      </c>
      <c r="C54" s="8" t="s">
        <v>74</v>
      </c>
      <c r="D54" s="9">
        <v>1</v>
      </c>
      <c r="E54" s="10">
        <f t="shared" si="17"/>
        <v>0</v>
      </c>
      <c r="F54" s="11">
        <v>1192.1400000000001</v>
      </c>
      <c r="G54" s="12">
        <v>35</v>
      </c>
      <c r="H54" s="12">
        <f t="shared" si="16"/>
        <v>417.24900000000002</v>
      </c>
      <c r="I54" s="13">
        <v>2</v>
      </c>
      <c r="J54" s="13">
        <f t="shared" si="14"/>
        <v>70</v>
      </c>
      <c r="K54" s="14"/>
      <c r="L54" s="15">
        <v>1</v>
      </c>
      <c r="M54" s="16">
        <f t="shared" si="8"/>
        <v>0</v>
      </c>
      <c r="N54" s="16"/>
      <c r="O54" s="16"/>
      <c r="P54" s="16"/>
      <c r="Q54" s="16"/>
      <c r="R54" s="16"/>
      <c r="S54" s="99"/>
      <c r="T54" s="99"/>
      <c r="U54" s="99"/>
      <c r="V54" s="99"/>
      <c r="W54" s="13"/>
      <c r="X54" s="13"/>
      <c r="Y54" s="13"/>
      <c r="Z54" s="51"/>
      <c r="AA54" s="51"/>
      <c r="AB54" s="13"/>
      <c r="AC54" s="51"/>
      <c r="AD54" s="51"/>
      <c r="AE54" s="51"/>
      <c r="AF54" s="13"/>
      <c r="AG54" s="51"/>
    </row>
    <row r="55" spans="1:33" hidden="1" x14ac:dyDescent="0.35">
      <c r="A55" s="7" t="s">
        <v>65</v>
      </c>
      <c r="B55" s="8" t="s">
        <v>66</v>
      </c>
      <c r="C55" s="8" t="s">
        <v>75</v>
      </c>
      <c r="D55" s="9">
        <v>1</v>
      </c>
      <c r="E55" s="10">
        <f t="shared" si="17"/>
        <v>0</v>
      </c>
      <c r="F55" s="11">
        <v>1060.71</v>
      </c>
      <c r="G55" s="12">
        <v>35</v>
      </c>
      <c r="H55" s="12">
        <f t="shared" si="16"/>
        <v>371.24849999999998</v>
      </c>
      <c r="I55" s="13">
        <v>2</v>
      </c>
      <c r="J55" s="13">
        <f t="shared" si="14"/>
        <v>70</v>
      </c>
      <c r="K55" s="14"/>
      <c r="L55" s="15">
        <v>1</v>
      </c>
      <c r="M55" s="16">
        <f t="shared" si="8"/>
        <v>0</v>
      </c>
      <c r="N55" s="16"/>
      <c r="O55" s="16"/>
      <c r="P55" s="16"/>
      <c r="Q55" s="16"/>
      <c r="R55" s="16"/>
      <c r="S55" s="99"/>
      <c r="T55" s="99"/>
      <c r="U55" s="99"/>
      <c r="V55" s="99"/>
      <c r="W55" s="13"/>
      <c r="X55" s="13"/>
      <c r="Y55" s="13"/>
      <c r="Z55" s="51"/>
      <c r="AA55" s="51"/>
      <c r="AB55" s="13"/>
      <c r="AC55" s="51"/>
      <c r="AD55" s="51"/>
      <c r="AE55" s="51"/>
      <c r="AF55" s="13"/>
      <c r="AG55" s="51"/>
    </row>
    <row r="56" spans="1:33" hidden="1" x14ac:dyDescent="0.35">
      <c r="A56" s="7" t="s">
        <v>65</v>
      </c>
      <c r="B56" s="8" t="s">
        <v>66</v>
      </c>
      <c r="C56" s="8" t="s">
        <v>76</v>
      </c>
      <c r="D56" s="9">
        <v>1</v>
      </c>
      <c r="E56" s="10">
        <f t="shared" si="17"/>
        <v>0</v>
      </c>
      <c r="F56" s="11">
        <v>1034.8499999999999</v>
      </c>
      <c r="G56" s="12">
        <v>35</v>
      </c>
      <c r="H56" s="12">
        <f t="shared" si="16"/>
        <v>362.19749999999999</v>
      </c>
      <c r="I56" s="13">
        <v>2</v>
      </c>
      <c r="J56" s="13">
        <f t="shared" si="14"/>
        <v>70</v>
      </c>
      <c r="K56" s="14"/>
      <c r="L56" s="15">
        <v>1</v>
      </c>
      <c r="M56" s="16">
        <f t="shared" si="8"/>
        <v>0</v>
      </c>
      <c r="N56" s="16"/>
      <c r="O56" s="16"/>
      <c r="P56" s="16"/>
      <c r="Q56" s="16"/>
      <c r="R56" s="16"/>
      <c r="S56" s="99"/>
      <c r="T56" s="99"/>
      <c r="U56" s="99"/>
      <c r="V56" s="99"/>
      <c r="W56" s="13"/>
      <c r="X56" s="13"/>
      <c r="Y56" s="13"/>
      <c r="Z56" s="51"/>
      <c r="AA56" s="51"/>
      <c r="AB56" s="13"/>
      <c r="AC56" s="51"/>
      <c r="AD56" s="51"/>
      <c r="AE56" s="51"/>
      <c r="AF56" s="13"/>
      <c r="AG56" s="51"/>
    </row>
    <row r="57" spans="1:33" hidden="1" x14ac:dyDescent="0.35">
      <c r="A57" s="7" t="s">
        <v>65</v>
      </c>
      <c r="B57" s="8" t="s">
        <v>66</v>
      </c>
      <c r="C57" s="8" t="s">
        <v>77</v>
      </c>
      <c r="D57" s="9">
        <v>1</v>
      </c>
      <c r="E57" s="10">
        <f t="shared" si="17"/>
        <v>0</v>
      </c>
      <c r="F57" s="11">
        <v>1152.33</v>
      </c>
      <c r="G57" s="12">
        <v>35</v>
      </c>
      <c r="H57" s="12">
        <f t="shared" si="16"/>
        <v>403.31549999999993</v>
      </c>
      <c r="I57" s="13">
        <v>2</v>
      </c>
      <c r="J57" s="13">
        <f t="shared" si="14"/>
        <v>70</v>
      </c>
      <c r="K57" s="14"/>
      <c r="L57" s="15">
        <v>1</v>
      </c>
      <c r="M57" s="16">
        <f t="shared" si="8"/>
        <v>0</v>
      </c>
      <c r="N57" s="16"/>
      <c r="O57" s="16"/>
      <c r="P57" s="16"/>
      <c r="Q57" s="16"/>
      <c r="R57" s="16"/>
      <c r="S57" s="99"/>
      <c r="T57" s="99"/>
      <c r="U57" s="99"/>
      <c r="V57" s="99"/>
      <c r="W57" s="13"/>
      <c r="X57" s="13"/>
      <c r="Y57" s="13"/>
      <c r="Z57" s="51"/>
      <c r="AA57" s="51"/>
      <c r="AB57" s="13"/>
      <c r="AC57" s="51"/>
      <c r="AD57" s="51"/>
      <c r="AE57" s="51"/>
      <c r="AF57" s="13"/>
      <c r="AG57" s="51"/>
    </row>
    <row r="58" spans="1:33" hidden="1" x14ac:dyDescent="0.35">
      <c r="A58" s="7" t="s">
        <v>65</v>
      </c>
      <c r="B58" s="8" t="s">
        <v>66</v>
      </c>
      <c r="C58" s="8" t="s">
        <v>78</v>
      </c>
      <c r="D58" s="9">
        <v>1</v>
      </c>
      <c r="E58" s="10">
        <f t="shared" si="17"/>
        <v>0</v>
      </c>
      <c r="F58" s="11">
        <v>1136.03</v>
      </c>
      <c r="G58" s="12">
        <v>35</v>
      </c>
      <c r="H58" s="12">
        <f t="shared" si="16"/>
        <v>397.61049999999994</v>
      </c>
      <c r="I58" s="13">
        <v>2</v>
      </c>
      <c r="J58" s="13">
        <f t="shared" si="14"/>
        <v>70</v>
      </c>
      <c r="K58" s="14"/>
      <c r="L58" s="15">
        <v>1</v>
      </c>
      <c r="M58" s="16">
        <f t="shared" si="8"/>
        <v>0</v>
      </c>
      <c r="N58" s="16"/>
      <c r="O58" s="16"/>
      <c r="P58" s="16"/>
      <c r="Q58" s="16"/>
      <c r="R58" s="16"/>
      <c r="S58" s="99"/>
      <c r="T58" s="99"/>
      <c r="U58" s="99"/>
      <c r="V58" s="99"/>
      <c r="W58" s="13"/>
      <c r="X58" s="13"/>
      <c r="Y58" s="13"/>
      <c r="Z58" s="51"/>
      <c r="AA58" s="51"/>
      <c r="AB58" s="13"/>
      <c r="AC58" s="51"/>
      <c r="AD58" s="51"/>
      <c r="AE58" s="51"/>
      <c r="AF58" s="13"/>
      <c r="AG58" s="51"/>
    </row>
    <row r="59" spans="1:33" hidden="1" x14ac:dyDescent="0.35">
      <c r="A59" s="7" t="s">
        <v>65</v>
      </c>
      <c r="B59" s="8" t="s">
        <v>66</v>
      </c>
      <c r="C59" s="8" t="s">
        <v>79</v>
      </c>
      <c r="D59" s="9">
        <v>1</v>
      </c>
      <c r="E59" s="10">
        <f t="shared" si="17"/>
        <v>0</v>
      </c>
      <c r="F59" s="11">
        <v>1064.6099999999999</v>
      </c>
      <c r="G59" s="12">
        <v>35</v>
      </c>
      <c r="H59" s="12">
        <f t="shared" si="16"/>
        <v>372.61349999999999</v>
      </c>
      <c r="I59" s="13">
        <v>2</v>
      </c>
      <c r="J59" s="13">
        <f t="shared" si="14"/>
        <v>70</v>
      </c>
      <c r="K59" s="14"/>
      <c r="L59" s="15">
        <v>1</v>
      </c>
      <c r="M59" s="16">
        <f t="shared" si="8"/>
        <v>0</v>
      </c>
      <c r="N59" s="16"/>
      <c r="O59" s="16"/>
      <c r="P59" s="16"/>
      <c r="Q59" s="16"/>
      <c r="R59" s="16"/>
      <c r="S59" s="99"/>
      <c r="T59" s="99"/>
      <c r="U59" s="99"/>
      <c r="V59" s="99"/>
      <c r="W59" s="13"/>
      <c r="X59" s="13"/>
      <c r="Y59" s="13"/>
      <c r="Z59" s="51"/>
      <c r="AA59" s="51"/>
      <c r="AB59" s="13"/>
      <c r="AC59" s="51"/>
      <c r="AD59" s="51"/>
      <c r="AE59" s="51"/>
      <c r="AF59" s="13"/>
      <c r="AG59" s="51"/>
    </row>
    <row r="60" spans="1:33" hidden="1" x14ac:dyDescent="0.35">
      <c r="A60" s="7" t="s">
        <v>65</v>
      </c>
      <c r="B60" s="8" t="s">
        <v>66</v>
      </c>
      <c r="C60" s="8" t="s">
        <v>80</v>
      </c>
      <c r="D60" s="9">
        <v>1</v>
      </c>
      <c r="E60" s="10">
        <f t="shared" si="17"/>
        <v>0</v>
      </c>
      <c r="F60" s="11">
        <v>1127.75</v>
      </c>
      <c r="G60" s="12">
        <v>35</v>
      </c>
      <c r="H60" s="12">
        <f t="shared" si="16"/>
        <v>394.71249999999998</v>
      </c>
      <c r="I60" s="13">
        <v>2</v>
      </c>
      <c r="J60" s="13">
        <f t="shared" si="14"/>
        <v>70</v>
      </c>
      <c r="K60" s="14"/>
      <c r="L60" s="15">
        <v>1</v>
      </c>
      <c r="M60" s="16">
        <f t="shared" si="8"/>
        <v>0</v>
      </c>
      <c r="N60" s="16"/>
      <c r="O60" s="16"/>
      <c r="P60" s="16"/>
      <c r="Q60" s="16"/>
      <c r="R60" s="16"/>
      <c r="S60" s="99"/>
      <c r="T60" s="99"/>
      <c r="U60" s="99"/>
      <c r="V60" s="99"/>
      <c r="W60" s="13"/>
      <c r="X60" s="13"/>
      <c r="Y60" s="13"/>
      <c r="Z60" s="51"/>
      <c r="AA60" s="51"/>
      <c r="AB60" s="13"/>
      <c r="AC60" s="51"/>
      <c r="AD60" s="51"/>
      <c r="AE60" s="51"/>
      <c r="AF60" s="13"/>
      <c r="AG60" s="51"/>
    </row>
    <row r="61" spans="1:33" hidden="1" x14ac:dyDescent="0.35">
      <c r="A61" s="7" t="s">
        <v>65</v>
      </c>
      <c r="B61" s="8" t="s">
        <v>66</v>
      </c>
      <c r="C61" s="8" t="s">
        <v>81</v>
      </c>
      <c r="D61" s="9">
        <v>1</v>
      </c>
      <c r="E61" s="10">
        <f t="shared" si="17"/>
        <v>0</v>
      </c>
      <c r="F61" s="11">
        <v>1017.48</v>
      </c>
      <c r="G61" s="12">
        <v>35</v>
      </c>
      <c r="H61" s="12">
        <f t="shared" si="16"/>
        <v>356.11800000000005</v>
      </c>
      <c r="I61" s="13">
        <v>2</v>
      </c>
      <c r="J61" s="13">
        <f t="shared" si="14"/>
        <v>70</v>
      </c>
      <c r="K61" s="14"/>
      <c r="L61" s="15">
        <v>1</v>
      </c>
      <c r="M61" s="16">
        <f t="shared" si="8"/>
        <v>0</v>
      </c>
      <c r="N61" s="16"/>
      <c r="O61" s="16"/>
      <c r="P61" s="16"/>
      <c r="Q61" s="16"/>
      <c r="R61" s="16"/>
      <c r="S61" s="99"/>
      <c r="T61" s="99"/>
      <c r="U61" s="99"/>
      <c r="V61" s="99"/>
      <c r="W61" s="13"/>
      <c r="X61" s="13"/>
      <c r="Y61" s="13"/>
      <c r="Z61" s="51"/>
      <c r="AA61" s="51"/>
      <c r="AB61" s="13"/>
      <c r="AC61" s="51"/>
      <c r="AD61" s="51"/>
      <c r="AE61" s="51"/>
      <c r="AF61" s="13"/>
      <c r="AG61" s="51"/>
    </row>
    <row r="62" spans="1:33" hidden="1" x14ac:dyDescent="0.35">
      <c r="A62" s="7" t="s">
        <v>65</v>
      </c>
      <c r="B62" s="8" t="s">
        <v>66</v>
      </c>
      <c r="C62" s="8" t="s">
        <v>82</v>
      </c>
      <c r="D62" s="9">
        <v>1</v>
      </c>
      <c r="E62" s="10">
        <f t="shared" si="17"/>
        <v>0</v>
      </c>
      <c r="F62" s="11">
        <v>1035.69</v>
      </c>
      <c r="G62" s="12">
        <v>35</v>
      </c>
      <c r="H62" s="12">
        <f t="shared" si="16"/>
        <v>362.49150000000003</v>
      </c>
      <c r="I62" s="13">
        <v>2</v>
      </c>
      <c r="J62" s="13">
        <f t="shared" si="14"/>
        <v>70</v>
      </c>
      <c r="K62" s="14"/>
      <c r="L62" s="15">
        <v>1</v>
      </c>
      <c r="M62" s="16">
        <f t="shared" si="8"/>
        <v>0</v>
      </c>
      <c r="N62" s="16"/>
      <c r="O62" s="16"/>
      <c r="P62" s="16"/>
      <c r="Q62" s="16"/>
      <c r="R62" s="16"/>
      <c r="S62" s="99"/>
      <c r="T62" s="99"/>
      <c r="U62" s="99"/>
      <c r="V62" s="99"/>
      <c r="W62" s="13"/>
      <c r="X62" s="13"/>
      <c r="Y62" s="13"/>
      <c r="Z62" s="51"/>
      <c r="AA62" s="51"/>
      <c r="AB62" s="13"/>
      <c r="AC62" s="51"/>
      <c r="AD62" s="51"/>
      <c r="AE62" s="51"/>
      <c r="AF62" s="13"/>
      <c r="AG62" s="51"/>
    </row>
    <row r="63" spans="1:33" hidden="1" x14ac:dyDescent="0.35">
      <c r="A63" s="7" t="s">
        <v>65</v>
      </c>
      <c r="B63" s="8" t="s">
        <v>66</v>
      </c>
      <c r="C63" s="8" t="s">
        <v>83</v>
      </c>
      <c r="D63" s="9">
        <v>1</v>
      </c>
      <c r="E63" s="10">
        <f t="shared" si="17"/>
        <v>0</v>
      </c>
      <c r="F63" s="11">
        <v>1326.77</v>
      </c>
      <c r="G63" s="12">
        <v>35</v>
      </c>
      <c r="H63" s="12">
        <f t="shared" si="16"/>
        <v>464.36949999999996</v>
      </c>
      <c r="I63" s="13">
        <v>2</v>
      </c>
      <c r="J63" s="13">
        <f t="shared" si="14"/>
        <v>70</v>
      </c>
      <c r="K63" s="14"/>
      <c r="L63" s="15">
        <v>1</v>
      </c>
      <c r="M63" s="16">
        <f t="shared" si="8"/>
        <v>0</v>
      </c>
      <c r="N63" s="16"/>
      <c r="O63" s="16"/>
      <c r="P63" s="16"/>
      <c r="Q63" s="16"/>
      <c r="R63" s="16"/>
      <c r="S63" s="99"/>
      <c r="T63" s="99"/>
      <c r="U63" s="99"/>
      <c r="V63" s="99"/>
      <c r="W63" s="13"/>
      <c r="X63" s="13"/>
      <c r="Y63" s="13"/>
      <c r="Z63" s="51"/>
      <c r="AA63" s="51"/>
      <c r="AB63" s="13"/>
      <c r="AC63" s="51"/>
      <c r="AD63" s="51"/>
      <c r="AE63" s="51"/>
      <c r="AF63" s="13"/>
      <c r="AG63" s="51"/>
    </row>
    <row r="64" spans="1:33" hidden="1" x14ac:dyDescent="0.35">
      <c r="A64" s="7" t="s">
        <v>65</v>
      </c>
      <c r="B64" s="8" t="s">
        <v>66</v>
      </c>
      <c r="C64" s="8" t="s">
        <v>84</v>
      </c>
      <c r="D64" s="9">
        <v>1</v>
      </c>
      <c r="E64" s="10">
        <f t="shared" si="17"/>
        <v>0</v>
      </c>
      <c r="F64" s="11">
        <v>1107.03</v>
      </c>
      <c r="G64" s="12">
        <v>35</v>
      </c>
      <c r="H64" s="12">
        <f t="shared" si="16"/>
        <v>387.46049999999997</v>
      </c>
      <c r="I64" s="13">
        <v>2</v>
      </c>
      <c r="J64" s="13">
        <f t="shared" si="14"/>
        <v>70</v>
      </c>
      <c r="K64" s="14"/>
      <c r="L64" s="15">
        <v>1</v>
      </c>
      <c r="M64" s="16">
        <f t="shared" si="8"/>
        <v>0</v>
      </c>
      <c r="N64" s="16"/>
      <c r="O64" s="16"/>
      <c r="P64" s="16"/>
      <c r="Q64" s="16"/>
      <c r="R64" s="16"/>
      <c r="S64" s="99"/>
      <c r="T64" s="99"/>
      <c r="U64" s="99"/>
      <c r="V64" s="99"/>
      <c r="W64" s="13"/>
      <c r="X64" s="13"/>
      <c r="Y64" s="13"/>
      <c r="Z64" s="51"/>
      <c r="AA64" s="51"/>
      <c r="AB64" s="13"/>
      <c r="AC64" s="51"/>
      <c r="AD64" s="51"/>
      <c r="AE64" s="51"/>
      <c r="AF64" s="13"/>
      <c r="AG64" s="51"/>
    </row>
    <row r="65" spans="1:33" hidden="1" x14ac:dyDescent="0.35">
      <c r="A65" s="7" t="s">
        <v>65</v>
      </c>
      <c r="B65" s="8" t="s">
        <v>66</v>
      </c>
      <c r="C65" s="8" t="s">
        <v>85</v>
      </c>
      <c r="D65" s="9">
        <v>1</v>
      </c>
      <c r="E65" s="10">
        <f t="shared" si="17"/>
        <v>0</v>
      </c>
      <c r="F65" s="11">
        <v>1142.03</v>
      </c>
      <c r="G65" s="12">
        <v>35</v>
      </c>
      <c r="H65" s="12">
        <f t="shared" si="16"/>
        <v>399.71049999999997</v>
      </c>
      <c r="I65" s="13">
        <v>2</v>
      </c>
      <c r="J65" s="13">
        <f t="shared" si="14"/>
        <v>70</v>
      </c>
      <c r="K65" s="14"/>
      <c r="L65" s="15">
        <v>1</v>
      </c>
      <c r="M65" s="16">
        <f t="shared" si="8"/>
        <v>0</v>
      </c>
      <c r="N65" s="16"/>
      <c r="O65" s="16"/>
      <c r="P65" s="16"/>
      <c r="Q65" s="16"/>
      <c r="R65" s="16"/>
      <c r="S65" s="99"/>
      <c r="T65" s="99"/>
      <c r="U65" s="99"/>
      <c r="V65" s="99"/>
      <c r="W65" s="13"/>
      <c r="X65" s="13"/>
      <c r="Y65" s="13"/>
      <c r="Z65" s="51"/>
      <c r="AA65" s="51"/>
      <c r="AB65" s="13"/>
      <c r="AC65" s="51"/>
      <c r="AD65" s="51"/>
      <c r="AE65" s="51"/>
      <c r="AF65" s="13"/>
      <c r="AG65" s="51"/>
    </row>
    <row r="66" spans="1:33" hidden="1" x14ac:dyDescent="0.35">
      <c r="A66" s="7" t="s">
        <v>65</v>
      </c>
      <c r="B66" s="8" t="s">
        <v>66</v>
      </c>
      <c r="C66" s="8" t="s">
        <v>86</v>
      </c>
      <c r="D66" s="9">
        <v>1</v>
      </c>
      <c r="E66" s="10">
        <f t="shared" si="17"/>
        <v>0</v>
      </c>
      <c r="F66" s="11">
        <v>1131.0899999999999</v>
      </c>
      <c r="G66" s="12">
        <v>35</v>
      </c>
      <c r="H66" s="12">
        <f t="shared" si="16"/>
        <v>395.88149999999996</v>
      </c>
      <c r="I66" s="13">
        <v>2</v>
      </c>
      <c r="J66" s="13">
        <f t="shared" si="14"/>
        <v>70</v>
      </c>
      <c r="K66" s="14"/>
      <c r="L66" s="15">
        <v>1</v>
      </c>
      <c r="M66" s="16">
        <f t="shared" si="8"/>
        <v>0</v>
      </c>
      <c r="N66" s="16"/>
      <c r="O66" s="16"/>
      <c r="P66" s="16"/>
      <c r="Q66" s="16"/>
      <c r="R66" s="16"/>
      <c r="S66" s="99"/>
      <c r="T66" s="99"/>
      <c r="U66" s="99"/>
      <c r="V66" s="99"/>
      <c r="W66" s="13"/>
      <c r="X66" s="13"/>
      <c r="Y66" s="13"/>
      <c r="Z66" s="51"/>
      <c r="AA66" s="51"/>
      <c r="AB66" s="13"/>
      <c r="AC66" s="51"/>
      <c r="AD66" s="51"/>
      <c r="AE66" s="51"/>
      <c r="AF66" s="13"/>
      <c r="AG66" s="51"/>
    </row>
    <row r="67" spans="1:33" hidden="1" x14ac:dyDescent="0.35">
      <c r="A67" s="7" t="s">
        <v>65</v>
      </c>
      <c r="B67" s="8" t="s">
        <v>66</v>
      </c>
      <c r="C67" s="8" t="s">
        <v>87</v>
      </c>
      <c r="D67" s="9">
        <v>1</v>
      </c>
      <c r="E67" s="10">
        <f t="shared" si="17"/>
        <v>0</v>
      </c>
      <c r="F67" s="11">
        <v>1137.77</v>
      </c>
      <c r="G67" s="12">
        <v>35</v>
      </c>
      <c r="H67" s="12">
        <f t="shared" si="16"/>
        <v>398.21949999999998</v>
      </c>
      <c r="I67" s="13">
        <v>2</v>
      </c>
      <c r="J67" s="13">
        <f t="shared" si="14"/>
        <v>70</v>
      </c>
      <c r="K67" s="14"/>
      <c r="L67" s="15">
        <v>1</v>
      </c>
      <c r="M67" s="16">
        <f t="shared" si="8"/>
        <v>0</v>
      </c>
      <c r="N67" s="16"/>
      <c r="O67" s="16"/>
      <c r="P67" s="16"/>
      <c r="Q67" s="16"/>
      <c r="R67" s="16"/>
      <c r="S67" s="99"/>
      <c r="T67" s="99"/>
      <c r="U67" s="99"/>
      <c r="V67" s="99"/>
      <c r="W67" s="13"/>
      <c r="X67" s="13"/>
      <c r="Y67" s="13"/>
      <c r="Z67" s="51"/>
      <c r="AA67" s="51"/>
      <c r="AB67" s="13"/>
      <c r="AC67" s="51"/>
      <c r="AD67" s="51"/>
      <c r="AE67" s="51"/>
      <c r="AF67" s="13"/>
      <c r="AG67" s="51"/>
    </row>
    <row r="68" spans="1:33" hidden="1" x14ac:dyDescent="0.35">
      <c r="A68" s="7" t="s">
        <v>65</v>
      </c>
      <c r="B68" s="8" t="s">
        <v>66</v>
      </c>
      <c r="C68" s="8" t="s">
        <v>88</v>
      </c>
      <c r="D68" s="9">
        <v>1</v>
      </c>
      <c r="E68" s="10">
        <f t="shared" si="17"/>
        <v>0</v>
      </c>
      <c r="F68" s="11">
        <v>1339.34</v>
      </c>
      <c r="G68" s="12">
        <v>35</v>
      </c>
      <c r="H68" s="12">
        <f t="shared" si="16"/>
        <v>468.76899999999995</v>
      </c>
      <c r="I68" s="13">
        <v>2</v>
      </c>
      <c r="J68" s="13">
        <f t="shared" si="14"/>
        <v>70</v>
      </c>
      <c r="K68" s="14"/>
      <c r="L68" s="15">
        <v>1</v>
      </c>
      <c r="M68" s="16">
        <f t="shared" si="8"/>
        <v>0</v>
      </c>
      <c r="N68" s="16"/>
      <c r="O68" s="16"/>
      <c r="P68" s="16"/>
      <c r="Q68" s="16"/>
      <c r="R68" s="16"/>
      <c r="S68" s="99"/>
      <c r="T68" s="99"/>
      <c r="U68" s="99"/>
      <c r="V68" s="99"/>
      <c r="W68" s="13"/>
      <c r="X68" s="13"/>
      <c r="Y68" s="13"/>
      <c r="Z68" s="51"/>
      <c r="AA68" s="51"/>
      <c r="AB68" s="13"/>
      <c r="AC68" s="51"/>
      <c r="AD68" s="51"/>
      <c r="AE68" s="51"/>
      <c r="AF68" s="13"/>
      <c r="AG68" s="51"/>
    </row>
    <row r="69" spans="1:33" hidden="1" x14ac:dyDescent="0.35">
      <c r="A69" s="7" t="s">
        <v>65</v>
      </c>
      <c r="B69" s="8" t="s">
        <v>66</v>
      </c>
      <c r="C69" s="8" t="s">
        <v>89</v>
      </c>
      <c r="D69" s="9">
        <v>1</v>
      </c>
      <c r="E69" s="10">
        <f t="shared" si="17"/>
        <v>0</v>
      </c>
      <c r="F69" s="11">
        <v>1156.23</v>
      </c>
      <c r="G69" s="12">
        <v>35</v>
      </c>
      <c r="H69" s="12">
        <f t="shared" si="16"/>
        <v>404.68050000000005</v>
      </c>
      <c r="I69" s="13">
        <v>2</v>
      </c>
      <c r="J69" s="13">
        <f t="shared" si="14"/>
        <v>70</v>
      </c>
      <c r="K69" s="14"/>
      <c r="L69" s="15">
        <v>1</v>
      </c>
      <c r="M69" s="16">
        <f t="shared" si="8"/>
        <v>0</v>
      </c>
      <c r="N69" s="16"/>
      <c r="O69" s="16"/>
      <c r="P69" s="16"/>
      <c r="Q69" s="16"/>
      <c r="R69" s="16"/>
      <c r="S69" s="99"/>
      <c r="T69" s="99"/>
      <c r="U69" s="99"/>
      <c r="V69" s="99"/>
      <c r="W69" s="13"/>
      <c r="X69" s="13"/>
      <c r="Y69" s="13"/>
      <c r="Z69" s="51"/>
      <c r="AA69" s="51"/>
      <c r="AB69" s="13"/>
      <c r="AC69" s="51"/>
      <c r="AD69" s="51"/>
      <c r="AE69" s="51"/>
      <c r="AF69" s="13"/>
      <c r="AG69" s="51"/>
    </row>
    <row r="70" spans="1:33" hidden="1" x14ac:dyDescent="0.35">
      <c r="A70" s="7" t="s">
        <v>65</v>
      </c>
      <c r="B70" s="8" t="s">
        <v>66</v>
      </c>
      <c r="C70" s="8" t="s">
        <v>90</v>
      </c>
      <c r="D70" s="9">
        <v>1</v>
      </c>
      <c r="E70" s="10">
        <f t="shared" si="17"/>
        <v>0</v>
      </c>
      <c r="F70" s="11">
        <v>1069.06</v>
      </c>
      <c r="G70" s="12">
        <v>35</v>
      </c>
      <c r="H70" s="12">
        <f t="shared" si="16"/>
        <v>374.17099999999999</v>
      </c>
      <c r="I70" s="13">
        <v>2</v>
      </c>
      <c r="J70" s="13">
        <f t="shared" si="14"/>
        <v>70</v>
      </c>
      <c r="K70" s="14"/>
      <c r="L70" s="15">
        <v>1</v>
      </c>
      <c r="M70" s="16">
        <f t="shared" si="8"/>
        <v>0</v>
      </c>
      <c r="N70" s="16"/>
      <c r="O70" s="16"/>
      <c r="P70" s="16"/>
      <c r="Q70" s="16"/>
      <c r="R70" s="16"/>
      <c r="S70" s="99"/>
      <c r="T70" s="99"/>
      <c r="U70" s="99"/>
      <c r="V70" s="99"/>
      <c r="W70" s="13"/>
      <c r="X70" s="13"/>
      <c r="Y70" s="13"/>
      <c r="Z70" s="51"/>
      <c r="AA70" s="51"/>
      <c r="AB70" s="13"/>
      <c r="AC70" s="51"/>
      <c r="AD70" s="51"/>
      <c r="AE70" s="51"/>
      <c r="AF70" s="13"/>
      <c r="AG70" s="51"/>
    </row>
    <row r="71" spans="1:33" hidden="1" x14ac:dyDescent="0.35">
      <c r="A71" s="7" t="s">
        <v>65</v>
      </c>
      <c r="B71" s="8" t="s">
        <v>66</v>
      </c>
      <c r="C71" s="8" t="s">
        <v>91</v>
      </c>
      <c r="D71" s="9">
        <v>1</v>
      </c>
      <c r="E71" s="10">
        <f t="shared" si="17"/>
        <v>0</v>
      </c>
      <c r="F71" s="11">
        <v>1150.06</v>
      </c>
      <c r="G71" s="12">
        <v>35</v>
      </c>
      <c r="H71" s="12">
        <f t="shared" si="16"/>
        <v>402.52099999999996</v>
      </c>
      <c r="I71" s="13">
        <v>2</v>
      </c>
      <c r="J71" s="13">
        <f t="shared" si="14"/>
        <v>70</v>
      </c>
      <c r="K71" s="14"/>
      <c r="L71" s="15">
        <v>1</v>
      </c>
      <c r="M71" s="16">
        <f t="shared" si="8"/>
        <v>0</v>
      </c>
      <c r="N71" s="16"/>
      <c r="O71" s="16"/>
      <c r="P71" s="16"/>
      <c r="Q71" s="16"/>
      <c r="R71" s="16"/>
      <c r="S71" s="99"/>
      <c r="T71" s="99"/>
      <c r="U71" s="99"/>
      <c r="V71" s="99"/>
      <c r="W71" s="13"/>
      <c r="X71" s="13"/>
      <c r="Y71" s="13"/>
      <c r="Z71" s="51"/>
      <c r="AA71" s="51"/>
      <c r="AB71" s="13"/>
      <c r="AC71" s="51"/>
      <c r="AD71" s="51"/>
      <c r="AE71" s="51"/>
      <c r="AF71" s="13"/>
      <c r="AG71" s="51"/>
    </row>
    <row r="72" spans="1:33" hidden="1" x14ac:dyDescent="0.35">
      <c r="A72" s="7" t="s">
        <v>65</v>
      </c>
      <c r="B72" s="8" t="s">
        <v>66</v>
      </c>
      <c r="C72" s="8" t="s">
        <v>92</v>
      </c>
      <c r="D72" s="9">
        <v>1</v>
      </c>
      <c r="E72" s="10">
        <f t="shared" si="17"/>
        <v>0</v>
      </c>
      <c r="F72" s="11">
        <v>1155.27</v>
      </c>
      <c r="G72" s="12">
        <v>35</v>
      </c>
      <c r="H72" s="12">
        <f t="shared" si="16"/>
        <v>404.34449999999998</v>
      </c>
      <c r="I72" s="13">
        <v>2</v>
      </c>
      <c r="J72" s="13">
        <f t="shared" si="14"/>
        <v>70</v>
      </c>
      <c r="K72" s="14"/>
      <c r="L72" s="15">
        <v>1</v>
      </c>
      <c r="M72" s="16">
        <f t="shared" si="8"/>
        <v>0</v>
      </c>
      <c r="N72" s="16"/>
      <c r="O72" s="16"/>
      <c r="P72" s="16"/>
      <c r="Q72" s="16"/>
      <c r="R72" s="16"/>
      <c r="S72" s="99"/>
      <c r="T72" s="99"/>
      <c r="U72" s="99"/>
      <c r="V72" s="99"/>
      <c r="W72" s="13"/>
      <c r="X72" s="13"/>
      <c r="Y72" s="13"/>
      <c r="Z72" s="51"/>
      <c r="AA72" s="51"/>
      <c r="AB72" s="13"/>
      <c r="AC72" s="51"/>
      <c r="AD72" s="51"/>
      <c r="AE72" s="51"/>
      <c r="AF72" s="13"/>
      <c r="AG72" s="51"/>
    </row>
    <row r="73" spans="1:33" x14ac:dyDescent="0.35">
      <c r="A73" s="7"/>
      <c r="B73" s="8"/>
      <c r="C73" s="8"/>
      <c r="D73" s="9"/>
      <c r="E73" s="10"/>
      <c r="F73" s="11"/>
      <c r="G73" s="12"/>
      <c r="H73" s="12"/>
      <c r="I73" s="13"/>
      <c r="J73" s="13"/>
      <c r="K73" s="14"/>
      <c r="L73" s="15"/>
      <c r="M73" s="16">
        <f t="shared" ref="M73:M136" si="18">K73*L73</f>
        <v>0</v>
      </c>
      <c r="N73" s="44"/>
      <c r="O73" s="44"/>
      <c r="P73" s="44"/>
      <c r="Q73" s="44"/>
      <c r="R73" s="44"/>
      <c r="S73" s="19"/>
      <c r="T73" s="19"/>
      <c r="U73" s="19"/>
      <c r="V73" s="19"/>
      <c r="W73" s="13"/>
      <c r="X73" s="13"/>
      <c r="Y73" s="13"/>
      <c r="Z73" s="51"/>
      <c r="AA73" s="51"/>
      <c r="AB73" s="13"/>
      <c r="AC73" s="51"/>
      <c r="AD73" s="51"/>
      <c r="AE73" s="51"/>
      <c r="AF73" s="13"/>
      <c r="AG73" s="51"/>
    </row>
    <row r="74" spans="1:33" x14ac:dyDescent="0.35">
      <c r="A74" s="7" t="s">
        <v>93</v>
      </c>
      <c r="B74" s="8" t="s">
        <v>41</v>
      </c>
      <c r="C74" s="8" t="s">
        <v>94</v>
      </c>
      <c r="D74" s="9">
        <v>3</v>
      </c>
      <c r="E74" s="10"/>
      <c r="F74" s="11">
        <v>21370.55</v>
      </c>
      <c r="G74" s="12">
        <v>25</v>
      </c>
      <c r="H74" s="12">
        <f>F74*G74/100</f>
        <v>5342.6374999999998</v>
      </c>
      <c r="I74" s="13">
        <v>12</v>
      </c>
      <c r="J74" s="13">
        <f t="shared" si="14"/>
        <v>300</v>
      </c>
      <c r="K74" s="14">
        <f>F74*J74/100</f>
        <v>64111.65</v>
      </c>
      <c r="L74" s="15">
        <v>0.8</v>
      </c>
      <c r="M74" s="22">
        <f t="shared" si="18"/>
        <v>51289.320000000007</v>
      </c>
      <c r="N74" s="46">
        <f>+F74*0.4*6</f>
        <v>51289.319999999992</v>
      </c>
      <c r="O74" s="46">
        <f>+N74/I74</f>
        <v>4274.1099999999997</v>
      </c>
      <c r="P74" s="46"/>
      <c r="Q74" s="46">
        <f>+O74*6</f>
        <v>25644.659999999996</v>
      </c>
      <c r="R74" s="46" t="s">
        <v>41</v>
      </c>
      <c r="S74" s="100">
        <f>SUM(F74:F78)</f>
        <v>40396.42</v>
      </c>
      <c r="T74" s="100">
        <f>SUM(H74:H78)</f>
        <v>10099.105</v>
      </c>
      <c r="U74" s="100">
        <f>SUM(K74:K78)</f>
        <v>97214.810000000012</v>
      </c>
      <c r="V74" s="100">
        <f>SUM(M74:M78)</f>
        <v>77771.848000000013</v>
      </c>
      <c r="W74" s="13">
        <v>1083</v>
      </c>
      <c r="X74" s="13">
        <v>2.0699999999999998</v>
      </c>
      <c r="Y74" s="13">
        <f t="shared" ref="Y74:Y78" si="19">W74*X74</f>
        <v>2241.81</v>
      </c>
      <c r="Z74" s="51">
        <f t="shared" ref="Z74:Z78" si="20">Y74*K74</f>
        <v>143726138.08649999</v>
      </c>
      <c r="AA74" s="51">
        <f t="shared" ref="AA74:AA78" si="21">Z74*13.64%</f>
        <v>19604245.234998599</v>
      </c>
      <c r="AB74" s="13">
        <v>400</v>
      </c>
      <c r="AC74" s="51">
        <f t="shared" ref="AC74:AC78" si="22">AB74*F74</f>
        <v>8548220</v>
      </c>
      <c r="AD74" s="51">
        <f t="shared" ref="AD74:AD78" si="23">AA74-AC74</f>
        <v>11056025.234998599</v>
      </c>
      <c r="AE74" s="51">
        <f t="shared" ref="AE74:AE78" si="24">AD74*30%</f>
        <v>3316807.5704995794</v>
      </c>
      <c r="AF74" s="53">
        <v>0.45</v>
      </c>
      <c r="AG74" s="51">
        <f>AE74*AF74</f>
        <v>1492563.4067248108</v>
      </c>
    </row>
    <row r="75" spans="1:33" x14ac:dyDescent="0.35">
      <c r="A75" s="7" t="s">
        <v>93</v>
      </c>
      <c r="B75" s="8" t="s">
        <v>95</v>
      </c>
      <c r="C75" s="8" t="s">
        <v>96</v>
      </c>
      <c r="D75" s="9">
        <v>1</v>
      </c>
      <c r="E75" s="10"/>
      <c r="F75" s="11">
        <v>5967.21</v>
      </c>
      <c r="G75" s="12">
        <v>25</v>
      </c>
      <c r="H75" s="12">
        <f>F75*G75/100</f>
        <v>1491.8025</v>
      </c>
      <c r="I75" s="13">
        <v>2</v>
      </c>
      <c r="J75" s="13">
        <f t="shared" si="14"/>
        <v>50</v>
      </c>
      <c r="K75" s="14">
        <f>F75*J75/100</f>
        <v>2983.605</v>
      </c>
      <c r="L75" s="15">
        <v>0.8</v>
      </c>
      <c r="M75" s="22">
        <f t="shared" si="18"/>
        <v>2386.884</v>
      </c>
      <c r="N75" s="46">
        <f t="shared" ref="N75:N78" si="25">+F75*0.4*6</f>
        <v>14321.304</v>
      </c>
      <c r="O75" s="16" t="s">
        <v>175</v>
      </c>
      <c r="P75" s="16"/>
      <c r="Q75" s="16"/>
      <c r="R75" s="16"/>
      <c r="S75" s="103"/>
      <c r="T75" s="103"/>
      <c r="U75" s="103"/>
      <c r="V75" s="103"/>
      <c r="W75" s="13">
        <v>720</v>
      </c>
      <c r="X75" s="13">
        <v>2.04</v>
      </c>
      <c r="Y75" s="13">
        <f t="shared" si="19"/>
        <v>1468.8</v>
      </c>
      <c r="Z75" s="51">
        <f t="shared" si="20"/>
        <v>4382319.0240000002</v>
      </c>
      <c r="AA75" s="51">
        <f t="shared" si="21"/>
        <v>597748.31487360003</v>
      </c>
      <c r="AB75" s="13">
        <v>400</v>
      </c>
      <c r="AC75" s="51">
        <f t="shared" si="22"/>
        <v>2386884</v>
      </c>
      <c r="AD75" s="52">
        <f t="shared" si="23"/>
        <v>-1789135.6851264001</v>
      </c>
      <c r="AE75" s="51">
        <f t="shared" si="24"/>
        <v>-536740.70553792</v>
      </c>
      <c r="AF75" s="13"/>
      <c r="AG75" s="52">
        <f t="shared" ref="AG75:AG78" si="26">AE75</f>
        <v>-536740.70553792</v>
      </c>
    </row>
    <row r="76" spans="1:33" x14ac:dyDescent="0.35">
      <c r="A76" s="7" t="s">
        <v>93</v>
      </c>
      <c r="B76" s="8" t="s">
        <v>51</v>
      </c>
      <c r="C76" s="8" t="s">
        <v>97</v>
      </c>
      <c r="D76" s="9">
        <v>1</v>
      </c>
      <c r="E76" s="10">
        <f>M76</f>
        <v>8384.9520000000011</v>
      </c>
      <c r="F76" s="11">
        <v>3493.73</v>
      </c>
      <c r="G76" s="12">
        <v>25</v>
      </c>
      <c r="H76" s="12">
        <f>F76*G76/100</f>
        <v>873.4325</v>
      </c>
      <c r="I76" s="13">
        <v>12</v>
      </c>
      <c r="J76" s="13">
        <f t="shared" si="14"/>
        <v>300</v>
      </c>
      <c r="K76" s="14">
        <f>F76*J76/100</f>
        <v>10481.19</v>
      </c>
      <c r="L76" s="15">
        <v>0.8</v>
      </c>
      <c r="M76" s="22">
        <f t="shared" si="18"/>
        <v>8384.9520000000011</v>
      </c>
      <c r="N76" s="46">
        <f t="shared" si="25"/>
        <v>8384.9520000000011</v>
      </c>
      <c r="O76" s="47">
        <f>+N76/I76</f>
        <v>698.74600000000009</v>
      </c>
      <c r="P76" s="16">
        <f>+O76*6</f>
        <v>4192.4760000000006</v>
      </c>
      <c r="Q76" s="16"/>
      <c r="R76" s="16" t="s">
        <v>183</v>
      </c>
      <c r="S76" s="103"/>
      <c r="T76" s="103"/>
      <c r="U76" s="103"/>
      <c r="V76" s="103"/>
      <c r="W76" s="13">
        <v>1083</v>
      </c>
      <c r="X76" s="13">
        <v>1</v>
      </c>
      <c r="Y76" s="13">
        <f t="shared" si="19"/>
        <v>1083</v>
      </c>
      <c r="Z76" s="51">
        <f t="shared" si="20"/>
        <v>11351128.770000001</v>
      </c>
      <c r="AA76" s="51">
        <f t="shared" si="21"/>
        <v>1548293.964228</v>
      </c>
      <c r="AB76" s="13">
        <v>400</v>
      </c>
      <c r="AC76" s="51">
        <f t="shared" si="22"/>
        <v>1397492</v>
      </c>
      <c r="AD76" s="51">
        <f t="shared" si="23"/>
        <v>150801.96422800003</v>
      </c>
      <c r="AE76" s="51">
        <f t="shared" si="24"/>
        <v>45240.589268400006</v>
      </c>
      <c r="AF76" s="13"/>
      <c r="AG76" s="51">
        <f t="shared" si="26"/>
        <v>45240.589268400006</v>
      </c>
    </row>
    <row r="77" spans="1:33" x14ac:dyDescent="0.35">
      <c r="A77" s="7" t="s">
        <v>93</v>
      </c>
      <c r="B77" s="8" t="s">
        <v>55</v>
      </c>
      <c r="C77" s="8" t="s">
        <v>98</v>
      </c>
      <c r="D77" s="9">
        <v>2</v>
      </c>
      <c r="E77" s="10">
        <f>M77</f>
        <v>14261.664000000002</v>
      </c>
      <c r="F77" s="11">
        <v>5942.36</v>
      </c>
      <c r="G77" s="12">
        <v>25</v>
      </c>
      <c r="H77" s="12">
        <f>F77*G77/100</f>
        <v>1485.59</v>
      </c>
      <c r="I77" s="13">
        <v>12</v>
      </c>
      <c r="J77" s="13">
        <f t="shared" si="14"/>
        <v>300</v>
      </c>
      <c r="K77" s="14">
        <f>F77*J77/100</f>
        <v>17827.080000000002</v>
      </c>
      <c r="L77" s="15">
        <v>0.8</v>
      </c>
      <c r="M77" s="22">
        <f t="shared" si="18"/>
        <v>14261.664000000002</v>
      </c>
      <c r="N77" s="46">
        <f t="shared" si="25"/>
        <v>14261.664000000001</v>
      </c>
      <c r="O77" s="47">
        <f>+N77/I77</f>
        <v>1188.472</v>
      </c>
      <c r="P77" s="16">
        <f>+O77*6</f>
        <v>7130.8320000000003</v>
      </c>
      <c r="Q77" s="16"/>
      <c r="R77" s="16" t="s">
        <v>183</v>
      </c>
      <c r="S77" s="103"/>
      <c r="T77" s="103"/>
      <c r="U77" s="103"/>
      <c r="V77" s="103"/>
      <c r="W77" s="13">
        <v>1083</v>
      </c>
      <c r="X77" s="13">
        <v>1</v>
      </c>
      <c r="Y77" s="13">
        <f t="shared" si="19"/>
        <v>1083</v>
      </c>
      <c r="Z77" s="51">
        <f t="shared" si="20"/>
        <v>19306727.640000001</v>
      </c>
      <c r="AA77" s="51">
        <f t="shared" si="21"/>
        <v>2633437.6500960002</v>
      </c>
      <c r="AB77" s="13">
        <v>400</v>
      </c>
      <c r="AC77" s="51">
        <f t="shared" si="22"/>
        <v>2376944</v>
      </c>
      <c r="AD77" s="51">
        <f t="shared" si="23"/>
        <v>256493.65009600017</v>
      </c>
      <c r="AE77" s="51">
        <f t="shared" si="24"/>
        <v>76948.095028800046</v>
      </c>
      <c r="AF77" s="13"/>
      <c r="AG77" s="51">
        <f t="shared" si="26"/>
        <v>76948.095028800046</v>
      </c>
    </row>
    <row r="78" spans="1:33" x14ac:dyDescent="0.35">
      <c r="A78" s="7" t="s">
        <v>93</v>
      </c>
      <c r="B78" s="8" t="s">
        <v>55</v>
      </c>
      <c r="C78" s="8" t="s">
        <v>99</v>
      </c>
      <c r="D78" s="9">
        <v>1</v>
      </c>
      <c r="E78" s="10">
        <f>M78</f>
        <v>1449.0280000000002</v>
      </c>
      <c r="F78" s="11">
        <v>3622.57</v>
      </c>
      <c r="G78" s="12">
        <v>25</v>
      </c>
      <c r="H78" s="12">
        <f>F78*G78/100</f>
        <v>905.64250000000004</v>
      </c>
      <c r="I78" s="13">
        <v>2</v>
      </c>
      <c r="J78" s="13">
        <f t="shared" si="14"/>
        <v>50</v>
      </c>
      <c r="K78" s="14">
        <f>F78*J78/100</f>
        <v>1811.2850000000001</v>
      </c>
      <c r="L78" s="15">
        <v>0.8</v>
      </c>
      <c r="M78" s="22">
        <f t="shared" si="18"/>
        <v>1449.0280000000002</v>
      </c>
      <c r="N78" s="16">
        <f t="shared" si="25"/>
        <v>8694.1680000000015</v>
      </c>
      <c r="O78" s="16" t="s">
        <v>175</v>
      </c>
      <c r="P78" s="16"/>
      <c r="Q78" s="16"/>
      <c r="R78" s="16"/>
      <c r="S78" s="104"/>
      <c r="T78" s="104"/>
      <c r="U78" s="104"/>
      <c r="V78" s="104"/>
      <c r="W78" s="13">
        <v>720</v>
      </c>
      <c r="X78" s="13">
        <v>1</v>
      </c>
      <c r="Y78" s="13">
        <f t="shared" si="19"/>
        <v>720</v>
      </c>
      <c r="Z78" s="51">
        <f t="shared" si="20"/>
        <v>1304125.2</v>
      </c>
      <c r="AA78" s="51">
        <f t="shared" si="21"/>
        <v>177882.67727999997</v>
      </c>
      <c r="AB78" s="13">
        <v>400</v>
      </c>
      <c r="AC78" s="51">
        <f t="shared" si="22"/>
        <v>1449028</v>
      </c>
      <c r="AD78" s="52">
        <f t="shared" si="23"/>
        <v>-1271145.3227200001</v>
      </c>
      <c r="AE78" s="51">
        <f t="shared" si="24"/>
        <v>-381343.596816</v>
      </c>
      <c r="AF78" s="13"/>
      <c r="AG78" s="52">
        <f t="shared" si="26"/>
        <v>-381343.596816</v>
      </c>
    </row>
    <row r="79" spans="1:33" x14ac:dyDescent="0.35">
      <c r="A79" s="7"/>
      <c r="B79" s="8"/>
      <c r="C79" s="8"/>
      <c r="D79" s="9"/>
      <c r="E79" s="10"/>
      <c r="F79" s="11"/>
      <c r="G79" s="12"/>
      <c r="H79" s="12"/>
      <c r="I79" s="13"/>
      <c r="J79" s="13"/>
      <c r="K79" s="14"/>
      <c r="L79" s="15"/>
      <c r="M79" s="16">
        <f t="shared" si="18"/>
        <v>0</v>
      </c>
      <c r="N79" s="44"/>
      <c r="O79" s="44"/>
      <c r="P79" s="44"/>
      <c r="Q79" s="44"/>
      <c r="R79" s="44"/>
      <c r="S79" s="19"/>
      <c r="T79" s="19"/>
      <c r="U79" s="19"/>
      <c r="V79" s="19"/>
      <c r="W79" s="13"/>
      <c r="X79" s="13"/>
      <c r="Y79" s="13"/>
      <c r="Z79" s="51"/>
      <c r="AA79" s="51"/>
      <c r="AB79" s="13"/>
      <c r="AC79" s="51"/>
      <c r="AD79" s="51"/>
      <c r="AE79" s="51"/>
      <c r="AF79" s="13"/>
      <c r="AG79" s="51"/>
    </row>
    <row r="80" spans="1:33" hidden="1" x14ac:dyDescent="0.35">
      <c r="A80" s="7" t="s">
        <v>100</v>
      </c>
      <c r="B80" s="8" t="s">
        <v>66</v>
      </c>
      <c r="C80" s="8" t="s">
        <v>101</v>
      </c>
      <c r="D80" s="9">
        <v>1</v>
      </c>
      <c r="E80" s="10">
        <f>M80</f>
        <v>0</v>
      </c>
      <c r="F80" s="11">
        <v>1491.2</v>
      </c>
      <c r="G80" s="12">
        <v>35</v>
      </c>
      <c r="H80" s="12">
        <f t="shared" ref="H80:H121" si="27">F80*G80/100</f>
        <v>521.91999999999996</v>
      </c>
      <c r="I80" s="13">
        <v>2</v>
      </c>
      <c r="J80" s="13">
        <f t="shared" si="14"/>
        <v>70</v>
      </c>
      <c r="K80" s="14"/>
      <c r="L80" s="15">
        <v>1</v>
      </c>
      <c r="M80" s="16">
        <f t="shared" si="18"/>
        <v>0</v>
      </c>
      <c r="N80" s="16"/>
      <c r="O80" s="16"/>
      <c r="P80" s="16"/>
      <c r="Q80" s="16"/>
      <c r="R80" s="16"/>
      <c r="S80" s="98">
        <f>SUM(F80:F121)</f>
        <v>35326.649999999994</v>
      </c>
      <c r="T80" s="98">
        <f>SUM(H80:H121)</f>
        <v>12364.327499999999</v>
      </c>
      <c r="U80" s="98">
        <f>SUM(K80:K121)</f>
        <v>0</v>
      </c>
      <c r="V80" s="98">
        <f>SUM(M80:M121)</f>
        <v>0</v>
      </c>
      <c r="W80" s="13"/>
      <c r="X80" s="13"/>
      <c r="Y80" s="13"/>
      <c r="Z80" s="51"/>
      <c r="AA80" s="51"/>
      <c r="AB80" s="13"/>
      <c r="AC80" s="51"/>
      <c r="AD80" s="51"/>
      <c r="AE80" s="51"/>
      <c r="AF80" s="13"/>
      <c r="AG80" s="51"/>
    </row>
    <row r="81" spans="1:33" hidden="1" x14ac:dyDescent="0.35">
      <c r="A81" s="7" t="s">
        <v>100</v>
      </c>
      <c r="B81" s="8" t="s">
        <v>66</v>
      </c>
      <c r="C81" s="8" t="s">
        <v>102</v>
      </c>
      <c r="D81" s="9">
        <v>1</v>
      </c>
      <c r="E81" s="10">
        <f t="shared" ref="E81:E142" si="28">M81</f>
        <v>0</v>
      </c>
      <c r="F81" s="11">
        <v>963.86</v>
      </c>
      <c r="G81" s="12">
        <v>35</v>
      </c>
      <c r="H81" s="12">
        <f t="shared" si="27"/>
        <v>337.351</v>
      </c>
      <c r="I81" s="13">
        <v>2</v>
      </c>
      <c r="J81" s="13">
        <f t="shared" si="14"/>
        <v>70</v>
      </c>
      <c r="K81" s="14"/>
      <c r="L81" s="15">
        <v>1</v>
      </c>
      <c r="M81" s="16">
        <f t="shared" si="18"/>
        <v>0</v>
      </c>
      <c r="N81" s="16"/>
      <c r="O81" s="16"/>
      <c r="P81" s="16"/>
      <c r="Q81" s="16"/>
      <c r="R81" s="16"/>
      <c r="S81" s="99"/>
      <c r="T81" s="99"/>
      <c r="U81" s="99"/>
      <c r="V81" s="99"/>
      <c r="W81" s="13"/>
      <c r="X81" s="13"/>
      <c r="Y81" s="13"/>
      <c r="Z81" s="51"/>
      <c r="AA81" s="51"/>
      <c r="AB81" s="13"/>
      <c r="AC81" s="51"/>
      <c r="AD81" s="51"/>
      <c r="AE81" s="51"/>
      <c r="AF81" s="13"/>
      <c r="AG81" s="51"/>
    </row>
    <row r="82" spans="1:33" hidden="1" x14ac:dyDescent="0.35">
      <c r="A82" s="7" t="s">
        <v>100</v>
      </c>
      <c r="B82" s="8" t="s">
        <v>66</v>
      </c>
      <c r="C82" s="8" t="s">
        <v>103</v>
      </c>
      <c r="D82" s="9">
        <v>1</v>
      </c>
      <c r="E82" s="10">
        <f t="shared" si="28"/>
        <v>0</v>
      </c>
      <c r="F82" s="11">
        <v>909.81</v>
      </c>
      <c r="G82" s="12">
        <v>35</v>
      </c>
      <c r="H82" s="12">
        <f t="shared" si="27"/>
        <v>318.43349999999998</v>
      </c>
      <c r="I82" s="13">
        <v>2</v>
      </c>
      <c r="J82" s="13">
        <f t="shared" si="14"/>
        <v>70</v>
      </c>
      <c r="K82" s="14"/>
      <c r="L82" s="15">
        <v>1</v>
      </c>
      <c r="M82" s="16">
        <f t="shared" si="18"/>
        <v>0</v>
      </c>
      <c r="N82" s="16"/>
      <c r="O82" s="16"/>
      <c r="P82" s="16"/>
      <c r="Q82" s="16"/>
      <c r="R82" s="16"/>
      <c r="S82" s="99"/>
      <c r="T82" s="99"/>
      <c r="U82" s="99"/>
      <c r="V82" s="99"/>
      <c r="W82" s="13"/>
      <c r="X82" s="13"/>
      <c r="Y82" s="13"/>
      <c r="Z82" s="51"/>
      <c r="AA82" s="51"/>
      <c r="AB82" s="13"/>
      <c r="AC82" s="51"/>
      <c r="AD82" s="51"/>
      <c r="AE82" s="51"/>
      <c r="AF82" s="13"/>
      <c r="AG82" s="51"/>
    </row>
    <row r="83" spans="1:33" hidden="1" x14ac:dyDescent="0.35">
      <c r="A83" s="7" t="s">
        <v>100</v>
      </c>
      <c r="B83" s="8" t="s">
        <v>66</v>
      </c>
      <c r="C83" s="8" t="s">
        <v>104</v>
      </c>
      <c r="D83" s="9">
        <v>1</v>
      </c>
      <c r="E83" s="10">
        <f t="shared" si="28"/>
        <v>0</v>
      </c>
      <c r="F83" s="11">
        <v>1000</v>
      </c>
      <c r="G83" s="12">
        <v>35</v>
      </c>
      <c r="H83" s="12">
        <f t="shared" si="27"/>
        <v>350</v>
      </c>
      <c r="I83" s="13">
        <v>2</v>
      </c>
      <c r="J83" s="13">
        <f t="shared" si="14"/>
        <v>70</v>
      </c>
      <c r="K83" s="14"/>
      <c r="L83" s="15">
        <v>1</v>
      </c>
      <c r="M83" s="16">
        <f t="shared" si="18"/>
        <v>0</v>
      </c>
      <c r="N83" s="16"/>
      <c r="O83" s="16"/>
      <c r="P83" s="16"/>
      <c r="Q83" s="16"/>
      <c r="R83" s="16"/>
      <c r="S83" s="99"/>
      <c r="T83" s="99"/>
      <c r="U83" s="99"/>
      <c r="V83" s="99"/>
      <c r="W83" s="13"/>
      <c r="X83" s="13"/>
      <c r="Y83" s="13"/>
      <c r="Z83" s="51"/>
      <c r="AA83" s="51"/>
      <c r="AB83" s="13"/>
      <c r="AC83" s="51"/>
      <c r="AD83" s="51"/>
      <c r="AE83" s="51"/>
      <c r="AF83" s="13"/>
      <c r="AG83" s="51"/>
    </row>
    <row r="84" spans="1:33" hidden="1" x14ac:dyDescent="0.35">
      <c r="A84" s="7" t="s">
        <v>100</v>
      </c>
      <c r="B84" s="8" t="s">
        <v>66</v>
      </c>
      <c r="C84" s="8" t="s">
        <v>105</v>
      </c>
      <c r="D84" s="9">
        <v>1</v>
      </c>
      <c r="E84" s="10">
        <f t="shared" si="28"/>
        <v>0</v>
      </c>
      <c r="F84" s="11">
        <v>857.45</v>
      </c>
      <c r="G84" s="12">
        <v>35</v>
      </c>
      <c r="H84" s="12">
        <f t="shared" si="27"/>
        <v>300.10750000000002</v>
      </c>
      <c r="I84" s="13">
        <v>2</v>
      </c>
      <c r="J84" s="13">
        <f t="shared" si="14"/>
        <v>70</v>
      </c>
      <c r="K84" s="14"/>
      <c r="L84" s="15">
        <v>1</v>
      </c>
      <c r="M84" s="16">
        <f t="shared" si="18"/>
        <v>0</v>
      </c>
      <c r="N84" s="16"/>
      <c r="O84" s="16"/>
      <c r="P84" s="16"/>
      <c r="Q84" s="16"/>
      <c r="R84" s="16"/>
      <c r="S84" s="99"/>
      <c r="T84" s="99"/>
      <c r="U84" s="99"/>
      <c r="V84" s="99"/>
      <c r="W84" s="13"/>
      <c r="X84" s="13"/>
      <c r="Y84" s="13"/>
      <c r="Z84" s="51"/>
      <c r="AA84" s="51"/>
      <c r="AB84" s="13"/>
      <c r="AC84" s="51"/>
      <c r="AD84" s="51"/>
      <c r="AE84" s="51"/>
      <c r="AF84" s="13"/>
      <c r="AG84" s="51"/>
    </row>
    <row r="85" spans="1:33" hidden="1" x14ac:dyDescent="0.35">
      <c r="A85" s="7" t="s">
        <v>100</v>
      </c>
      <c r="B85" s="8" t="s">
        <v>66</v>
      </c>
      <c r="C85" s="8" t="s">
        <v>106</v>
      </c>
      <c r="D85" s="9">
        <v>1</v>
      </c>
      <c r="E85" s="10">
        <f t="shared" si="28"/>
        <v>0</v>
      </c>
      <c r="F85" s="11">
        <v>814.4</v>
      </c>
      <c r="G85" s="12">
        <v>35</v>
      </c>
      <c r="H85" s="12">
        <f t="shared" si="27"/>
        <v>285.04000000000002</v>
      </c>
      <c r="I85" s="13">
        <v>2</v>
      </c>
      <c r="J85" s="13">
        <f t="shared" si="14"/>
        <v>70</v>
      </c>
      <c r="K85" s="14"/>
      <c r="L85" s="15">
        <v>1</v>
      </c>
      <c r="M85" s="16">
        <f t="shared" si="18"/>
        <v>0</v>
      </c>
      <c r="N85" s="16"/>
      <c r="O85" s="16"/>
      <c r="P85" s="16"/>
      <c r="Q85" s="16"/>
      <c r="R85" s="16"/>
      <c r="S85" s="99"/>
      <c r="T85" s="99"/>
      <c r="U85" s="99"/>
      <c r="V85" s="99"/>
      <c r="W85" s="13"/>
      <c r="X85" s="13"/>
      <c r="Y85" s="13"/>
      <c r="Z85" s="51"/>
      <c r="AA85" s="51"/>
      <c r="AB85" s="13"/>
      <c r="AC85" s="51"/>
      <c r="AD85" s="51"/>
      <c r="AE85" s="51"/>
      <c r="AF85" s="13"/>
      <c r="AG85" s="51"/>
    </row>
    <row r="86" spans="1:33" hidden="1" x14ac:dyDescent="0.35">
      <c r="A86" s="7" t="s">
        <v>100</v>
      </c>
      <c r="B86" s="8" t="s">
        <v>66</v>
      </c>
      <c r="C86" s="8" t="s">
        <v>107</v>
      </c>
      <c r="D86" s="9">
        <v>1</v>
      </c>
      <c r="E86" s="10">
        <f t="shared" si="28"/>
        <v>0</v>
      </c>
      <c r="F86" s="11">
        <v>901.58</v>
      </c>
      <c r="G86" s="12">
        <v>35</v>
      </c>
      <c r="H86" s="12">
        <f t="shared" si="27"/>
        <v>315.55300000000005</v>
      </c>
      <c r="I86" s="13">
        <v>2</v>
      </c>
      <c r="J86" s="13">
        <f t="shared" si="14"/>
        <v>70</v>
      </c>
      <c r="K86" s="14"/>
      <c r="L86" s="15">
        <v>1</v>
      </c>
      <c r="M86" s="16">
        <f t="shared" si="18"/>
        <v>0</v>
      </c>
      <c r="N86" s="16"/>
      <c r="O86" s="16"/>
      <c r="P86" s="16"/>
      <c r="Q86" s="16"/>
      <c r="R86" s="16"/>
      <c r="S86" s="99"/>
      <c r="T86" s="99"/>
      <c r="U86" s="99"/>
      <c r="V86" s="99"/>
      <c r="W86" s="13"/>
      <c r="X86" s="13"/>
      <c r="Y86" s="13"/>
      <c r="Z86" s="51"/>
      <c r="AA86" s="51"/>
      <c r="AB86" s="13"/>
      <c r="AC86" s="51"/>
      <c r="AD86" s="51"/>
      <c r="AE86" s="51"/>
      <c r="AF86" s="13"/>
      <c r="AG86" s="51"/>
    </row>
    <row r="87" spans="1:33" hidden="1" x14ac:dyDescent="0.35">
      <c r="A87" s="7" t="s">
        <v>100</v>
      </c>
      <c r="B87" s="8" t="s">
        <v>66</v>
      </c>
      <c r="C87" s="8" t="s">
        <v>108</v>
      </c>
      <c r="D87" s="9">
        <v>1</v>
      </c>
      <c r="E87" s="10">
        <f t="shared" si="28"/>
        <v>0</v>
      </c>
      <c r="F87" s="11">
        <v>1105.4100000000001</v>
      </c>
      <c r="G87" s="12">
        <v>35</v>
      </c>
      <c r="H87" s="12">
        <f t="shared" si="27"/>
        <v>386.89350000000007</v>
      </c>
      <c r="I87" s="13">
        <v>2</v>
      </c>
      <c r="J87" s="13">
        <f t="shared" si="14"/>
        <v>70</v>
      </c>
      <c r="K87" s="14"/>
      <c r="L87" s="15">
        <v>1</v>
      </c>
      <c r="M87" s="16">
        <f t="shared" si="18"/>
        <v>0</v>
      </c>
      <c r="N87" s="16"/>
      <c r="O87" s="16"/>
      <c r="P87" s="16"/>
      <c r="Q87" s="16"/>
      <c r="R87" s="16"/>
      <c r="S87" s="99"/>
      <c r="T87" s="99"/>
      <c r="U87" s="99"/>
      <c r="V87" s="99"/>
      <c r="W87" s="13"/>
      <c r="X87" s="13"/>
      <c r="Y87" s="13"/>
      <c r="Z87" s="51"/>
      <c r="AA87" s="51"/>
      <c r="AB87" s="13"/>
      <c r="AC87" s="51"/>
      <c r="AD87" s="51"/>
      <c r="AE87" s="51"/>
      <c r="AF87" s="13"/>
      <c r="AG87" s="51"/>
    </row>
    <row r="88" spans="1:33" hidden="1" x14ac:dyDescent="0.35">
      <c r="A88" s="7" t="s">
        <v>100</v>
      </c>
      <c r="B88" s="8" t="s">
        <v>66</v>
      </c>
      <c r="C88" s="8" t="s">
        <v>109</v>
      </c>
      <c r="D88" s="9">
        <v>1</v>
      </c>
      <c r="E88" s="10">
        <f t="shared" si="28"/>
        <v>0</v>
      </c>
      <c r="F88" s="11">
        <v>1005.99</v>
      </c>
      <c r="G88" s="12">
        <v>35</v>
      </c>
      <c r="H88" s="12">
        <f t="shared" si="27"/>
        <v>352.09649999999999</v>
      </c>
      <c r="I88" s="13">
        <v>2</v>
      </c>
      <c r="J88" s="13">
        <f t="shared" si="14"/>
        <v>70</v>
      </c>
      <c r="K88" s="14"/>
      <c r="L88" s="15">
        <v>1</v>
      </c>
      <c r="M88" s="16">
        <f t="shared" si="18"/>
        <v>0</v>
      </c>
      <c r="N88" s="16"/>
      <c r="O88" s="16"/>
      <c r="P88" s="16"/>
      <c r="Q88" s="16"/>
      <c r="R88" s="16"/>
      <c r="S88" s="99"/>
      <c r="T88" s="99"/>
      <c r="U88" s="99"/>
      <c r="V88" s="99"/>
      <c r="W88" s="13"/>
      <c r="X88" s="13"/>
      <c r="Y88" s="13"/>
      <c r="Z88" s="51"/>
      <c r="AA88" s="51"/>
      <c r="AB88" s="13"/>
      <c r="AC88" s="51"/>
      <c r="AD88" s="51"/>
      <c r="AE88" s="51"/>
      <c r="AF88" s="13"/>
      <c r="AG88" s="51"/>
    </row>
    <row r="89" spans="1:33" hidden="1" x14ac:dyDescent="0.35">
      <c r="A89" s="7" t="s">
        <v>100</v>
      </c>
      <c r="B89" s="8" t="s">
        <v>66</v>
      </c>
      <c r="C89" s="8" t="s">
        <v>110</v>
      </c>
      <c r="D89" s="9">
        <v>1</v>
      </c>
      <c r="E89" s="10">
        <f t="shared" si="28"/>
        <v>0</v>
      </c>
      <c r="F89" s="11">
        <v>578.75</v>
      </c>
      <c r="G89" s="12">
        <v>35</v>
      </c>
      <c r="H89" s="12">
        <f t="shared" si="27"/>
        <v>202.5625</v>
      </c>
      <c r="I89" s="13">
        <v>2</v>
      </c>
      <c r="J89" s="13">
        <f t="shared" si="14"/>
        <v>70</v>
      </c>
      <c r="K89" s="14"/>
      <c r="L89" s="15">
        <v>1</v>
      </c>
      <c r="M89" s="16">
        <f t="shared" si="18"/>
        <v>0</v>
      </c>
      <c r="N89" s="16"/>
      <c r="O89" s="16"/>
      <c r="P89" s="16"/>
      <c r="Q89" s="16"/>
      <c r="R89" s="16"/>
      <c r="S89" s="99"/>
      <c r="T89" s="99"/>
      <c r="U89" s="99"/>
      <c r="V89" s="99"/>
      <c r="W89" s="13"/>
      <c r="X89" s="13"/>
      <c r="Y89" s="13"/>
      <c r="Z89" s="51"/>
      <c r="AA89" s="51"/>
      <c r="AB89" s="13"/>
      <c r="AC89" s="51"/>
      <c r="AD89" s="51"/>
      <c r="AE89" s="51"/>
      <c r="AF89" s="13"/>
      <c r="AG89" s="51"/>
    </row>
    <row r="90" spans="1:33" hidden="1" x14ac:dyDescent="0.35">
      <c r="A90" s="7" t="s">
        <v>100</v>
      </c>
      <c r="B90" s="8" t="s">
        <v>66</v>
      </c>
      <c r="C90" s="8" t="s">
        <v>111</v>
      </c>
      <c r="D90" s="9">
        <v>1</v>
      </c>
      <c r="E90" s="10">
        <f t="shared" si="28"/>
        <v>0</v>
      </c>
      <c r="F90" s="11">
        <v>625.01</v>
      </c>
      <c r="G90" s="12">
        <v>35</v>
      </c>
      <c r="H90" s="12">
        <f t="shared" si="27"/>
        <v>218.75349999999997</v>
      </c>
      <c r="I90" s="13">
        <v>2</v>
      </c>
      <c r="J90" s="13">
        <f t="shared" si="14"/>
        <v>70</v>
      </c>
      <c r="K90" s="14"/>
      <c r="L90" s="15">
        <v>1</v>
      </c>
      <c r="M90" s="16">
        <f t="shared" si="18"/>
        <v>0</v>
      </c>
      <c r="N90" s="16"/>
      <c r="O90" s="16"/>
      <c r="P90" s="16"/>
      <c r="Q90" s="16"/>
      <c r="R90" s="16"/>
      <c r="S90" s="99"/>
      <c r="T90" s="99"/>
      <c r="U90" s="99"/>
      <c r="V90" s="99"/>
      <c r="W90" s="13"/>
      <c r="X90" s="13"/>
      <c r="Y90" s="13"/>
      <c r="Z90" s="51"/>
      <c r="AA90" s="51"/>
      <c r="AB90" s="13"/>
      <c r="AC90" s="51"/>
      <c r="AD90" s="51"/>
      <c r="AE90" s="51"/>
      <c r="AF90" s="13"/>
      <c r="AG90" s="51"/>
    </row>
    <row r="91" spans="1:33" hidden="1" x14ac:dyDescent="0.35">
      <c r="A91" s="7" t="s">
        <v>100</v>
      </c>
      <c r="B91" s="8" t="s">
        <v>66</v>
      </c>
      <c r="C91" s="8" t="s">
        <v>112</v>
      </c>
      <c r="D91" s="9">
        <v>1</v>
      </c>
      <c r="E91" s="10">
        <f t="shared" si="28"/>
        <v>0</v>
      </c>
      <c r="F91" s="11">
        <v>674.51</v>
      </c>
      <c r="G91" s="12">
        <v>35</v>
      </c>
      <c r="H91" s="12">
        <f t="shared" si="27"/>
        <v>236.07849999999999</v>
      </c>
      <c r="I91" s="13">
        <v>2</v>
      </c>
      <c r="J91" s="13">
        <f t="shared" si="14"/>
        <v>70</v>
      </c>
      <c r="K91" s="14"/>
      <c r="L91" s="15">
        <v>1</v>
      </c>
      <c r="M91" s="16">
        <f t="shared" si="18"/>
        <v>0</v>
      </c>
      <c r="N91" s="16"/>
      <c r="O91" s="16"/>
      <c r="P91" s="16"/>
      <c r="Q91" s="16"/>
      <c r="R91" s="16"/>
      <c r="S91" s="99"/>
      <c r="T91" s="99"/>
      <c r="U91" s="99"/>
      <c r="V91" s="99"/>
      <c r="W91" s="13"/>
      <c r="X91" s="13"/>
      <c r="Y91" s="13"/>
      <c r="Z91" s="51"/>
      <c r="AA91" s="51"/>
      <c r="AB91" s="13"/>
      <c r="AC91" s="51"/>
      <c r="AD91" s="51"/>
      <c r="AE91" s="51"/>
      <c r="AF91" s="13"/>
      <c r="AG91" s="51"/>
    </row>
    <row r="92" spans="1:33" hidden="1" x14ac:dyDescent="0.35">
      <c r="A92" s="7" t="s">
        <v>100</v>
      </c>
      <c r="B92" s="8" t="s">
        <v>66</v>
      </c>
      <c r="C92" s="8" t="s">
        <v>113</v>
      </c>
      <c r="D92" s="9">
        <v>1</v>
      </c>
      <c r="E92" s="10">
        <f t="shared" si="28"/>
        <v>0</v>
      </c>
      <c r="F92" s="11">
        <v>619.35</v>
      </c>
      <c r="G92" s="12">
        <v>35</v>
      </c>
      <c r="H92" s="12">
        <f t="shared" si="27"/>
        <v>216.77250000000001</v>
      </c>
      <c r="I92" s="13">
        <v>2</v>
      </c>
      <c r="J92" s="13">
        <f t="shared" si="14"/>
        <v>70</v>
      </c>
      <c r="K92" s="14"/>
      <c r="L92" s="15">
        <v>1</v>
      </c>
      <c r="M92" s="16">
        <f t="shared" si="18"/>
        <v>0</v>
      </c>
      <c r="N92" s="16"/>
      <c r="O92" s="16"/>
      <c r="P92" s="16"/>
      <c r="Q92" s="16"/>
      <c r="R92" s="16"/>
      <c r="S92" s="99"/>
      <c r="T92" s="99"/>
      <c r="U92" s="99"/>
      <c r="V92" s="99"/>
      <c r="W92" s="13"/>
      <c r="X92" s="13"/>
      <c r="Y92" s="13"/>
      <c r="Z92" s="51"/>
      <c r="AA92" s="51"/>
      <c r="AB92" s="13"/>
      <c r="AC92" s="51"/>
      <c r="AD92" s="51"/>
      <c r="AE92" s="51"/>
      <c r="AF92" s="13"/>
      <c r="AG92" s="51"/>
    </row>
    <row r="93" spans="1:33" hidden="1" x14ac:dyDescent="0.35">
      <c r="A93" s="7" t="s">
        <v>100</v>
      </c>
      <c r="B93" s="8" t="s">
        <v>66</v>
      </c>
      <c r="C93" s="8" t="s">
        <v>114</v>
      </c>
      <c r="D93" s="9">
        <v>1</v>
      </c>
      <c r="E93" s="10">
        <f t="shared" si="28"/>
        <v>0</v>
      </c>
      <c r="F93" s="11">
        <v>558.92999999999995</v>
      </c>
      <c r="G93" s="12">
        <v>35</v>
      </c>
      <c r="H93" s="12">
        <f t="shared" si="27"/>
        <v>195.62549999999999</v>
      </c>
      <c r="I93" s="13">
        <v>2</v>
      </c>
      <c r="J93" s="13">
        <f t="shared" si="14"/>
        <v>70</v>
      </c>
      <c r="K93" s="14"/>
      <c r="L93" s="15">
        <v>1</v>
      </c>
      <c r="M93" s="16">
        <f t="shared" si="18"/>
        <v>0</v>
      </c>
      <c r="N93" s="16"/>
      <c r="O93" s="16"/>
      <c r="P93" s="16"/>
      <c r="Q93" s="16"/>
      <c r="R93" s="16"/>
      <c r="S93" s="99"/>
      <c r="T93" s="99"/>
      <c r="U93" s="99"/>
      <c r="V93" s="99"/>
      <c r="W93" s="13"/>
      <c r="X93" s="13"/>
      <c r="Y93" s="13"/>
      <c r="Z93" s="51"/>
      <c r="AA93" s="51"/>
      <c r="AB93" s="13"/>
      <c r="AC93" s="51"/>
      <c r="AD93" s="51"/>
      <c r="AE93" s="51"/>
      <c r="AF93" s="13"/>
      <c r="AG93" s="51"/>
    </row>
    <row r="94" spans="1:33" hidden="1" x14ac:dyDescent="0.35">
      <c r="A94" s="7" t="s">
        <v>100</v>
      </c>
      <c r="B94" s="8" t="s">
        <v>66</v>
      </c>
      <c r="C94" s="8" t="s">
        <v>115</v>
      </c>
      <c r="D94" s="9">
        <v>1</v>
      </c>
      <c r="E94" s="10">
        <f t="shared" si="28"/>
        <v>0</v>
      </c>
      <c r="F94" s="11">
        <v>574.09</v>
      </c>
      <c r="G94" s="12">
        <v>35</v>
      </c>
      <c r="H94" s="12">
        <f t="shared" si="27"/>
        <v>200.93150000000003</v>
      </c>
      <c r="I94" s="13">
        <v>2</v>
      </c>
      <c r="J94" s="13">
        <f t="shared" si="14"/>
        <v>70</v>
      </c>
      <c r="K94" s="14"/>
      <c r="L94" s="15">
        <v>1</v>
      </c>
      <c r="M94" s="16">
        <f t="shared" si="18"/>
        <v>0</v>
      </c>
      <c r="N94" s="16"/>
      <c r="O94" s="16"/>
      <c r="P94" s="16"/>
      <c r="Q94" s="16"/>
      <c r="R94" s="16"/>
      <c r="S94" s="99"/>
      <c r="T94" s="99"/>
      <c r="U94" s="99"/>
      <c r="V94" s="99"/>
      <c r="W94" s="13"/>
      <c r="X94" s="13"/>
      <c r="Y94" s="13"/>
      <c r="Z94" s="51"/>
      <c r="AA94" s="51"/>
      <c r="AB94" s="13"/>
      <c r="AC94" s="51"/>
      <c r="AD94" s="51"/>
      <c r="AE94" s="51"/>
      <c r="AF94" s="13"/>
      <c r="AG94" s="51"/>
    </row>
    <row r="95" spans="1:33" hidden="1" x14ac:dyDescent="0.35">
      <c r="A95" s="7" t="s">
        <v>100</v>
      </c>
      <c r="B95" s="8" t="s">
        <v>66</v>
      </c>
      <c r="C95" s="8" t="s">
        <v>116</v>
      </c>
      <c r="D95" s="9">
        <v>1</v>
      </c>
      <c r="E95" s="10">
        <f t="shared" si="28"/>
        <v>0</v>
      </c>
      <c r="F95" s="11">
        <v>656.17</v>
      </c>
      <c r="G95" s="12">
        <v>35</v>
      </c>
      <c r="H95" s="12">
        <f t="shared" si="27"/>
        <v>229.65949999999998</v>
      </c>
      <c r="I95" s="13">
        <v>2</v>
      </c>
      <c r="J95" s="13">
        <f t="shared" si="14"/>
        <v>70</v>
      </c>
      <c r="K95" s="14"/>
      <c r="L95" s="15">
        <v>1</v>
      </c>
      <c r="M95" s="16">
        <f t="shared" si="18"/>
        <v>0</v>
      </c>
      <c r="N95" s="16"/>
      <c r="O95" s="16"/>
      <c r="P95" s="16"/>
      <c r="Q95" s="16"/>
      <c r="R95" s="16"/>
      <c r="S95" s="99"/>
      <c r="T95" s="99"/>
      <c r="U95" s="99"/>
      <c r="V95" s="99"/>
      <c r="W95" s="13"/>
      <c r="X95" s="13"/>
      <c r="Y95" s="13"/>
      <c r="Z95" s="51"/>
      <c r="AA95" s="51"/>
      <c r="AB95" s="13"/>
      <c r="AC95" s="51"/>
      <c r="AD95" s="51"/>
      <c r="AE95" s="51"/>
      <c r="AF95" s="13"/>
      <c r="AG95" s="51"/>
    </row>
    <row r="96" spans="1:33" hidden="1" x14ac:dyDescent="0.35">
      <c r="A96" s="7" t="s">
        <v>100</v>
      </c>
      <c r="B96" s="8" t="s">
        <v>66</v>
      </c>
      <c r="C96" s="8" t="s">
        <v>117</v>
      </c>
      <c r="D96" s="9">
        <v>1</v>
      </c>
      <c r="E96" s="10">
        <f t="shared" si="28"/>
        <v>0</v>
      </c>
      <c r="F96" s="11">
        <v>720.65</v>
      </c>
      <c r="G96" s="12">
        <v>35</v>
      </c>
      <c r="H96" s="12">
        <f t="shared" si="27"/>
        <v>252.22749999999999</v>
      </c>
      <c r="I96" s="13">
        <v>2</v>
      </c>
      <c r="J96" s="13">
        <f t="shared" si="14"/>
        <v>70</v>
      </c>
      <c r="K96" s="14"/>
      <c r="L96" s="15">
        <v>1</v>
      </c>
      <c r="M96" s="16">
        <f t="shared" si="18"/>
        <v>0</v>
      </c>
      <c r="N96" s="16"/>
      <c r="O96" s="16"/>
      <c r="P96" s="16"/>
      <c r="Q96" s="16"/>
      <c r="R96" s="16"/>
      <c r="S96" s="99"/>
      <c r="T96" s="99"/>
      <c r="U96" s="99"/>
      <c r="V96" s="99"/>
      <c r="W96" s="13"/>
      <c r="X96" s="13"/>
      <c r="Y96" s="13"/>
      <c r="Z96" s="51"/>
      <c r="AA96" s="51"/>
      <c r="AB96" s="13"/>
      <c r="AC96" s="51"/>
      <c r="AD96" s="51"/>
      <c r="AE96" s="51"/>
      <c r="AF96" s="13"/>
      <c r="AG96" s="51"/>
    </row>
    <row r="97" spans="1:33" hidden="1" x14ac:dyDescent="0.35">
      <c r="A97" s="7" t="s">
        <v>100</v>
      </c>
      <c r="B97" s="8" t="s">
        <v>66</v>
      </c>
      <c r="C97" s="8" t="s">
        <v>118</v>
      </c>
      <c r="D97" s="9">
        <v>1</v>
      </c>
      <c r="E97" s="10">
        <f t="shared" si="28"/>
        <v>0</v>
      </c>
      <c r="F97" s="11">
        <v>859.8</v>
      </c>
      <c r="G97" s="12">
        <v>35</v>
      </c>
      <c r="H97" s="12">
        <f t="shared" si="27"/>
        <v>300.93</v>
      </c>
      <c r="I97" s="13">
        <v>2</v>
      </c>
      <c r="J97" s="13">
        <f t="shared" si="14"/>
        <v>70</v>
      </c>
      <c r="K97" s="14"/>
      <c r="L97" s="15">
        <v>1</v>
      </c>
      <c r="M97" s="16">
        <f t="shared" si="18"/>
        <v>0</v>
      </c>
      <c r="N97" s="16"/>
      <c r="O97" s="16"/>
      <c r="P97" s="16"/>
      <c r="Q97" s="16"/>
      <c r="R97" s="16"/>
      <c r="S97" s="99"/>
      <c r="T97" s="99"/>
      <c r="U97" s="99"/>
      <c r="V97" s="99"/>
      <c r="W97" s="13"/>
      <c r="X97" s="13"/>
      <c r="Y97" s="13"/>
      <c r="Z97" s="51"/>
      <c r="AA97" s="51"/>
      <c r="AB97" s="13"/>
      <c r="AC97" s="51"/>
      <c r="AD97" s="51"/>
      <c r="AE97" s="51"/>
      <c r="AF97" s="13"/>
      <c r="AG97" s="51"/>
    </row>
    <row r="98" spans="1:33" hidden="1" x14ac:dyDescent="0.35">
      <c r="A98" s="7" t="s">
        <v>100</v>
      </c>
      <c r="B98" s="8" t="s">
        <v>66</v>
      </c>
      <c r="C98" s="8" t="s">
        <v>119</v>
      </c>
      <c r="D98" s="9">
        <v>1</v>
      </c>
      <c r="E98" s="10">
        <f t="shared" si="28"/>
        <v>0</v>
      </c>
      <c r="F98" s="11">
        <v>654.75</v>
      </c>
      <c r="G98" s="12">
        <v>35</v>
      </c>
      <c r="H98" s="12">
        <f t="shared" si="27"/>
        <v>229.16249999999999</v>
      </c>
      <c r="I98" s="13">
        <v>2</v>
      </c>
      <c r="J98" s="13">
        <f t="shared" si="14"/>
        <v>70</v>
      </c>
      <c r="K98" s="14"/>
      <c r="L98" s="15">
        <v>1</v>
      </c>
      <c r="M98" s="16">
        <f t="shared" si="18"/>
        <v>0</v>
      </c>
      <c r="N98" s="16"/>
      <c r="O98" s="16"/>
      <c r="P98" s="16"/>
      <c r="Q98" s="16"/>
      <c r="R98" s="16"/>
      <c r="S98" s="99"/>
      <c r="T98" s="99"/>
      <c r="U98" s="99"/>
      <c r="V98" s="99"/>
      <c r="W98" s="13"/>
      <c r="X98" s="13"/>
      <c r="Y98" s="13"/>
      <c r="Z98" s="51"/>
      <c r="AA98" s="51"/>
      <c r="AB98" s="13"/>
      <c r="AC98" s="51"/>
      <c r="AD98" s="51"/>
      <c r="AE98" s="51"/>
      <c r="AF98" s="13"/>
      <c r="AG98" s="51"/>
    </row>
    <row r="99" spans="1:33" hidden="1" x14ac:dyDescent="0.35">
      <c r="A99" s="7" t="s">
        <v>100</v>
      </c>
      <c r="B99" s="8" t="s">
        <v>66</v>
      </c>
      <c r="C99" s="8" t="s">
        <v>120</v>
      </c>
      <c r="D99" s="9">
        <v>1</v>
      </c>
      <c r="E99" s="10">
        <f t="shared" si="28"/>
        <v>0</v>
      </c>
      <c r="F99" s="11">
        <v>575.91</v>
      </c>
      <c r="G99" s="12">
        <v>35</v>
      </c>
      <c r="H99" s="12">
        <f t="shared" si="27"/>
        <v>201.56849999999997</v>
      </c>
      <c r="I99" s="13">
        <v>2</v>
      </c>
      <c r="J99" s="13">
        <f t="shared" si="14"/>
        <v>70</v>
      </c>
      <c r="K99" s="14"/>
      <c r="L99" s="15">
        <v>1</v>
      </c>
      <c r="M99" s="16">
        <f t="shared" si="18"/>
        <v>0</v>
      </c>
      <c r="N99" s="16"/>
      <c r="O99" s="16"/>
      <c r="P99" s="16"/>
      <c r="Q99" s="16"/>
      <c r="R99" s="16"/>
      <c r="S99" s="99"/>
      <c r="T99" s="99"/>
      <c r="U99" s="99"/>
      <c r="V99" s="99"/>
      <c r="W99" s="13"/>
      <c r="X99" s="13"/>
      <c r="Y99" s="13"/>
      <c r="Z99" s="51"/>
      <c r="AA99" s="51"/>
      <c r="AB99" s="13"/>
      <c r="AC99" s="51"/>
      <c r="AD99" s="51"/>
      <c r="AE99" s="51"/>
      <c r="AF99" s="13"/>
      <c r="AG99" s="51"/>
    </row>
    <row r="100" spans="1:33" hidden="1" x14ac:dyDescent="0.35">
      <c r="A100" s="7" t="s">
        <v>100</v>
      </c>
      <c r="B100" s="8" t="s">
        <v>66</v>
      </c>
      <c r="C100" s="8" t="s">
        <v>121</v>
      </c>
      <c r="D100" s="9">
        <v>1</v>
      </c>
      <c r="E100" s="10">
        <f t="shared" si="28"/>
        <v>0</v>
      </c>
      <c r="F100" s="11">
        <v>567.36</v>
      </c>
      <c r="G100" s="12">
        <v>35</v>
      </c>
      <c r="H100" s="12">
        <f t="shared" si="27"/>
        <v>198.57600000000002</v>
      </c>
      <c r="I100" s="13">
        <v>2</v>
      </c>
      <c r="J100" s="13">
        <f t="shared" si="14"/>
        <v>70</v>
      </c>
      <c r="K100" s="14"/>
      <c r="L100" s="15">
        <v>1</v>
      </c>
      <c r="M100" s="16">
        <f t="shared" si="18"/>
        <v>0</v>
      </c>
      <c r="N100" s="16"/>
      <c r="O100" s="16"/>
      <c r="P100" s="16"/>
      <c r="Q100" s="16"/>
      <c r="R100" s="16"/>
      <c r="S100" s="99"/>
      <c r="T100" s="99"/>
      <c r="U100" s="99"/>
      <c r="V100" s="99"/>
      <c r="W100" s="13"/>
      <c r="X100" s="13"/>
      <c r="Y100" s="13"/>
      <c r="Z100" s="51"/>
      <c r="AA100" s="51"/>
      <c r="AB100" s="13"/>
      <c r="AC100" s="51"/>
      <c r="AD100" s="51"/>
      <c r="AE100" s="51"/>
      <c r="AF100" s="13"/>
      <c r="AG100" s="51"/>
    </row>
    <row r="101" spans="1:33" hidden="1" x14ac:dyDescent="0.35">
      <c r="A101" s="7" t="s">
        <v>100</v>
      </c>
      <c r="B101" s="8" t="s">
        <v>66</v>
      </c>
      <c r="C101" s="8" t="s">
        <v>122</v>
      </c>
      <c r="D101" s="9">
        <v>1</v>
      </c>
      <c r="E101" s="10">
        <f t="shared" si="28"/>
        <v>0</v>
      </c>
      <c r="F101" s="11">
        <v>792.57</v>
      </c>
      <c r="G101" s="12">
        <v>35</v>
      </c>
      <c r="H101" s="12">
        <f t="shared" si="27"/>
        <v>277.39949999999999</v>
      </c>
      <c r="I101" s="13">
        <v>2</v>
      </c>
      <c r="J101" s="13">
        <f t="shared" si="14"/>
        <v>70</v>
      </c>
      <c r="K101" s="14"/>
      <c r="L101" s="15">
        <v>1</v>
      </c>
      <c r="M101" s="16">
        <f t="shared" si="18"/>
        <v>0</v>
      </c>
      <c r="N101" s="16"/>
      <c r="O101" s="16"/>
      <c r="P101" s="16"/>
      <c r="Q101" s="16"/>
      <c r="R101" s="16"/>
      <c r="S101" s="99"/>
      <c r="T101" s="99"/>
      <c r="U101" s="99"/>
      <c r="V101" s="99"/>
      <c r="W101" s="13"/>
      <c r="X101" s="13"/>
      <c r="Y101" s="13"/>
      <c r="Z101" s="51"/>
      <c r="AA101" s="51"/>
      <c r="AB101" s="13"/>
      <c r="AC101" s="51"/>
      <c r="AD101" s="51"/>
      <c r="AE101" s="51"/>
      <c r="AF101" s="13"/>
      <c r="AG101" s="51"/>
    </row>
    <row r="102" spans="1:33" hidden="1" x14ac:dyDescent="0.35">
      <c r="A102" s="7" t="s">
        <v>100</v>
      </c>
      <c r="B102" s="8" t="s">
        <v>66</v>
      </c>
      <c r="C102" s="8" t="s">
        <v>123</v>
      </c>
      <c r="D102" s="9">
        <v>1</v>
      </c>
      <c r="E102" s="10">
        <f t="shared" si="28"/>
        <v>0</v>
      </c>
      <c r="F102" s="11">
        <v>844.29</v>
      </c>
      <c r="G102" s="12">
        <v>35</v>
      </c>
      <c r="H102" s="12">
        <f t="shared" si="27"/>
        <v>295.50149999999996</v>
      </c>
      <c r="I102" s="13">
        <v>2</v>
      </c>
      <c r="J102" s="13">
        <f t="shared" si="14"/>
        <v>70</v>
      </c>
      <c r="K102" s="14"/>
      <c r="L102" s="15">
        <v>1</v>
      </c>
      <c r="M102" s="16">
        <f t="shared" si="18"/>
        <v>0</v>
      </c>
      <c r="N102" s="16"/>
      <c r="O102" s="16"/>
      <c r="P102" s="16"/>
      <c r="Q102" s="16"/>
      <c r="R102" s="16"/>
      <c r="S102" s="99"/>
      <c r="T102" s="99"/>
      <c r="U102" s="99"/>
      <c r="V102" s="99"/>
      <c r="W102" s="13"/>
      <c r="X102" s="13"/>
      <c r="Y102" s="13"/>
      <c r="Z102" s="51"/>
      <c r="AA102" s="51"/>
      <c r="AB102" s="13"/>
      <c r="AC102" s="51"/>
      <c r="AD102" s="51"/>
      <c r="AE102" s="51"/>
      <c r="AF102" s="13"/>
      <c r="AG102" s="51"/>
    </row>
    <row r="103" spans="1:33" hidden="1" x14ac:dyDescent="0.35">
      <c r="A103" s="7" t="s">
        <v>100</v>
      </c>
      <c r="B103" s="8" t="s">
        <v>66</v>
      </c>
      <c r="C103" s="8" t="s">
        <v>124</v>
      </c>
      <c r="D103" s="9">
        <v>1</v>
      </c>
      <c r="E103" s="10">
        <f t="shared" si="28"/>
        <v>0</v>
      </c>
      <c r="F103" s="11">
        <v>652.16999999999996</v>
      </c>
      <c r="G103" s="12">
        <v>35</v>
      </c>
      <c r="H103" s="12">
        <f t="shared" si="27"/>
        <v>228.25949999999997</v>
      </c>
      <c r="I103" s="13">
        <v>2</v>
      </c>
      <c r="J103" s="13">
        <f t="shared" si="14"/>
        <v>70</v>
      </c>
      <c r="K103" s="14"/>
      <c r="L103" s="15">
        <v>1</v>
      </c>
      <c r="M103" s="16">
        <f t="shared" si="18"/>
        <v>0</v>
      </c>
      <c r="N103" s="16"/>
      <c r="O103" s="16"/>
      <c r="P103" s="16"/>
      <c r="Q103" s="16"/>
      <c r="R103" s="16"/>
      <c r="S103" s="99"/>
      <c r="T103" s="99"/>
      <c r="U103" s="99"/>
      <c r="V103" s="99"/>
      <c r="W103" s="13"/>
      <c r="X103" s="13"/>
      <c r="Y103" s="13"/>
      <c r="Z103" s="51"/>
      <c r="AA103" s="51"/>
      <c r="AB103" s="13"/>
      <c r="AC103" s="51"/>
      <c r="AD103" s="51"/>
      <c r="AE103" s="51"/>
      <c r="AF103" s="13"/>
      <c r="AG103" s="51"/>
    </row>
    <row r="104" spans="1:33" hidden="1" x14ac:dyDescent="0.35">
      <c r="A104" s="7" t="s">
        <v>100</v>
      </c>
      <c r="B104" s="8" t="s">
        <v>66</v>
      </c>
      <c r="C104" s="8" t="s">
        <v>125</v>
      </c>
      <c r="D104" s="9">
        <v>1</v>
      </c>
      <c r="E104" s="10">
        <f t="shared" si="28"/>
        <v>0</v>
      </c>
      <c r="F104" s="11">
        <v>574.91999999999996</v>
      </c>
      <c r="G104" s="12">
        <v>35</v>
      </c>
      <c r="H104" s="12">
        <f t="shared" si="27"/>
        <v>201.22199999999998</v>
      </c>
      <c r="I104" s="13">
        <v>2</v>
      </c>
      <c r="J104" s="13">
        <f t="shared" si="14"/>
        <v>70</v>
      </c>
      <c r="K104" s="14"/>
      <c r="L104" s="15">
        <v>1</v>
      </c>
      <c r="M104" s="16">
        <f t="shared" si="18"/>
        <v>0</v>
      </c>
      <c r="N104" s="16"/>
      <c r="O104" s="16"/>
      <c r="P104" s="16"/>
      <c r="Q104" s="16"/>
      <c r="R104" s="16"/>
      <c r="S104" s="99"/>
      <c r="T104" s="99"/>
      <c r="U104" s="99"/>
      <c r="V104" s="99"/>
      <c r="W104" s="13"/>
      <c r="X104" s="13"/>
      <c r="Y104" s="13"/>
      <c r="Z104" s="51"/>
      <c r="AA104" s="51"/>
      <c r="AB104" s="13"/>
      <c r="AC104" s="51"/>
      <c r="AD104" s="51"/>
      <c r="AE104" s="51"/>
      <c r="AF104" s="13"/>
      <c r="AG104" s="51"/>
    </row>
    <row r="105" spans="1:33" hidden="1" x14ac:dyDescent="0.35">
      <c r="A105" s="7" t="s">
        <v>100</v>
      </c>
      <c r="B105" s="8" t="s">
        <v>66</v>
      </c>
      <c r="C105" s="8" t="s">
        <v>126</v>
      </c>
      <c r="D105" s="9">
        <v>1</v>
      </c>
      <c r="E105" s="10">
        <f t="shared" si="28"/>
        <v>0</v>
      </c>
      <c r="F105" s="11">
        <v>714.88</v>
      </c>
      <c r="G105" s="12">
        <v>35</v>
      </c>
      <c r="H105" s="12">
        <f t="shared" si="27"/>
        <v>250.208</v>
      </c>
      <c r="I105" s="13">
        <v>2</v>
      </c>
      <c r="J105" s="13">
        <f t="shared" si="14"/>
        <v>70</v>
      </c>
      <c r="K105" s="14"/>
      <c r="L105" s="15">
        <v>1</v>
      </c>
      <c r="M105" s="16">
        <f t="shared" si="18"/>
        <v>0</v>
      </c>
      <c r="N105" s="16"/>
      <c r="O105" s="16"/>
      <c r="P105" s="16"/>
      <c r="Q105" s="16"/>
      <c r="R105" s="16"/>
      <c r="S105" s="99"/>
      <c r="T105" s="99"/>
      <c r="U105" s="99"/>
      <c r="V105" s="99"/>
      <c r="W105" s="13"/>
      <c r="X105" s="13"/>
      <c r="Y105" s="13"/>
      <c r="Z105" s="51"/>
      <c r="AA105" s="51"/>
      <c r="AB105" s="13"/>
      <c r="AC105" s="51"/>
      <c r="AD105" s="51"/>
      <c r="AE105" s="51"/>
      <c r="AF105" s="13"/>
      <c r="AG105" s="51"/>
    </row>
    <row r="106" spans="1:33" hidden="1" x14ac:dyDescent="0.35">
      <c r="A106" s="7" t="s">
        <v>100</v>
      </c>
      <c r="B106" s="8" t="s">
        <v>66</v>
      </c>
      <c r="C106" s="8" t="s">
        <v>127</v>
      </c>
      <c r="D106" s="9">
        <v>1</v>
      </c>
      <c r="E106" s="10">
        <f t="shared" si="28"/>
        <v>0</v>
      </c>
      <c r="F106" s="11">
        <v>620.6</v>
      </c>
      <c r="G106" s="12">
        <v>35</v>
      </c>
      <c r="H106" s="12">
        <f t="shared" si="27"/>
        <v>217.21</v>
      </c>
      <c r="I106" s="13">
        <v>2</v>
      </c>
      <c r="J106" s="13">
        <f t="shared" si="14"/>
        <v>70</v>
      </c>
      <c r="K106" s="14"/>
      <c r="L106" s="15">
        <v>1</v>
      </c>
      <c r="M106" s="16">
        <f t="shared" si="18"/>
        <v>0</v>
      </c>
      <c r="N106" s="16"/>
      <c r="O106" s="16"/>
      <c r="P106" s="16"/>
      <c r="Q106" s="16"/>
      <c r="R106" s="16"/>
      <c r="S106" s="99"/>
      <c r="T106" s="99"/>
      <c r="U106" s="99"/>
      <c r="V106" s="99"/>
      <c r="W106" s="13"/>
      <c r="X106" s="13"/>
      <c r="Y106" s="13"/>
      <c r="Z106" s="51"/>
      <c r="AA106" s="51"/>
      <c r="AB106" s="13"/>
      <c r="AC106" s="51"/>
      <c r="AD106" s="51"/>
      <c r="AE106" s="51"/>
      <c r="AF106" s="13"/>
      <c r="AG106" s="51"/>
    </row>
    <row r="107" spans="1:33" hidden="1" x14ac:dyDescent="0.35">
      <c r="A107" s="7" t="s">
        <v>100</v>
      </c>
      <c r="B107" s="8" t="s">
        <v>66</v>
      </c>
      <c r="C107" s="8" t="s">
        <v>128</v>
      </c>
      <c r="D107" s="9">
        <v>1</v>
      </c>
      <c r="E107" s="10">
        <f t="shared" si="28"/>
        <v>0</v>
      </c>
      <c r="F107" s="11">
        <v>583.04</v>
      </c>
      <c r="G107" s="12">
        <v>35</v>
      </c>
      <c r="H107" s="12">
        <f t="shared" si="27"/>
        <v>204.06399999999996</v>
      </c>
      <c r="I107" s="13">
        <v>2</v>
      </c>
      <c r="J107" s="13">
        <f t="shared" si="14"/>
        <v>70</v>
      </c>
      <c r="K107" s="14"/>
      <c r="L107" s="15">
        <v>1</v>
      </c>
      <c r="M107" s="16">
        <f t="shared" si="18"/>
        <v>0</v>
      </c>
      <c r="N107" s="16"/>
      <c r="O107" s="16"/>
      <c r="P107" s="16"/>
      <c r="Q107" s="16"/>
      <c r="R107" s="16"/>
      <c r="S107" s="99"/>
      <c r="T107" s="99"/>
      <c r="U107" s="99"/>
      <c r="V107" s="99"/>
      <c r="W107" s="13"/>
      <c r="X107" s="13"/>
      <c r="Y107" s="13"/>
      <c r="Z107" s="51"/>
      <c r="AA107" s="51"/>
      <c r="AB107" s="13"/>
      <c r="AC107" s="51"/>
      <c r="AD107" s="51"/>
      <c r="AE107" s="51"/>
      <c r="AF107" s="13"/>
      <c r="AG107" s="51"/>
    </row>
    <row r="108" spans="1:33" hidden="1" x14ac:dyDescent="0.35">
      <c r="A108" s="7" t="s">
        <v>100</v>
      </c>
      <c r="B108" s="8" t="s">
        <v>66</v>
      </c>
      <c r="C108" s="8" t="s">
        <v>129</v>
      </c>
      <c r="D108" s="9">
        <v>1</v>
      </c>
      <c r="E108" s="10">
        <f t="shared" si="28"/>
        <v>0</v>
      </c>
      <c r="F108" s="11">
        <v>601.17999999999995</v>
      </c>
      <c r="G108" s="12">
        <v>35</v>
      </c>
      <c r="H108" s="12">
        <f t="shared" si="27"/>
        <v>210.41299999999998</v>
      </c>
      <c r="I108" s="13">
        <v>2</v>
      </c>
      <c r="J108" s="13">
        <f t="shared" si="14"/>
        <v>70</v>
      </c>
      <c r="K108" s="14"/>
      <c r="L108" s="15">
        <v>1</v>
      </c>
      <c r="M108" s="16">
        <f t="shared" si="18"/>
        <v>0</v>
      </c>
      <c r="N108" s="16"/>
      <c r="O108" s="16"/>
      <c r="P108" s="16"/>
      <c r="Q108" s="16"/>
      <c r="R108" s="16"/>
      <c r="S108" s="99"/>
      <c r="T108" s="99"/>
      <c r="U108" s="99"/>
      <c r="V108" s="99"/>
      <c r="W108" s="13"/>
      <c r="X108" s="13"/>
      <c r="Y108" s="13"/>
      <c r="Z108" s="51"/>
      <c r="AA108" s="51"/>
      <c r="AB108" s="13"/>
      <c r="AC108" s="51"/>
      <c r="AD108" s="51"/>
      <c r="AE108" s="51"/>
      <c r="AF108" s="13"/>
      <c r="AG108" s="51"/>
    </row>
    <row r="109" spans="1:33" hidden="1" x14ac:dyDescent="0.35">
      <c r="A109" s="7" t="s">
        <v>100</v>
      </c>
      <c r="B109" s="8" t="s">
        <v>66</v>
      </c>
      <c r="C109" s="8" t="s">
        <v>130</v>
      </c>
      <c r="D109" s="9">
        <v>1</v>
      </c>
      <c r="E109" s="10">
        <f t="shared" si="28"/>
        <v>0</v>
      </c>
      <c r="F109" s="11">
        <v>640.71</v>
      </c>
      <c r="G109" s="12">
        <v>35</v>
      </c>
      <c r="H109" s="12">
        <f t="shared" si="27"/>
        <v>224.24850000000004</v>
      </c>
      <c r="I109" s="13">
        <v>2</v>
      </c>
      <c r="J109" s="13">
        <f t="shared" si="14"/>
        <v>70</v>
      </c>
      <c r="K109" s="14"/>
      <c r="L109" s="15">
        <v>1</v>
      </c>
      <c r="M109" s="16">
        <f t="shared" si="18"/>
        <v>0</v>
      </c>
      <c r="N109" s="16"/>
      <c r="O109" s="16"/>
      <c r="P109" s="16"/>
      <c r="Q109" s="16"/>
      <c r="R109" s="16"/>
      <c r="S109" s="99"/>
      <c r="T109" s="99"/>
      <c r="U109" s="99"/>
      <c r="V109" s="99"/>
      <c r="W109" s="13"/>
      <c r="X109" s="13"/>
      <c r="Y109" s="13"/>
      <c r="Z109" s="51"/>
      <c r="AA109" s="51"/>
      <c r="AB109" s="13"/>
      <c r="AC109" s="51"/>
      <c r="AD109" s="51"/>
      <c r="AE109" s="51"/>
      <c r="AF109" s="13"/>
      <c r="AG109" s="51"/>
    </row>
    <row r="110" spans="1:33" hidden="1" x14ac:dyDescent="0.35">
      <c r="A110" s="7" t="s">
        <v>100</v>
      </c>
      <c r="B110" s="8" t="s">
        <v>66</v>
      </c>
      <c r="C110" s="8" t="s">
        <v>131</v>
      </c>
      <c r="D110" s="9">
        <v>1</v>
      </c>
      <c r="E110" s="10">
        <f t="shared" si="28"/>
        <v>0</v>
      </c>
      <c r="F110" s="11">
        <v>703.74</v>
      </c>
      <c r="G110" s="12">
        <v>35</v>
      </c>
      <c r="H110" s="12">
        <f t="shared" si="27"/>
        <v>246.30900000000003</v>
      </c>
      <c r="I110" s="13">
        <v>2</v>
      </c>
      <c r="J110" s="13">
        <f t="shared" si="14"/>
        <v>70</v>
      </c>
      <c r="K110" s="14"/>
      <c r="L110" s="15">
        <v>1</v>
      </c>
      <c r="M110" s="16">
        <f t="shared" si="18"/>
        <v>0</v>
      </c>
      <c r="N110" s="16"/>
      <c r="O110" s="16"/>
      <c r="P110" s="16"/>
      <c r="Q110" s="16"/>
      <c r="R110" s="16"/>
      <c r="S110" s="99"/>
      <c r="T110" s="99"/>
      <c r="U110" s="99"/>
      <c r="V110" s="99"/>
      <c r="W110" s="13"/>
      <c r="X110" s="13"/>
      <c r="Y110" s="13"/>
      <c r="Z110" s="51"/>
      <c r="AA110" s="51"/>
      <c r="AB110" s="13"/>
      <c r="AC110" s="51"/>
      <c r="AD110" s="51"/>
      <c r="AE110" s="51"/>
      <c r="AF110" s="13"/>
      <c r="AG110" s="51"/>
    </row>
    <row r="111" spans="1:33" hidden="1" x14ac:dyDescent="0.35">
      <c r="A111" s="7" t="s">
        <v>100</v>
      </c>
      <c r="B111" s="8" t="s">
        <v>66</v>
      </c>
      <c r="C111" s="8" t="s">
        <v>132</v>
      </c>
      <c r="D111" s="9">
        <v>1</v>
      </c>
      <c r="E111" s="10">
        <f t="shared" si="28"/>
        <v>0</v>
      </c>
      <c r="F111" s="11">
        <v>994.04</v>
      </c>
      <c r="G111" s="12">
        <v>35</v>
      </c>
      <c r="H111" s="12">
        <f t="shared" si="27"/>
        <v>347.91399999999999</v>
      </c>
      <c r="I111" s="13">
        <v>2</v>
      </c>
      <c r="J111" s="13">
        <f t="shared" si="14"/>
        <v>70</v>
      </c>
      <c r="K111" s="14"/>
      <c r="L111" s="15">
        <v>1</v>
      </c>
      <c r="M111" s="16">
        <f t="shared" si="18"/>
        <v>0</v>
      </c>
      <c r="N111" s="16"/>
      <c r="O111" s="16"/>
      <c r="P111" s="16"/>
      <c r="Q111" s="16"/>
      <c r="R111" s="16"/>
      <c r="S111" s="99"/>
      <c r="T111" s="99"/>
      <c r="U111" s="99"/>
      <c r="V111" s="99"/>
      <c r="W111" s="13"/>
      <c r="X111" s="13"/>
      <c r="Y111" s="13"/>
      <c r="Z111" s="51"/>
      <c r="AA111" s="51"/>
      <c r="AB111" s="13"/>
      <c r="AC111" s="51"/>
      <c r="AD111" s="51"/>
      <c r="AE111" s="51"/>
      <c r="AF111" s="13"/>
      <c r="AG111" s="51"/>
    </row>
    <row r="112" spans="1:33" hidden="1" x14ac:dyDescent="0.35">
      <c r="A112" s="7" t="s">
        <v>100</v>
      </c>
      <c r="B112" s="8" t="s">
        <v>66</v>
      </c>
      <c r="C112" s="8" t="s">
        <v>133</v>
      </c>
      <c r="D112" s="9">
        <v>1</v>
      </c>
      <c r="E112" s="10">
        <f t="shared" si="28"/>
        <v>0</v>
      </c>
      <c r="F112" s="11">
        <v>2267.3200000000002</v>
      </c>
      <c r="G112" s="12">
        <v>35</v>
      </c>
      <c r="H112" s="12">
        <f t="shared" si="27"/>
        <v>793.56200000000013</v>
      </c>
      <c r="I112" s="13">
        <v>2</v>
      </c>
      <c r="J112" s="13">
        <f t="shared" si="14"/>
        <v>70</v>
      </c>
      <c r="K112" s="14"/>
      <c r="L112" s="15">
        <v>1</v>
      </c>
      <c r="M112" s="16">
        <f t="shared" si="18"/>
        <v>0</v>
      </c>
      <c r="N112" s="16"/>
      <c r="O112" s="16"/>
      <c r="P112" s="16"/>
      <c r="Q112" s="16"/>
      <c r="R112" s="16"/>
      <c r="S112" s="99"/>
      <c r="T112" s="99"/>
      <c r="U112" s="99"/>
      <c r="V112" s="99"/>
      <c r="W112" s="13"/>
      <c r="X112" s="13"/>
      <c r="Y112" s="13"/>
      <c r="Z112" s="51"/>
      <c r="AA112" s="51"/>
      <c r="AB112" s="13"/>
      <c r="AC112" s="51"/>
      <c r="AD112" s="51"/>
      <c r="AE112" s="51"/>
      <c r="AF112" s="13"/>
      <c r="AG112" s="51"/>
    </row>
    <row r="113" spans="1:33" hidden="1" x14ac:dyDescent="0.35">
      <c r="A113" s="7" t="s">
        <v>100</v>
      </c>
      <c r="B113" s="8" t="s">
        <v>66</v>
      </c>
      <c r="C113" s="8" t="s">
        <v>134</v>
      </c>
      <c r="D113" s="9">
        <v>1</v>
      </c>
      <c r="E113" s="10">
        <f t="shared" si="28"/>
        <v>0</v>
      </c>
      <c r="F113" s="11">
        <v>775.4</v>
      </c>
      <c r="G113" s="12">
        <v>35</v>
      </c>
      <c r="H113" s="12">
        <f t="shared" si="27"/>
        <v>271.39</v>
      </c>
      <c r="I113" s="13">
        <v>2</v>
      </c>
      <c r="J113" s="13">
        <f t="shared" si="14"/>
        <v>70</v>
      </c>
      <c r="K113" s="14"/>
      <c r="L113" s="15">
        <v>1</v>
      </c>
      <c r="M113" s="16">
        <f t="shared" si="18"/>
        <v>0</v>
      </c>
      <c r="N113" s="16"/>
      <c r="O113" s="16"/>
      <c r="P113" s="16"/>
      <c r="Q113" s="16"/>
      <c r="R113" s="16"/>
      <c r="S113" s="99"/>
      <c r="T113" s="99"/>
      <c r="U113" s="99"/>
      <c r="V113" s="99"/>
      <c r="W113" s="13"/>
      <c r="X113" s="13"/>
      <c r="Y113" s="13"/>
      <c r="Z113" s="51"/>
      <c r="AA113" s="51"/>
      <c r="AB113" s="13"/>
      <c r="AC113" s="51"/>
      <c r="AD113" s="51"/>
      <c r="AE113" s="51"/>
      <c r="AF113" s="13"/>
      <c r="AG113" s="51"/>
    </row>
    <row r="114" spans="1:33" hidden="1" x14ac:dyDescent="0.35">
      <c r="A114" s="7" t="s">
        <v>100</v>
      </c>
      <c r="B114" s="8" t="s">
        <v>66</v>
      </c>
      <c r="C114" s="8" t="s">
        <v>135</v>
      </c>
      <c r="D114" s="9">
        <v>1</v>
      </c>
      <c r="E114" s="10">
        <f t="shared" si="28"/>
        <v>0</v>
      </c>
      <c r="F114" s="11">
        <v>653.48</v>
      </c>
      <c r="G114" s="12">
        <v>35</v>
      </c>
      <c r="H114" s="12">
        <f t="shared" si="27"/>
        <v>228.71799999999999</v>
      </c>
      <c r="I114" s="13">
        <v>2</v>
      </c>
      <c r="J114" s="13">
        <f t="shared" si="14"/>
        <v>70</v>
      </c>
      <c r="K114" s="14"/>
      <c r="L114" s="15">
        <v>1</v>
      </c>
      <c r="M114" s="16">
        <f t="shared" si="18"/>
        <v>0</v>
      </c>
      <c r="N114" s="16"/>
      <c r="O114" s="16"/>
      <c r="P114" s="16"/>
      <c r="Q114" s="16"/>
      <c r="R114" s="16"/>
      <c r="S114" s="99"/>
      <c r="T114" s="99"/>
      <c r="U114" s="99"/>
      <c r="V114" s="99"/>
      <c r="W114" s="13"/>
      <c r="X114" s="13"/>
      <c r="Y114" s="13"/>
      <c r="Z114" s="51"/>
      <c r="AA114" s="51"/>
      <c r="AB114" s="13"/>
      <c r="AC114" s="51"/>
      <c r="AD114" s="51"/>
      <c r="AE114" s="51"/>
      <c r="AF114" s="13"/>
      <c r="AG114" s="51"/>
    </row>
    <row r="115" spans="1:33" hidden="1" x14ac:dyDescent="0.35">
      <c r="A115" s="7" t="s">
        <v>100</v>
      </c>
      <c r="B115" s="8" t="s">
        <v>66</v>
      </c>
      <c r="C115" s="8" t="s">
        <v>136</v>
      </c>
      <c r="D115" s="9">
        <v>1</v>
      </c>
      <c r="E115" s="10">
        <f t="shared" si="28"/>
        <v>0</v>
      </c>
      <c r="F115" s="11">
        <v>844.6</v>
      </c>
      <c r="G115" s="12">
        <v>35</v>
      </c>
      <c r="H115" s="12">
        <f t="shared" si="27"/>
        <v>295.61</v>
      </c>
      <c r="I115" s="13">
        <v>2</v>
      </c>
      <c r="J115" s="13">
        <f t="shared" si="14"/>
        <v>70</v>
      </c>
      <c r="K115" s="14"/>
      <c r="L115" s="15">
        <v>1</v>
      </c>
      <c r="M115" s="16">
        <f t="shared" si="18"/>
        <v>0</v>
      </c>
      <c r="N115" s="16"/>
      <c r="O115" s="16"/>
      <c r="P115" s="16"/>
      <c r="Q115" s="16"/>
      <c r="R115" s="16"/>
      <c r="S115" s="99"/>
      <c r="T115" s="99"/>
      <c r="U115" s="99"/>
      <c r="V115" s="99"/>
      <c r="W115" s="13"/>
      <c r="X115" s="13"/>
      <c r="Y115" s="13"/>
      <c r="Z115" s="51"/>
      <c r="AA115" s="51"/>
      <c r="AB115" s="13"/>
      <c r="AC115" s="51"/>
      <c r="AD115" s="51"/>
      <c r="AE115" s="51"/>
      <c r="AF115" s="13"/>
      <c r="AG115" s="51"/>
    </row>
    <row r="116" spans="1:33" hidden="1" x14ac:dyDescent="0.35">
      <c r="A116" s="7" t="s">
        <v>100</v>
      </c>
      <c r="B116" s="8" t="s">
        <v>66</v>
      </c>
      <c r="C116" s="8" t="s">
        <v>137</v>
      </c>
      <c r="D116" s="9">
        <v>1</v>
      </c>
      <c r="E116" s="10">
        <f t="shared" si="28"/>
        <v>0</v>
      </c>
      <c r="F116" s="11">
        <v>1003.36</v>
      </c>
      <c r="G116" s="12">
        <v>35</v>
      </c>
      <c r="H116" s="12">
        <f t="shared" si="27"/>
        <v>351.17599999999999</v>
      </c>
      <c r="I116" s="13">
        <v>2</v>
      </c>
      <c r="J116" s="13">
        <f t="shared" si="14"/>
        <v>70</v>
      </c>
      <c r="K116" s="14"/>
      <c r="L116" s="15">
        <v>1</v>
      </c>
      <c r="M116" s="16">
        <f t="shared" si="18"/>
        <v>0</v>
      </c>
      <c r="N116" s="16"/>
      <c r="O116" s="16"/>
      <c r="P116" s="16"/>
      <c r="Q116" s="16"/>
      <c r="R116" s="16"/>
      <c r="S116" s="99"/>
      <c r="T116" s="99"/>
      <c r="U116" s="99"/>
      <c r="V116" s="99"/>
      <c r="W116" s="13"/>
      <c r="X116" s="13"/>
      <c r="Y116" s="13"/>
      <c r="Z116" s="51"/>
      <c r="AA116" s="51"/>
      <c r="AB116" s="13"/>
      <c r="AC116" s="51"/>
      <c r="AD116" s="51"/>
      <c r="AE116" s="51"/>
      <c r="AF116" s="13"/>
      <c r="AG116" s="51"/>
    </row>
    <row r="117" spans="1:33" hidden="1" x14ac:dyDescent="0.35">
      <c r="A117" s="7" t="s">
        <v>100</v>
      </c>
      <c r="B117" s="8" t="s">
        <v>66</v>
      </c>
      <c r="C117" s="8" t="s">
        <v>138</v>
      </c>
      <c r="D117" s="9">
        <v>1</v>
      </c>
      <c r="E117" s="10">
        <f t="shared" si="28"/>
        <v>0</v>
      </c>
      <c r="F117" s="11">
        <v>997.76</v>
      </c>
      <c r="G117" s="12">
        <v>35</v>
      </c>
      <c r="H117" s="12">
        <f t="shared" si="27"/>
        <v>349.21600000000001</v>
      </c>
      <c r="I117" s="13">
        <v>2</v>
      </c>
      <c r="J117" s="13">
        <f t="shared" si="14"/>
        <v>70</v>
      </c>
      <c r="K117" s="14"/>
      <c r="L117" s="15">
        <v>1</v>
      </c>
      <c r="M117" s="16">
        <f t="shared" si="18"/>
        <v>0</v>
      </c>
      <c r="N117" s="16"/>
      <c r="O117" s="16"/>
      <c r="P117" s="16"/>
      <c r="Q117" s="16"/>
      <c r="R117" s="16"/>
      <c r="S117" s="99"/>
      <c r="T117" s="99"/>
      <c r="U117" s="99"/>
      <c r="V117" s="99"/>
      <c r="W117" s="13"/>
      <c r="X117" s="13"/>
      <c r="Y117" s="13"/>
      <c r="Z117" s="51"/>
      <c r="AA117" s="51"/>
      <c r="AB117" s="13"/>
      <c r="AC117" s="51"/>
      <c r="AD117" s="51"/>
      <c r="AE117" s="51"/>
      <c r="AF117" s="13"/>
      <c r="AG117" s="51"/>
    </row>
    <row r="118" spans="1:33" hidden="1" x14ac:dyDescent="0.35">
      <c r="A118" s="7" t="s">
        <v>100</v>
      </c>
      <c r="B118" s="8" t="s">
        <v>66</v>
      </c>
      <c r="C118" s="8" t="s">
        <v>139</v>
      </c>
      <c r="D118" s="9">
        <v>1</v>
      </c>
      <c r="E118" s="10">
        <f t="shared" si="28"/>
        <v>0</v>
      </c>
      <c r="F118" s="11">
        <v>879.42</v>
      </c>
      <c r="G118" s="12">
        <v>35</v>
      </c>
      <c r="H118" s="12">
        <f t="shared" si="27"/>
        <v>307.79699999999997</v>
      </c>
      <c r="I118" s="13">
        <v>2</v>
      </c>
      <c r="J118" s="13">
        <f t="shared" si="14"/>
        <v>70</v>
      </c>
      <c r="K118" s="14"/>
      <c r="L118" s="15">
        <v>1</v>
      </c>
      <c r="M118" s="16">
        <f t="shared" si="18"/>
        <v>0</v>
      </c>
      <c r="N118" s="16"/>
      <c r="O118" s="16"/>
      <c r="P118" s="16"/>
      <c r="Q118" s="16"/>
      <c r="R118" s="16"/>
      <c r="S118" s="99"/>
      <c r="T118" s="99"/>
      <c r="U118" s="99"/>
      <c r="V118" s="99"/>
      <c r="W118" s="13"/>
      <c r="X118" s="13"/>
      <c r="Y118" s="13"/>
      <c r="Z118" s="51"/>
      <c r="AA118" s="51"/>
      <c r="AB118" s="13"/>
      <c r="AC118" s="51"/>
      <c r="AD118" s="51"/>
      <c r="AE118" s="51"/>
      <c r="AF118" s="13"/>
      <c r="AG118" s="51"/>
    </row>
    <row r="119" spans="1:33" hidden="1" x14ac:dyDescent="0.35">
      <c r="A119" s="7" t="s">
        <v>100</v>
      </c>
      <c r="B119" s="8" t="s">
        <v>66</v>
      </c>
      <c r="C119" s="8" t="s">
        <v>140</v>
      </c>
      <c r="D119" s="9">
        <v>1</v>
      </c>
      <c r="E119" s="10">
        <f t="shared" si="28"/>
        <v>0</v>
      </c>
      <c r="F119" s="11">
        <v>1088.49</v>
      </c>
      <c r="G119" s="12">
        <v>35</v>
      </c>
      <c r="H119" s="12">
        <f t="shared" si="27"/>
        <v>380.97149999999999</v>
      </c>
      <c r="I119" s="13">
        <v>2</v>
      </c>
      <c r="J119" s="13">
        <f t="shared" si="14"/>
        <v>70</v>
      </c>
      <c r="K119" s="14"/>
      <c r="L119" s="15">
        <v>1</v>
      </c>
      <c r="M119" s="16">
        <f t="shared" si="18"/>
        <v>0</v>
      </c>
      <c r="N119" s="16"/>
      <c r="O119" s="16"/>
      <c r="P119" s="16"/>
      <c r="Q119" s="16"/>
      <c r="R119" s="16"/>
      <c r="S119" s="99"/>
      <c r="T119" s="99"/>
      <c r="U119" s="99"/>
      <c r="V119" s="99"/>
      <c r="W119" s="13"/>
      <c r="X119" s="13"/>
      <c r="Y119" s="13"/>
      <c r="Z119" s="51"/>
      <c r="AA119" s="51"/>
      <c r="AB119" s="13"/>
      <c r="AC119" s="51"/>
      <c r="AD119" s="51"/>
      <c r="AE119" s="51"/>
      <c r="AF119" s="13"/>
      <c r="AG119" s="51"/>
    </row>
    <row r="120" spans="1:33" hidden="1" x14ac:dyDescent="0.35">
      <c r="A120" s="7" t="s">
        <v>100</v>
      </c>
      <c r="B120" s="8" t="s">
        <v>66</v>
      </c>
      <c r="C120" s="8" t="s">
        <v>141</v>
      </c>
      <c r="D120" s="9">
        <v>1</v>
      </c>
      <c r="E120" s="10">
        <f t="shared" si="28"/>
        <v>0</v>
      </c>
      <c r="F120" s="11">
        <v>1252.3399999999999</v>
      </c>
      <c r="G120" s="12">
        <v>35</v>
      </c>
      <c r="H120" s="12">
        <f t="shared" si="27"/>
        <v>438.31899999999996</v>
      </c>
      <c r="I120" s="13">
        <v>2</v>
      </c>
      <c r="J120" s="13">
        <f t="shared" si="14"/>
        <v>70</v>
      </c>
      <c r="K120" s="14"/>
      <c r="L120" s="15">
        <v>1</v>
      </c>
      <c r="M120" s="16">
        <f t="shared" si="18"/>
        <v>0</v>
      </c>
      <c r="N120" s="16"/>
      <c r="O120" s="16"/>
      <c r="P120" s="16"/>
      <c r="Q120" s="16"/>
      <c r="R120" s="16"/>
      <c r="S120" s="99"/>
      <c r="T120" s="99"/>
      <c r="U120" s="99"/>
      <c r="V120" s="99"/>
      <c r="W120" s="13"/>
      <c r="X120" s="13"/>
      <c r="Y120" s="13"/>
      <c r="Z120" s="51"/>
      <c r="AA120" s="51"/>
      <c r="AB120" s="13"/>
      <c r="AC120" s="51"/>
      <c r="AD120" s="51"/>
      <c r="AE120" s="51"/>
      <c r="AF120" s="13"/>
      <c r="AG120" s="51"/>
    </row>
    <row r="121" spans="1:33" hidden="1" x14ac:dyDescent="0.35">
      <c r="A121" s="7" t="s">
        <v>100</v>
      </c>
      <c r="B121" s="8" t="s">
        <v>66</v>
      </c>
      <c r="C121" s="8" t="s">
        <v>142</v>
      </c>
      <c r="D121" s="9">
        <v>1</v>
      </c>
      <c r="E121" s="10">
        <f t="shared" si="28"/>
        <v>0</v>
      </c>
      <c r="F121" s="11">
        <v>1127.3599999999999</v>
      </c>
      <c r="G121" s="12">
        <v>35</v>
      </c>
      <c r="H121" s="12">
        <f t="shared" si="27"/>
        <v>394.57599999999996</v>
      </c>
      <c r="I121" s="13">
        <v>2</v>
      </c>
      <c r="J121" s="13">
        <f t="shared" si="14"/>
        <v>70</v>
      </c>
      <c r="K121" s="14"/>
      <c r="L121" s="15">
        <v>1</v>
      </c>
      <c r="M121" s="16">
        <f t="shared" si="18"/>
        <v>0</v>
      </c>
      <c r="N121" s="16"/>
      <c r="O121" s="16"/>
      <c r="P121" s="16"/>
      <c r="Q121" s="16"/>
      <c r="R121" s="16"/>
      <c r="S121" s="99"/>
      <c r="T121" s="99"/>
      <c r="U121" s="99"/>
      <c r="V121" s="99"/>
      <c r="W121" s="13"/>
      <c r="X121" s="13"/>
      <c r="Y121" s="13"/>
      <c r="Z121" s="51"/>
      <c r="AA121" s="51"/>
      <c r="AB121" s="13"/>
      <c r="AC121" s="51"/>
      <c r="AD121" s="51"/>
      <c r="AE121" s="51"/>
      <c r="AF121" s="13"/>
      <c r="AG121" s="51"/>
    </row>
    <row r="122" spans="1:33" hidden="1" x14ac:dyDescent="0.35">
      <c r="A122" s="7"/>
      <c r="B122" s="8"/>
      <c r="C122" s="8"/>
      <c r="D122" s="9"/>
      <c r="E122" s="10">
        <f t="shared" si="28"/>
        <v>0</v>
      </c>
      <c r="F122" s="11"/>
      <c r="G122" s="12"/>
      <c r="H122" s="12"/>
      <c r="I122" s="13"/>
      <c r="J122" s="13"/>
      <c r="K122" s="14"/>
      <c r="L122" s="15"/>
      <c r="M122" s="16">
        <f t="shared" si="18"/>
        <v>0</v>
      </c>
      <c r="N122" s="44"/>
      <c r="O122" s="44"/>
      <c r="P122" s="44"/>
      <c r="Q122" s="44"/>
      <c r="R122" s="44"/>
      <c r="S122" s="19"/>
      <c r="T122" s="19"/>
      <c r="U122" s="19"/>
      <c r="V122" s="19"/>
      <c r="W122" s="13"/>
      <c r="X122" s="13"/>
      <c r="Y122" s="13"/>
      <c r="Z122" s="51"/>
      <c r="AA122" s="51"/>
      <c r="AB122" s="13"/>
      <c r="AC122" s="51"/>
      <c r="AD122" s="51"/>
      <c r="AE122" s="51"/>
      <c r="AF122" s="13"/>
      <c r="AG122" s="51"/>
    </row>
    <row r="123" spans="1:33" hidden="1" x14ac:dyDescent="0.35">
      <c r="A123" s="7" t="s">
        <v>143</v>
      </c>
      <c r="B123" s="8" t="s">
        <v>66</v>
      </c>
      <c r="C123" s="8" t="s">
        <v>144</v>
      </c>
      <c r="D123" s="9">
        <v>1</v>
      </c>
      <c r="E123" s="10">
        <f t="shared" si="28"/>
        <v>0</v>
      </c>
      <c r="F123" s="11">
        <v>1624.97</v>
      </c>
      <c r="G123" s="12">
        <v>35</v>
      </c>
      <c r="H123" s="12">
        <f t="shared" ref="H123:H142" si="29">F123*G123/100</f>
        <v>568.73950000000002</v>
      </c>
      <c r="I123" s="13">
        <v>2</v>
      </c>
      <c r="J123" s="13">
        <f t="shared" si="14"/>
        <v>70</v>
      </c>
      <c r="K123" s="14"/>
      <c r="L123" s="15">
        <v>1</v>
      </c>
      <c r="M123" s="22">
        <f t="shared" si="18"/>
        <v>0</v>
      </c>
      <c r="N123" s="22"/>
      <c r="O123" s="22"/>
      <c r="P123" s="22"/>
      <c r="Q123" s="22"/>
      <c r="R123" s="22"/>
      <c r="S123" s="98">
        <f>SUM(F123:F142)</f>
        <v>33427.050000000003</v>
      </c>
      <c r="T123" s="98">
        <f>SUM(H123:H142)</f>
        <v>11699.467500000001</v>
      </c>
      <c r="U123" s="98">
        <f>SUM(K123:K142)</f>
        <v>0</v>
      </c>
      <c r="V123" s="98">
        <f>SUM(M123:M142)</f>
        <v>0</v>
      </c>
      <c r="W123" s="13"/>
      <c r="X123" s="13"/>
      <c r="Y123" s="13"/>
      <c r="Z123" s="51"/>
      <c r="AA123" s="51"/>
      <c r="AB123" s="13"/>
      <c r="AC123" s="51"/>
      <c r="AD123" s="51"/>
      <c r="AE123" s="51"/>
      <c r="AF123" s="13"/>
      <c r="AG123" s="51"/>
    </row>
    <row r="124" spans="1:33" hidden="1" x14ac:dyDescent="0.35">
      <c r="A124" s="7" t="s">
        <v>143</v>
      </c>
      <c r="B124" s="8" t="s">
        <v>66</v>
      </c>
      <c r="C124" s="8" t="s">
        <v>145</v>
      </c>
      <c r="D124" s="9">
        <v>1</v>
      </c>
      <c r="E124" s="10">
        <f t="shared" si="28"/>
        <v>0</v>
      </c>
      <c r="F124" s="11">
        <v>1746.43</v>
      </c>
      <c r="G124" s="12">
        <v>35</v>
      </c>
      <c r="H124" s="12">
        <f t="shared" si="29"/>
        <v>611.25049999999999</v>
      </c>
      <c r="I124" s="13">
        <v>2</v>
      </c>
      <c r="J124" s="13">
        <f t="shared" si="14"/>
        <v>70</v>
      </c>
      <c r="K124" s="14"/>
      <c r="L124" s="15">
        <v>1</v>
      </c>
      <c r="M124" s="22">
        <f t="shared" si="18"/>
        <v>0</v>
      </c>
      <c r="N124" s="22"/>
      <c r="O124" s="22"/>
      <c r="P124" s="22"/>
      <c r="Q124" s="22"/>
      <c r="R124" s="22"/>
      <c r="S124" s="99"/>
      <c r="T124" s="99"/>
      <c r="U124" s="99"/>
      <c r="V124" s="99"/>
      <c r="W124" s="13"/>
      <c r="X124" s="13"/>
      <c r="Y124" s="13"/>
      <c r="Z124" s="51"/>
      <c r="AA124" s="51"/>
      <c r="AB124" s="13"/>
      <c r="AC124" s="51"/>
      <c r="AD124" s="51"/>
      <c r="AE124" s="51"/>
      <c r="AF124" s="13"/>
      <c r="AG124" s="51"/>
    </row>
    <row r="125" spans="1:33" hidden="1" x14ac:dyDescent="0.35">
      <c r="A125" s="7" t="s">
        <v>143</v>
      </c>
      <c r="B125" s="8" t="s">
        <v>66</v>
      </c>
      <c r="C125" s="8" t="s">
        <v>146</v>
      </c>
      <c r="D125" s="9">
        <v>1</v>
      </c>
      <c r="E125" s="10">
        <f t="shared" si="28"/>
        <v>0</v>
      </c>
      <c r="F125" s="11">
        <v>1742.64</v>
      </c>
      <c r="G125" s="12">
        <v>35</v>
      </c>
      <c r="H125" s="12">
        <f t="shared" si="29"/>
        <v>609.92399999999998</v>
      </c>
      <c r="I125" s="13">
        <v>2</v>
      </c>
      <c r="J125" s="13">
        <f t="shared" si="14"/>
        <v>70</v>
      </c>
      <c r="K125" s="14"/>
      <c r="L125" s="15">
        <v>1</v>
      </c>
      <c r="M125" s="22">
        <f t="shared" si="18"/>
        <v>0</v>
      </c>
      <c r="N125" s="22"/>
      <c r="O125" s="22"/>
      <c r="P125" s="22"/>
      <c r="Q125" s="22"/>
      <c r="R125" s="22"/>
      <c r="S125" s="99"/>
      <c r="T125" s="99"/>
      <c r="U125" s="99"/>
      <c r="V125" s="99"/>
      <c r="W125" s="13"/>
      <c r="X125" s="13"/>
      <c r="Y125" s="13"/>
      <c r="Z125" s="51"/>
      <c r="AA125" s="51"/>
      <c r="AB125" s="13"/>
      <c r="AC125" s="51"/>
      <c r="AD125" s="51"/>
      <c r="AE125" s="51"/>
      <c r="AF125" s="13"/>
      <c r="AG125" s="51"/>
    </row>
    <row r="126" spans="1:33" hidden="1" x14ac:dyDescent="0.35">
      <c r="A126" s="7" t="s">
        <v>143</v>
      </c>
      <c r="B126" s="8" t="s">
        <v>66</v>
      </c>
      <c r="C126" s="8" t="s">
        <v>147</v>
      </c>
      <c r="D126" s="9">
        <v>1</v>
      </c>
      <c r="E126" s="10">
        <f t="shared" si="28"/>
        <v>0</v>
      </c>
      <c r="F126" s="11">
        <v>1646.79</v>
      </c>
      <c r="G126" s="12">
        <v>35</v>
      </c>
      <c r="H126" s="12">
        <f t="shared" si="29"/>
        <v>576.37649999999996</v>
      </c>
      <c r="I126" s="13">
        <v>2</v>
      </c>
      <c r="J126" s="13">
        <f t="shared" si="14"/>
        <v>70</v>
      </c>
      <c r="K126" s="14"/>
      <c r="L126" s="15">
        <v>1</v>
      </c>
      <c r="M126" s="22">
        <f t="shared" si="18"/>
        <v>0</v>
      </c>
      <c r="N126" s="22"/>
      <c r="O126" s="22"/>
      <c r="P126" s="22"/>
      <c r="Q126" s="22"/>
      <c r="R126" s="22"/>
      <c r="S126" s="99"/>
      <c r="T126" s="99"/>
      <c r="U126" s="99"/>
      <c r="V126" s="99"/>
      <c r="W126" s="13"/>
      <c r="X126" s="13"/>
      <c r="Y126" s="13"/>
      <c r="Z126" s="51"/>
      <c r="AA126" s="51"/>
      <c r="AB126" s="13"/>
      <c r="AC126" s="51"/>
      <c r="AD126" s="51"/>
      <c r="AE126" s="51"/>
      <c r="AF126" s="13"/>
      <c r="AG126" s="51"/>
    </row>
    <row r="127" spans="1:33" hidden="1" x14ac:dyDescent="0.35">
      <c r="A127" s="7" t="s">
        <v>143</v>
      </c>
      <c r="B127" s="8" t="s">
        <v>66</v>
      </c>
      <c r="C127" s="8" t="s">
        <v>148</v>
      </c>
      <c r="D127" s="9">
        <v>1</v>
      </c>
      <c r="E127" s="10">
        <f t="shared" si="28"/>
        <v>0</v>
      </c>
      <c r="F127" s="11">
        <v>1509.46</v>
      </c>
      <c r="G127" s="12">
        <v>35</v>
      </c>
      <c r="H127" s="12">
        <f t="shared" si="29"/>
        <v>528.31100000000004</v>
      </c>
      <c r="I127" s="13">
        <v>2</v>
      </c>
      <c r="J127" s="13">
        <f t="shared" si="14"/>
        <v>70</v>
      </c>
      <c r="K127" s="14"/>
      <c r="L127" s="15">
        <v>1</v>
      </c>
      <c r="M127" s="22">
        <f t="shared" si="18"/>
        <v>0</v>
      </c>
      <c r="N127" s="22"/>
      <c r="O127" s="22"/>
      <c r="P127" s="22"/>
      <c r="Q127" s="22"/>
      <c r="R127" s="22"/>
      <c r="S127" s="99"/>
      <c r="T127" s="99"/>
      <c r="U127" s="99"/>
      <c r="V127" s="99"/>
      <c r="W127" s="13"/>
      <c r="X127" s="13"/>
      <c r="Y127" s="13"/>
      <c r="Z127" s="51"/>
      <c r="AA127" s="51"/>
      <c r="AB127" s="13"/>
      <c r="AC127" s="51"/>
      <c r="AD127" s="51"/>
      <c r="AE127" s="51"/>
      <c r="AF127" s="13"/>
      <c r="AG127" s="51"/>
    </row>
    <row r="128" spans="1:33" hidden="1" x14ac:dyDescent="0.35">
      <c r="A128" s="7" t="s">
        <v>143</v>
      </c>
      <c r="B128" s="8" t="s">
        <v>66</v>
      </c>
      <c r="C128" s="8" t="s">
        <v>149</v>
      </c>
      <c r="D128" s="9">
        <v>1</v>
      </c>
      <c r="E128" s="10">
        <f t="shared" si="28"/>
        <v>0</v>
      </c>
      <c r="F128" s="11">
        <v>1411.93</v>
      </c>
      <c r="G128" s="12">
        <v>35</v>
      </c>
      <c r="H128" s="12">
        <f t="shared" si="29"/>
        <v>494.17550000000006</v>
      </c>
      <c r="I128" s="13">
        <v>2</v>
      </c>
      <c r="J128" s="13">
        <f t="shared" si="14"/>
        <v>70</v>
      </c>
      <c r="K128" s="14"/>
      <c r="L128" s="15">
        <v>1</v>
      </c>
      <c r="M128" s="22">
        <f t="shared" si="18"/>
        <v>0</v>
      </c>
      <c r="N128" s="22"/>
      <c r="O128" s="22"/>
      <c r="P128" s="22"/>
      <c r="Q128" s="22"/>
      <c r="R128" s="22"/>
      <c r="S128" s="99"/>
      <c r="T128" s="99"/>
      <c r="U128" s="99"/>
      <c r="V128" s="99"/>
      <c r="W128" s="13"/>
      <c r="X128" s="13"/>
      <c r="Y128" s="13"/>
      <c r="Z128" s="51"/>
      <c r="AA128" s="51"/>
      <c r="AB128" s="13"/>
      <c r="AC128" s="51"/>
      <c r="AD128" s="51"/>
      <c r="AE128" s="51"/>
      <c r="AF128" s="13"/>
      <c r="AG128" s="51"/>
    </row>
    <row r="129" spans="1:33" hidden="1" x14ac:dyDescent="0.35">
      <c r="A129" s="7" t="s">
        <v>143</v>
      </c>
      <c r="B129" s="8" t="s">
        <v>66</v>
      </c>
      <c r="C129" s="8" t="s">
        <v>150</v>
      </c>
      <c r="D129" s="9">
        <v>1</v>
      </c>
      <c r="E129" s="10">
        <f t="shared" si="28"/>
        <v>0</v>
      </c>
      <c r="F129" s="11">
        <v>1324.88</v>
      </c>
      <c r="G129" s="12">
        <v>35</v>
      </c>
      <c r="H129" s="12">
        <f t="shared" si="29"/>
        <v>463.70800000000003</v>
      </c>
      <c r="I129" s="13">
        <v>2</v>
      </c>
      <c r="J129" s="13">
        <f t="shared" si="14"/>
        <v>70</v>
      </c>
      <c r="K129" s="14"/>
      <c r="L129" s="15">
        <v>1</v>
      </c>
      <c r="M129" s="22">
        <f t="shared" si="18"/>
        <v>0</v>
      </c>
      <c r="N129" s="22"/>
      <c r="O129" s="22"/>
      <c r="P129" s="22"/>
      <c r="Q129" s="22"/>
      <c r="R129" s="22"/>
      <c r="S129" s="99"/>
      <c r="T129" s="99"/>
      <c r="U129" s="99"/>
      <c r="V129" s="99"/>
      <c r="W129" s="13"/>
      <c r="X129" s="13"/>
      <c r="Y129" s="13"/>
      <c r="Z129" s="51"/>
      <c r="AA129" s="51"/>
      <c r="AB129" s="13"/>
      <c r="AC129" s="51"/>
      <c r="AD129" s="51"/>
      <c r="AE129" s="51"/>
      <c r="AF129" s="13"/>
      <c r="AG129" s="51"/>
    </row>
    <row r="130" spans="1:33" hidden="1" x14ac:dyDescent="0.35">
      <c r="A130" s="7" t="s">
        <v>143</v>
      </c>
      <c r="B130" s="8" t="s">
        <v>66</v>
      </c>
      <c r="C130" s="8" t="s">
        <v>151</v>
      </c>
      <c r="D130" s="9">
        <v>1</v>
      </c>
      <c r="E130" s="10">
        <f t="shared" si="28"/>
        <v>0</v>
      </c>
      <c r="F130" s="11">
        <v>1216.3900000000001</v>
      </c>
      <c r="G130" s="12">
        <v>35</v>
      </c>
      <c r="H130" s="12">
        <f t="shared" si="29"/>
        <v>425.73650000000004</v>
      </c>
      <c r="I130" s="13">
        <v>2</v>
      </c>
      <c r="J130" s="13">
        <f t="shared" si="14"/>
        <v>70</v>
      </c>
      <c r="K130" s="14"/>
      <c r="L130" s="15">
        <v>1</v>
      </c>
      <c r="M130" s="22">
        <f t="shared" si="18"/>
        <v>0</v>
      </c>
      <c r="N130" s="22"/>
      <c r="O130" s="22"/>
      <c r="P130" s="22"/>
      <c r="Q130" s="22"/>
      <c r="R130" s="22"/>
      <c r="S130" s="99"/>
      <c r="T130" s="99"/>
      <c r="U130" s="99"/>
      <c r="V130" s="99"/>
      <c r="W130" s="13"/>
      <c r="X130" s="13"/>
      <c r="Y130" s="13"/>
      <c r="Z130" s="51"/>
      <c r="AA130" s="51"/>
      <c r="AB130" s="13"/>
      <c r="AC130" s="51"/>
      <c r="AD130" s="51"/>
      <c r="AE130" s="51"/>
      <c r="AF130" s="13"/>
      <c r="AG130" s="51"/>
    </row>
    <row r="131" spans="1:33" hidden="1" x14ac:dyDescent="0.35">
      <c r="A131" s="7" t="s">
        <v>143</v>
      </c>
      <c r="B131" s="8" t="s">
        <v>66</v>
      </c>
      <c r="C131" s="8" t="s">
        <v>152</v>
      </c>
      <c r="D131" s="9">
        <v>1</v>
      </c>
      <c r="E131" s="10">
        <f t="shared" si="28"/>
        <v>0</v>
      </c>
      <c r="F131" s="11">
        <v>1382</v>
      </c>
      <c r="G131" s="12">
        <v>35</v>
      </c>
      <c r="H131" s="12">
        <f t="shared" si="29"/>
        <v>483.7</v>
      </c>
      <c r="I131" s="13">
        <v>2</v>
      </c>
      <c r="J131" s="13">
        <f t="shared" si="14"/>
        <v>70</v>
      </c>
      <c r="K131" s="14"/>
      <c r="L131" s="15">
        <v>1</v>
      </c>
      <c r="M131" s="22">
        <f t="shared" si="18"/>
        <v>0</v>
      </c>
      <c r="N131" s="22"/>
      <c r="O131" s="22"/>
      <c r="P131" s="22"/>
      <c r="Q131" s="22"/>
      <c r="R131" s="22"/>
      <c r="S131" s="99"/>
      <c r="T131" s="99"/>
      <c r="U131" s="99"/>
      <c r="V131" s="99"/>
      <c r="W131" s="13"/>
      <c r="X131" s="13"/>
      <c r="Y131" s="13"/>
      <c r="Z131" s="51"/>
      <c r="AA131" s="51"/>
      <c r="AB131" s="13"/>
      <c r="AC131" s="51"/>
      <c r="AD131" s="51"/>
      <c r="AE131" s="51"/>
      <c r="AF131" s="13"/>
      <c r="AG131" s="51"/>
    </row>
    <row r="132" spans="1:33" hidden="1" x14ac:dyDescent="0.35">
      <c r="A132" s="7" t="s">
        <v>143</v>
      </c>
      <c r="B132" s="8" t="s">
        <v>66</v>
      </c>
      <c r="C132" s="8" t="s">
        <v>153</v>
      </c>
      <c r="D132" s="9">
        <v>1</v>
      </c>
      <c r="E132" s="10">
        <f t="shared" si="28"/>
        <v>0</v>
      </c>
      <c r="F132" s="11">
        <v>2088.27</v>
      </c>
      <c r="G132" s="12">
        <v>35</v>
      </c>
      <c r="H132" s="12">
        <f t="shared" si="29"/>
        <v>730.89449999999999</v>
      </c>
      <c r="I132" s="13">
        <v>2</v>
      </c>
      <c r="J132" s="13">
        <f t="shared" si="14"/>
        <v>70</v>
      </c>
      <c r="K132" s="14"/>
      <c r="L132" s="15">
        <v>1</v>
      </c>
      <c r="M132" s="22">
        <f t="shared" si="18"/>
        <v>0</v>
      </c>
      <c r="N132" s="22"/>
      <c r="O132" s="22"/>
      <c r="P132" s="22"/>
      <c r="Q132" s="22"/>
      <c r="R132" s="22"/>
      <c r="S132" s="99"/>
      <c r="T132" s="99"/>
      <c r="U132" s="99"/>
      <c r="V132" s="99"/>
      <c r="W132" s="13"/>
      <c r="X132" s="13"/>
      <c r="Y132" s="13"/>
      <c r="Z132" s="51"/>
      <c r="AA132" s="51"/>
      <c r="AB132" s="13"/>
      <c r="AC132" s="51"/>
      <c r="AD132" s="51"/>
      <c r="AE132" s="51"/>
      <c r="AF132" s="13"/>
      <c r="AG132" s="51"/>
    </row>
    <row r="133" spans="1:33" hidden="1" x14ac:dyDescent="0.35">
      <c r="A133" s="7" t="s">
        <v>143</v>
      </c>
      <c r="B133" s="8" t="s">
        <v>66</v>
      </c>
      <c r="C133" s="8" t="s">
        <v>154</v>
      </c>
      <c r="D133" s="9">
        <v>1</v>
      </c>
      <c r="E133" s="10">
        <f t="shared" si="28"/>
        <v>0</v>
      </c>
      <c r="F133" s="11">
        <v>1282.43</v>
      </c>
      <c r="G133" s="12">
        <v>35</v>
      </c>
      <c r="H133" s="12">
        <f t="shared" si="29"/>
        <v>448.85050000000001</v>
      </c>
      <c r="I133" s="13">
        <v>2</v>
      </c>
      <c r="J133" s="13">
        <f t="shared" si="14"/>
        <v>70</v>
      </c>
      <c r="K133" s="14"/>
      <c r="L133" s="15">
        <v>1</v>
      </c>
      <c r="M133" s="22">
        <f t="shared" si="18"/>
        <v>0</v>
      </c>
      <c r="N133" s="22"/>
      <c r="O133" s="22"/>
      <c r="P133" s="22"/>
      <c r="Q133" s="22"/>
      <c r="R133" s="22"/>
      <c r="S133" s="99"/>
      <c r="T133" s="99"/>
      <c r="U133" s="99"/>
      <c r="V133" s="99"/>
      <c r="W133" s="13"/>
      <c r="X133" s="13"/>
      <c r="Y133" s="13"/>
      <c r="Z133" s="51"/>
      <c r="AA133" s="51"/>
      <c r="AB133" s="13"/>
      <c r="AC133" s="51"/>
      <c r="AD133" s="51"/>
      <c r="AE133" s="51"/>
      <c r="AF133" s="13"/>
      <c r="AG133" s="51"/>
    </row>
    <row r="134" spans="1:33" hidden="1" x14ac:dyDescent="0.35">
      <c r="A134" s="7" t="s">
        <v>143</v>
      </c>
      <c r="B134" s="8" t="s">
        <v>66</v>
      </c>
      <c r="C134" s="8" t="s">
        <v>155</v>
      </c>
      <c r="D134" s="9">
        <v>1</v>
      </c>
      <c r="E134" s="10">
        <f t="shared" si="28"/>
        <v>0</v>
      </c>
      <c r="F134" s="11">
        <v>1379.63</v>
      </c>
      <c r="G134" s="12">
        <v>35</v>
      </c>
      <c r="H134" s="12">
        <f t="shared" si="29"/>
        <v>482.87050000000005</v>
      </c>
      <c r="I134" s="13">
        <v>2</v>
      </c>
      <c r="J134" s="13">
        <f t="shared" si="14"/>
        <v>70</v>
      </c>
      <c r="K134" s="14"/>
      <c r="L134" s="15">
        <v>1</v>
      </c>
      <c r="M134" s="22">
        <f t="shared" si="18"/>
        <v>0</v>
      </c>
      <c r="N134" s="22"/>
      <c r="O134" s="22"/>
      <c r="P134" s="22"/>
      <c r="Q134" s="22"/>
      <c r="R134" s="22"/>
      <c r="S134" s="99"/>
      <c r="T134" s="99"/>
      <c r="U134" s="99"/>
      <c r="V134" s="99"/>
      <c r="W134" s="13"/>
      <c r="X134" s="13"/>
      <c r="Y134" s="13"/>
      <c r="Z134" s="51"/>
      <c r="AA134" s="51"/>
      <c r="AB134" s="13"/>
      <c r="AC134" s="51"/>
      <c r="AD134" s="51"/>
      <c r="AE134" s="51"/>
      <c r="AF134" s="13"/>
      <c r="AG134" s="51"/>
    </row>
    <row r="135" spans="1:33" hidden="1" x14ac:dyDescent="0.35">
      <c r="A135" s="7" t="s">
        <v>143</v>
      </c>
      <c r="B135" s="8" t="s">
        <v>66</v>
      </c>
      <c r="C135" s="8" t="s">
        <v>156</v>
      </c>
      <c r="D135" s="9">
        <v>1</v>
      </c>
      <c r="E135" s="10">
        <f t="shared" si="28"/>
        <v>0</v>
      </c>
      <c r="F135" s="11">
        <v>1500.9</v>
      </c>
      <c r="G135" s="12">
        <v>35</v>
      </c>
      <c r="H135" s="12">
        <f t="shared" si="29"/>
        <v>525.31500000000005</v>
      </c>
      <c r="I135" s="13">
        <v>2</v>
      </c>
      <c r="J135" s="13">
        <f t="shared" si="14"/>
        <v>70</v>
      </c>
      <c r="K135" s="14"/>
      <c r="L135" s="15">
        <v>1</v>
      </c>
      <c r="M135" s="22">
        <f t="shared" si="18"/>
        <v>0</v>
      </c>
      <c r="N135" s="22"/>
      <c r="O135" s="22"/>
      <c r="P135" s="22"/>
      <c r="Q135" s="22"/>
      <c r="R135" s="22"/>
      <c r="S135" s="99"/>
      <c r="T135" s="99"/>
      <c r="U135" s="99"/>
      <c r="V135" s="99"/>
      <c r="W135" s="13"/>
      <c r="X135" s="13"/>
      <c r="Y135" s="13"/>
      <c r="Z135" s="51"/>
      <c r="AA135" s="51"/>
      <c r="AB135" s="13"/>
      <c r="AC135" s="51"/>
      <c r="AD135" s="51"/>
      <c r="AE135" s="51"/>
      <c r="AF135" s="13"/>
      <c r="AG135" s="51"/>
    </row>
    <row r="136" spans="1:33" hidden="1" x14ac:dyDescent="0.35">
      <c r="A136" s="7" t="s">
        <v>143</v>
      </c>
      <c r="B136" s="8" t="s">
        <v>66</v>
      </c>
      <c r="C136" s="8" t="s">
        <v>157</v>
      </c>
      <c r="D136" s="9">
        <v>1</v>
      </c>
      <c r="E136" s="10">
        <f t="shared" si="28"/>
        <v>0</v>
      </c>
      <c r="F136" s="11">
        <v>1649.7</v>
      </c>
      <c r="G136" s="12">
        <v>35</v>
      </c>
      <c r="H136" s="12">
        <f t="shared" si="29"/>
        <v>577.39499999999998</v>
      </c>
      <c r="I136" s="13">
        <v>2</v>
      </c>
      <c r="J136" s="13">
        <f t="shared" si="14"/>
        <v>70</v>
      </c>
      <c r="K136" s="14"/>
      <c r="L136" s="15">
        <v>1</v>
      </c>
      <c r="M136" s="22">
        <f t="shared" si="18"/>
        <v>0</v>
      </c>
      <c r="N136" s="22"/>
      <c r="O136" s="22"/>
      <c r="P136" s="22"/>
      <c r="Q136" s="22"/>
      <c r="R136" s="22"/>
      <c r="S136" s="99"/>
      <c r="T136" s="99"/>
      <c r="U136" s="99"/>
      <c r="V136" s="99"/>
      <c r="W136" s="13"/>
      <c r="X136" s="13"/>
      <c r="Y136" s="13"/>
      <c r="Z136" s="51"/>
      <c r="AA136" s="51"/>
      <c r="AB136" s="13"/>
      <c r="AC136" s="51"/>
      <c r="AD136" s="51"/>
      <c r="AE136" s="51"/>
      <c r="AF136" s="13"/>
      <c r="AG136" s="51"/>
    </row>
    <row r="137" spans="1:33" hidden="1" x14ac:dyDescent="0.35">
      <c r="A137" s="7" t="s">
        <v>143</v>
      </c>
      <c r="B137" s="8" t="s">
        <v>66</v>
      </c>
      <c r="C137" s="8" t="s">
        <v>158</v>
      </c>
      <c r="D137" s="9">
        <v>1</v>
      </c>
      <c r="E137" s="10">
        <f t="shared" si="28"/>
        <v>0</v>
      </c>
      <c r="F137" s="11">
        <v>1726.7</v>
      </c>
      <c r="G137" s="12">
        <v>35</v>
      </c>
      <c r="H137" s="12">
        <f t="shared" si="29"/>
        <v>604.34500000000003</v>
      </c>
      <c r="I137" s="13">
        <v>2</v>
      </c>
      <c r="J137" s="13">
        <f t="shared" si="14"/>
        <v>70</v>
      </c>
      <c r="K137" s="14"/>
      <c r="L137" s="15">
        <v>1</v>
      </c>
      <c r="M137" s="22">
        <f t="shared" ref="M137:M148" si="30">K137*L137</f>
        <v>0</v>
      </c>
      <c r="N137" s="22"/>
      <c r="O137" s="22"/>
      <c r="P137" s="22"/>
      <c r="Q137" s="22"/>
      <c r="R137" s="22"/>
      <c r="S137" s="99"/>
      <c r="T137" s="99"/>
      <c r="U137" s="99"/>
      <c r="V137" s="99"/>
      <c r="W137" s="13"/>
      <c r="X137" s="13"/>
      <c r="Y137" s="13"/>
      <c r="Z137" s="51"/>
      <c r="AA137" s="51"/>
      <c r="AB137" s="13"/>
      <c r="AC137" s="51"/>
      <c r="AD137" s="51"/>
      <c r="AE137" s="51"/>
      <c r="AF137" s="13"/>
      <c r="AG137" s="51"/>
    </row>
    <row r="138" spans="1:33" hidden="1" x14ac:dyDescent="0.35">
      <c r="A138" s="7" t="s">
        <v>143</v>
      </c>
      <c r="B138" s="8" t="s">
        <v>66</v>
      </c>
      <c r="C138" s="8" t="s">
        <v>159</v>
      </c>
      <c r="D138" s="9">
        <v>1</v>
      </c>
      <c r="E138" s="10">
        <f t="shared" si="28"/>
        <v>0</v>
      </c>
      <c r="F138" s="11">
        <v>1756.37</v>
      </c>
      <c r="G138" s="12">
        <v>35</v>
      </c>
      <c r="H138" s="12">
        <f t="shared" si="29"/>
        <v>614.72949999999992</v>
      </c>
      <c r="I138" s="13">
        <v>2</v>
      </c>
      <c r="J138" s="13">
        <f t="shared" si="14"/>
        <v>70</v>
      </c>
      <c r="K138" s="14"/>
      <c r="L138" s="15">
        <v>1</v>
      </c>
      <c r="M138" s="22">
        <f t="shared" si="30"/>
        <v>0</v>
      </c>
      <c r="N138" s="22"/>
      <c r="O138" s="22"/>
      <c r="P138" s="22"/>
      <c r="Q138" s="22"/>
      <c r="R138" s="22"/>
      <c r="S138" s="99"/>
      <c r="T138" s="99"/>
      <c r="U138" s="99"/>
      <c r="V138" s="99"/>
      <c r="W138" s="13"/>
      <c r="X138" s="13"/>
      <c r="Y138" s="13"/>
      <c r="Z138" s="51"/>
      <c r="AA138" s="51"/>
      <c r="AB138" s="13"/>
      <c r="AC138" s="51"/>
      <c r="AD138" s="51"/>
      <c r="AE138" s="51"/>
      <c r="AF138" s="13"/>
      <c r="AG138" s="51"/>
    </row>
    <row r="139" spans="1:33" hidden="1" x14ac:dyDescent="0.35">
      <c r="A139" s="7" t="s">
        <v>143</v>
      </c>
      <c r="B139" s="8" t="s">
        <v>66</v>
      </c>
      <c r="C139" s="8" t="s">
        <v>160</v>
      </c>
      <c r="D139" s="9">
        <v>1</v>
      </c>
      <c r="E139" s="10">
        <f t="shared" si="28"/>
        <v>0</v>
      </c>
      <c r="F139" s="11">
        <v>1730</v>
      </c>
      <c r="G139" s="12">
        <v>35</v>
      </c>
      <c r="H139" s="12">
        <f t="shared" si="29"/>
        <v>605.5</v>
      </c>
      <c r="I139" s="13">
        <v>2</v>
      </c>
      <c r="J139" s="13">
        <f t="shared" si="14"/>
        <v>70</v>
      </c>
      <c r="K139" s="14"/>
      <c r="L139" s="15">
        <v>1</v>
      </c>
      <c r="M139" s="22">
        <f t="shared" si="30"/>
        <v>0</v>
      </c>
      <c r="N139" s="22"/>
      <c r="O139" s="22"/>
      <c r="P139" s="22"/>
      <c r="Q139" s="22"/>
      <c r="R139" s="22"/>
      <c r="S139" s="99"/>
      <c r="T139" s="99"/>
      <c r="U139" s="99"/>
      <c r="V139" s="99"/>
      <c r="W139" s="13"/>
      <c r="X139" s="13"/>
      <c r="Y139" s="13"/>
      <c r="Z139" s="51"/>
      <c r="AA139" s="51"/>
      <c r="AB139" s="13"/>
      <c r="AC139" s="51"/>
      <c r="AD139" s="51"/>
      <c r="AE139" s="51"/>
      <c r="AF139" s="13"/>
      <c r="AG139" s="51"/>
    </row>
    <row r="140" spans="1:33" hidden="1" x14ac:dyDescent="0.35">
      <c r="A140" s="7" t="s">
        <v>143</v>
      </c>
      <c r="B140" s="8" t="s">
        <v>66</v>
      </c>
      <c r="C140" s="8" t="s">
        <v>161</v>
      </c>
      <c r="D140" s="9">
        <v>1</v>
      </c>
      <c r="E140" s="10">
        <f t="shared" si="28"/>
        <v>0</v>
      </c>
      <c r="F140" s="11">
        <v>1532.45</v>
      </c>
      <c r="G140" s="12">
        <v>35</v>
      </c>
      <c r="H140" s="12">
        <f t="shared" si="29"/>
        <v>536.35749999999996</v>
      </c>
      <c r="I140" s="13">
        <v>2</v>
      </c>
      <c r="J140" s="13">
        <f t="shared" si="14"/>
        <v>70</v>
      </c>
      <c r="K140" s="14"/>
      <c r="L140" s="15">
        <v>1</v>
      </c>
      <c r="M140" s="22">
        <f t="shared" si="30"/>
        <v>0</v>
      </c>
      <c r="N140" s="22"/>
      <c r="O140" s="22"/>
      <c r="P140" s="22"/>
      <c r="Q140" s="22"/>
      <c r="R140" s="22"/>
      <c r="S140" s="99"/>
      <c r="T140" s="99"/>
      <c r="U140" s="99"/>
      <c r="V140" s="99"/>
      <c r="W140" s="13"/>
      <c r="X140" s="13"/>
      <c r="Y140" s="13"/>
      <c r="Z140" s="51"/>
      <c r="AA140" s="51"/>
      <c r="AB140" s="13"/>
      <c r="AC140" s="51"/>
      <c r="AD140" s="51"/>
      <c r="AE140" s="51"/>
      <c r="AF140" s="13"/>
      <c r="AG140" s="51"/>
    </row>
    <row r="141" spans="1:33" hidden="1" x14ac:dyDescent="0.35">
      <c r="A141" s="7" t="s">
        <v>143</v>
      </c>
      <c r="B141" s="8" t="s">
        <v>66</v>
      </c>
      <c r="C141" s="8" t="s">
        <v>162</v>
      </c>
      <c r="D141" s="9">
        <v>1</v>
      </c>
      <c r="E141" s="10">
        <f t="shared" si="28"/>
        <v>0</v>
      </c>
      <c r="F141" s="11">
        <v>2266.09</v>
      </c>
      <c r="G141" s="12">
        <v>35</v>
      </c>
      <c r="H141" s="12">
        <f t="shared" si="29"/>
        <v>793.13150000000007</v>
      </c>
      <c r="I141" s="13">
        <v>2</v>
      </c>
      <c r="J141" s="13">
        <f t="shared" si="14"/>
        <v>70</v>
      </c>
      <c r="K141" s="14"/>
      <c r="L141" s="15">
        <v>1</v>
      </c>
      <c r="M141" s="22">
        <f t="shared" si="30"/>
        <v>0</v>
      </c>
      <c r="N141" s="22"/>
      <c r="O141" s="22"/>
      <c r="P141" s="22"/>
      <c r="Q141" s="22"/>
      <c r="R141" s="22"/>
      <c r="S141" s="99"/>
      <c r="T141" s="99"/>
      <c r="U141" s="99"/>
      <c r="V141" s="99"/>
      <c r="W141" s="13"/>
      <c r="X141" s="13"/>
      <c r="Y141" s="13"/>
      <c r="Z141" s="51"/>
      <c r="AA141" s="51"/>
      <c r="AB141" s="13"/>
      <c r="AC141" s="51"/>
      <c r="AD141" s="51"/>
      <c r="AE141" s="51"/>
      <c r="AF141" s="13"/>
      <c r="AG141" s="51"/>
    </row>
    <row r="142" spans="1:33" hidden="1" x14ac:dyDescent="0.35">
      <c r="A142" s="7" t="s">
        <v>143</v>
      </c>
      <c r="B142" s="8" t="s">
        <v>66</v>
      </c>
      <c r="C142" s="8" t="s">
        <v>163</v>
      </c>
      <c r="D142" s="9">
        <v>1</v>
      </c>
      <c r="E142" s="10">
        <f t="shared" si="28"/>
        <v>0</v>
      </c>
      <c r="F142" s="11">
        <v>2909.02</v>
      </c>
      <c r="G142" s="12">
        <v>35</v>
      </c>
      <c r="H142" s="12">
        <f t="shared" si="29"/>
        <v>1018.1569999999999</v>
      </c>
      <c r="I142" s="13">
        <v>2</v>
      </c>
      <c r="J142" s="13">
        <f t="shared" si="14"/>
        <v>70</v>
      </c>
      <c r="K142" s="14"/>
      <c r="L142" s="15">
        <v>1</v>
      </c>
      <c r="M142" s="22">
        <f t="shared" si="30"/>
        <v>0</v>
      </c>
      <c r="N142" s="22"/>
      <c r="O142" s="22"/>
      <c r="P142" s="22"/>
      <c r="Q142" s="22"/>
      <c r="R142" s="22"/>
      <c r="S142" s="99"/>
      <c r="T142" s="99"/>
      <c r="U142" s="99"/>
      <c r="V142" s="99"/>
      <c r="W142" s="13"/>
      <c r="X142" s="13"/>
      <c r="Y142" s="13"/>
      <c r="Z142" s="51"/>
      <c r="AA142" s="51"/>
      <c r="AB142" s="13"/>
      <c r="AC142" s="51"/>
      <c r="AD142" s="51"/>
      <c r="AE142" s="51"/>
      <c r="AF142" s="13"/>
      <c r="AG142" s="51"/>
    </row>
    <row r="143" spans="1:33" x14ac:dyDescent="0.35">
      <c r="A143" s="7"/>
      <c r="B143" s="8"/>
      <c r="C143" s="8"/>
      <c r="D143" s="9"/>
      <c r="E143" s="10"/>
      <c r="F143" s="11"/>
      <c r="G143" s="12"/>
      <c r="H143" s="12"/>
      <c r="I143" s="13"/>
      <c r="J143" s="13"/>
      <c r="K143" s="14"/>
      <c r="L143" s="15"/>
      <c r="M143" s="16">
        <f t="shared" si="30"/>
        <v>0</v>
      </c>
      <c r="N143" s="44"/>
      <c r="O143" s="44"/>
      <c r="P143" s="44"/>
      <c r="Q143" s="44"/>
      <c r="R143" s="44"/>
      <c r="W143" s="13"/>
      <c r="X143" s="13"/>
      <c r="Y143" s="13"/>
      <c r="Z143" s="51"/>
      <c r="AA143" s="51"/>
      <c r="AB143" s="13"/>
      <c r="AC143" s="51"/>
      <c r="AD143" s="51"/>
      <c r="AE143" s="51"/>
      <c r="AF143" s="13"/>
      <c r="AG143" s="51"/>
    </row>
    <row r="144" spans="1:33" x14ac:dyDescent="0.35">
      <c r="A144" s="7" t="s">
        <v>164</v>
      </c>
      <c r="B144" s="8" t="s">
        <v>51</v>
      </c>
      <c r="C144" s="8" t="s">
        <v>170</v>
      </c>
      <c r="D144" s="9">
        <v>2</v>
      </c>
      <c r="E144" s="10">
        <f>M144</f>
        <v>14283.096</v>
      </c>
      <c r="F144" s="11">
        <v>11902.58</v>
      </c>
      <c r="G144" s="12">
        <v>25</v>
      </c>
      <c r="H144" s="12">
        <f>F144*G144/100</f>
        <v>2975.645</v>
      </c>
      <c r="I144" s="13">
        <v>6</v>
      </c>
      <c r="J144" s="13">
        <f t="shared" si="14"/>
        <v>150</v>
      </c>
      <c r="K144" s="14">
        <f>F144*J144/100</f>
        <v>17853.87</v>
      </c>
      <c r="L144" s="15">
        <v>0.8</v>
      </c>
      <c r="M144" s="16">
        <f t="shared" si="30"/>
        <v>14283.096</v>
      </c>
      <c r="N144" s="16">
        <f>+F144*0.4*6</f>
        <v>28566.192000000003</v>
      </c>
      <c r="O144" s="16" t="s">
        <v>175</v>
      </c>
      <c r="P144" s="16"/>
      <c r="Q144" s="16"/>
      <c r="R144" s="16"/>
      <c r="S144" s="105">
        <f>SUM(F144:F148)</f>
        <v>31411.79</v>
      </c>
      <c r="T144" s="105">
        <f>SUM(H144:H148)</f>
        <v>7852.9475000000002</v>
      </c>
      <c r="U144" s="105">
        <f>SUM(K144:K148)</f>
        <v>47117.684999999998</v>
      </c>
      <c r="V144" s="105">
        <f>SUM(M144:M148)</f>
        <v>37694.148000000001</v>
      </c>
      <c r="W144" s="13">
        <v>954</v>
      </c>
      <c r="X144" s="13">
        <v>1</v>
      </c>
      <c r="Y144" s="13">
        <f t="shared" ref="Y144:Y148" si="31">W144*X144</f>
        <v>954</v>
      </c>
      <c r="Z144" s="51">
        <f t="shared" ref="Z144:Z148" si="32">Y144*K144</f>
        <v>17032591.98</v>
      </c>
      <c r="AA144" s="51">
        <f t="shared" ref="AA144:AA148" si="33">Z144*13.64%</f>
        <v>2323245.5460720002</v>
      </c>
      <c r="AB144" s="13">
        <v>400</v>
      </c>
      <c r="AC144" s="51">
        <f t="shared" ref="AC144:AC148" si="34">AB144*F144</f>
        <v>4761032</v>
      </c>
      <c r="AD144" s="52">
        <f t="shared" ref="AD144:AD148" si="35">AA144-AC144</f>
        <v>-2437786.4539279998</v>
      </c>
      <c r="AE144" s="51">
        <f t="shared" ref="AE144:AE148" si="36">AD144*30%</f>
        <v>-731335.93617839995</v>
      </c>
      <c r="AF144" s="13"/>
      <c r="AG144" s="52">
        <f t="shared" ref="AG144:AG148" si="37">AE144</f>
        <v>-731335.93617839995</v>
      </c>
    </row>
    <row r="145" spans="1:33" x14ac:dyDescent="0.35">
      <c r="A145" s="7" t="s">
        <v>164</v>
      </c>
      <c r="B145" s="8" t="s">
        <v>51</v>
      </c>
      <c r="C145" s="8" t="s">
        <v>171</v>
      </c>
      <c r="D145" s="9">
        <v>2</v>
      </c>
      <c r="E145" s="10">
        <f>M145</f>
        <v>8097.2279999999992</v>
      </c>
      <c r="F145" s="11">
        <v>6747.69</v>
      </c>
      <c r="G145" s="12">
        <v>25</v>
      </c>
      <c r="H145" s="12">
        <f>F145*G145/100</f>
        <v>1686.9224999999999</v>
      </c>
      <c r="I145" s="13">
        <v>6</v>
      </c>
      <c r="J145" s="13">
        <f t="shared" si="14"/>
        <v>150</v>
      </c>
      <c r="K145" s="14">
        <f>F145*J145/100</f>
        <v>10121.534999999998</v>
      </c>
      <c r="L145" s="15">
        <v>0.8</v>
      </c>
      <c r="M145" s="16">
        <f t="shared" si="30"/>
        <v>8097.2279999999992</v>
      </c>
      <c r="N145" s="16">
        <f t="shared" ref="N145:N148" si="38">+F145*0.4*6</f>
        <v>16194.456</v>
      </c>
      <c r="O145" s="16" t="s">
        <v>175</v>
      </c>
      <c r="P145" s="16"/>
      <c r="Q145" s="16"/>
      <c r="R145" s="16"/>
      <c r="S145" s="106"/>
      <c r="T145" s="106"/>
      <c r="U145" s="106"/>
      <c r="V145" s="106"/>
      <c r="W145" s="13">
        <v>954</v>
      </c>
      <c r="X145" s="13">
        <v>1</v>
      </c>
      <c r="Y145" s="13">
        <f t="shared" si="31"/>
        <v>954</v>
      </c>
      <c r="Z145" s="51">
        <f t="shared" si="32"/>
        <v>9655944.3899999987</v>
      </c>
      <c r="AA145" s="51">
        <f t="shared" si="33"/>
        <v>1317070.8147959998</v>
      </c>
      <c r="AB145" s="13">
        <v>400</v>
      </c>
      <c r="AC145" s="51">
        <f t="shared" si="34"/>
        <v>2699076</v>
      </c>
      <c r="AD145" s="52">
        <f t="shared" si="35"/>
        <v>-1382005.1852040002</v>
      </c>
      <c r="AE145" s="51">
        <f t="shared" si="36"/>
        <v>-414601.55556120008</v>
      </c>
      <c r="AF145" s="13"/>
      <c r="AG145" s="52">
        <f t="shared" si="37"/>
        <v>-414601.55556120008</v>
      </c>
    </row>
    <row r="146" spans="1:33" x14ac:dyDescent="0.35">
      <c r="A146" s="7" t="s">
        <v>164</v>
      </c>
      <c r="B146" s="8" t="s">
        <v>51</v>
      </c>
      <c r="C146" s="8" t="s">
        <v>172</v>
      </c>
      <c r="D146" s="9">
        <v>2</v>
      </c>
      <c r="E146" s="10">
        <f>M146</f>
        <v>6570.24</v>
      </c>
      <c r="F146" s="11">
        <v>5475.2</v>
      </c>
      <c r="G146" s="12">
        <v>25</v>
      </c>
      <c r="H146" s="12">
        <f>F146*G146/100</f>
        <v>1368.8</v>
      </c>
      <c r="I146" s="13">
        <v>6</v>
      </c>
      <c r="J146" s="13">
        <f t="shared" si="14"/>
        <v>150</v>
      </c>
      <c r="K146" s="14">
        <f>F146*J146/100</f>
        <v>8212.7999999999993</v>
      </c>
      <c r="L146" s="15">
        <v>0.8</v>
      </c>
      <c r="M146" s="16">
        <f t="shared" si="30"/>
        <v>6570.24</v>
      </c>
      <c r="N146" s="16">
        <f t="shared" si="38"/>
        <v>13140.48</v>
      </c>
      <c r="O146" s="16" t="s">
        <v>175</v>
      </c>
      <c r="P146" s="16"/>
      <c r="Q146" s="16"/>
      <c r="R146" s="16"/>
      <c r="S146" s="106"/>
      <c r="T146" s="106"/>
      <c r="U146" s="106"/>
      <c r="V146" s="106"/>
      <c r="W146" s="13">
        <v>954</v>
      </c>
      <c r="X146" s="13">
        <v>1</v>
      </c>
      <c r="Y146" s="13">
        <f t="shared" si="31"/>
        <v>954</v>
      </c>
      <c r="Z146" s="51">
        <f t="shared" si="32"/>
        <v>7835011.1999999993</v>
      </c>
      <c r="AA146" s="51">
        <f t="shared" si="33"/>
        <v>1068695.5276799998</v>
      </c>
      <c r="AB146" s="13">
        <v>400</v>
      </c>
      <c r="AC146" s="51">
        <f t="shared" si="34"/>
        <v>2190080</v>
      </c>
      <c r="AD146" s="52">
        <f t="shared" si="35"/>
        <v>-1121384.4723200002</v>
      </c>
      <c r="AE146" s="51">
        <f t="shared" si="36"/>
        <v>-336415.34169600002</v>
      </c>
      <c r="AF146" s="13"/>
      <c r="AG146" s="52">
        <f t="shared" si="37"/>
        <v>-336415.34169600002</v>
      </c>
    </row>
    <row r="147" spans="1:33" x14ac:dyDescent="0.35">
      <c r="A147" s="7" t="s">
        <v>164</v>
      </c>
      <c r="B147" s="8" t="s">
        <v>51</v>
      </c>
      <c r="C147" s="8" t="s">
        <v>173</v>
      </c>
      <c r="D147" s="9">
        <v>1</v>
      </c>
      <c r="E147" s="10">
        <f>M147</f>
        <v>4952.1240000000016</v>
      </c>
      <c r="F147" s="11">
        <v>4126.7700000000004</v>
      </c>
      <c r="G147" s="12">
        <v>25</v>
      </c>
      <c r="H147" s="12">
        <f>F147*G147/100</f>
        <v>1031.6925000000001</v>
      </c>
      <c r="I147" s="13">
        <v>6</v>
      </c>
      <c r="J147" s="13">
        <f t="shared" si="14"/>
        <v>150</v>
      </c>
      <c r="K147" s="14">
        <f>F147*J147/100</f>
        <v>6190.1550000000016</v>
      </c>
      <c r="L147" s="15">
        <v>0.8</v>
      </c>
      <c r="M147" s="16">
        <f t="shared" si="30"/>
        <v>4952.1240000000016</v>
      </c>
      <c r="N147" s="16">
        <f t="shared" si="38"/>
        <v>9904.2480000000014</v>
      </c>
      <c r="O147" s="16" t="s">
        <v>175</v>
      </c>
      <c r="P147" s="16"/>
      <c r="Q147" s="16"/>
      <c r="R147" s="16"/>
      <c r="S147" s="106"/>
      <c r="T147" s="106"/>
      <c r="U147" s="106"/>
      <c r="V147" s="106"/>
      <c r="W147" s="13">
        <v>954</v>
      </c>
      <c r="X147" s="13">
        <v>1</v>
      </c>
      <c r="Y147" s="13">
        <f t="shared" si="31"/>
        <v>954</v>
      </c>
      <c r="Z147" s="51">
        <f t="shared" si="32"/>
        <v>5905407.870000001</v>
      </c>
      <c r="AA147" s="51">
        <f t="shared" si="33"/>
        <v>805497.6334680001</v>
      </c>
      <c r="AB147" s="13">
        <v>400</v>
      </c>
      <c r="AC147" s="51">
        <f t="shared" si="34"/>
        <v>1650708.0000000002</v>
      </c>
      <c r="AD147" s="52">
        <f t="shared" si="35"/>
        <v>-845210.36653200013</v>
      </c>
      <c r="AE147" s="51">
        <f t="shared" si="36"/>
        <v>-253563.10995960003</v>
      </c>
      <c r="AF147" s="13"/>
      <c r="AG147" s="52">
        <f t="shared" si="37"/>
        <v>-253563.10995960003</v>
      </c>
    </row>
    <row r="148" spans="1:33" x14ac:dyDescent="0.35">
      <c r="A148" s="7" t="s">
        <v>164</v>
      </c>
      <c r="B148" s="8" t="s">
        <v>51</v>
      </c>
      <c r="C148" s="8" t="s">
        <v>174</v>
      </c>
      <c r="D148" s="9">
        <v>2</v>
      </c>
      <c r="E148" s="10">
        <f>M148</f>
        <v>3791.46</v>
      </c>
      <c r="F148" s="11">
        <v>3159.55</v>
      </c>
      <c r="G148" s="12">
        <v>25</v>
      </c>
      <c r="H148" s="12">
        <f>F148*G148/100</f>
        <v>789.88750000000005</v>
      </c>
      <c r="I148" s="13">
        <v>6</v>
      </c>
      <c r="J148" s="13">
        <f t="shared" si="14"/>
        <v>150</v>
      </c>
      <c r="K148" s="14">
        <f>F148*J148/100</f>
        <v>4739.3249999999998</v>
      </c>
      <c r="L148" s="15">
        <v>0.8</v>
      </c>
      <c r="M148" s="16">
        <f t="shared" si="30"/>
        <v>3791.46</v>
      </c>
      <c r="N148" s="16">
        <f t="shared" si="38"/>
        <v>7582.920000000001</v>
      </c>
      <c r="O148" s="16" t="s">
        <v>175</v>
      </c>
      <c r="P148" s="16"/>
      <c r="Q148" s="16"/>
      <c r="R148" s="16"/>
      <c r="S148" s="106"/>
      <c r="T148" s="106"/>
      <c r="U148" s="106"/>
      <c r="V148" s="106"/>
      <c r="W148" s="13">
        <v>954</v>
      </c>
      <c r="X148" s="13">
        <v>1</v>
      </c>
      <c r="Y148" s="13">
        <f t="shared" si="31"/>
        <v>954</v>
      </c>
      <c r="Z148" s="51">
        <f t="shared" si="32"/>
        <v>4521316.05</v>
      </c>
      <c r="AA148" s="51">
        <f t="shared" si="33"/>
        <v>616707.50921999989</v>
      </c>
      <c r="AB148" s="13">
        <v>400</v>
      </c>
      <c r="AC148" s="51">
        <f t="shared" si="34"/>
        <v>1263820</v>
      </c>
      <c r="AD148" s="52">
        <f t="shared" si="35"/>
        <v>-647112.49078000011</v>
      </c>
      <c r="AE148" s="51">
        <f t="shared" si="36"/>
        <v>-194133.74723400004</v>
      </c>
      <c r="AF148" s="13"/>
      <c r="AG148" s="52">
        <f t="shared" si="37"/>
        <v>-194133.74723400004</v>
      </c>
    </row>
    <row r="149" spans="1:33" x14ac:dyDescent="0.35">
      <c r="Z149" s="51">
        <f>SUM(Z6:Z148)</f>
        <v>1046364728.7390602</v>
      </c>
      <c r="AA149" s="51">
        <f>SUM(AA6:AA148)</f>
        <v>142724149.00000784</v>
      </c>
    </row>
    <row r="150" spans="1:33" ht="39.6" customHeight="1" x14ac:dyDescent="0.25">
      <c r="A150" s="24" t="s">
        <v>165</v>
      </c>
      <c r="B150" s="24"/>
      <c r="C150" s="24"/>
      <c r="D150" s="24"/>
      <c r="E150" s="25">
        <f>SUM(E3:E149)</f>
        <v>133893.22080500002</v>
      </c>
      <c r="F150" s="25">
        <f>SUM(F3:F149)</f>
        <v>341468.71</v>
      </c>
      <c r="G150" s="24"/>
      <c r="H150" s="25">
        <f>SUM(H3:H149)</f>
        <v>123317.54449999999</v>
      </c>
      <c r="I150" s="24"/>
      <c r="J150" s="24"/>
      <c r="K150" s="25">
        <f>SUM(K3:K149)</f>
        <v>692152.36849999998</v>
      </c>
      <c r="L150" s="24"/>
      <c r="M150" s="25">
        <f>SUM(M3:M149)</f>
        <v>502272.2875700001</v>
      </c>
      <c r="N150" s="25"/>
      <c r="O150" s="25"/>
      <c r="P150" s="50">
        <f>SUM(P3:P149)</f>
        <v>182532.26388482854</v>
      </c>
      <c r="Q150" s="50">
        <f>SUM(Q4:Q149)</f>
        <v>53581.286124300001</v>
      </c>
      <c r="R150" s="25"/>
      <c r="S150" s="26">
        <f>SUM(S3:S148)</f>
        <v>341468.70999999996</v>
      </c>
      <c r="T150" s="26">
        <f>SUM(T3:T148)</f>
        <v>123317.54449999999</v>
      </c>
      <c r="U150" s="26">
        <f>SUM(U3:U148)</f>
        <v>692152.36849999987</v>
      </c>
      <c r="V150" s="26">
        <f>SUM(V3:V148)</f>
        <v>502272.28757000004</v>
      </c>
    </row>
    <row r="151" spans="1:33" ht="23.25" x14ac:dyDescent="0.35">
      <c r="E151" s="30" t="s">
        <v>166</v>
      </c>
      <c r="F151" s="31">
        <v>535968</v>
      </c>
      <c r="H151" s="33"/>
      <c r="Z151" s="51">
        <f>Z149+AA149</f>
        <v>1189088877.739068</v>
      </c>
      <c r="AD151" s="51">
        <f>SUM(AD6:AD148)</f>
        <v>46095529.000007764</v>
      </c>
      <c r="AG151" s="51">
        <f>SUM(AG6:AG148)</f>
        <v>10873330.783911642</v>
      </c>
    </row>
    <row r="152" spans="1:33" ht="31.5" x14ac:dyDescent="0.5">
      <c r="E152" s="30"/>
      <c r="F152" s="36">
        <f>F150/535968</f>
        <v>0.63710652501641896</v>
      </c>
      <c r="H152" s="33"/>
      <c r="S152" s="37"/>
    </row>
    <row r="155" spans="1:33" x14ac:dyDescent="0.35">
      <c r="B155" t="s">
        <v>167</v>
      </c>
      <c r="C155" s="38">
        <v>31165.409999999996</v>
      </c>
      <c r="D155" s="29">
        <f>SUM(F45:F72)</f>
        <v>31143.46</v>
      </c>
      <c r="F155" s="40">
        <f>F150-2000-14000</f>
        <v>325468.71000000002</v>
      </c>
    </row>
    <row r="156" spans="1:33" x14ac:dyDescent="0.35">
      <c r="B156" t="s">
        <v>168</v>
      </c>
      <c r="C156" s="41">
        <v>35008.953000000009</v>
      </c>
      <c r="D156" s="29">
        <f>SUM(F80:F121)</f>
        <v>35326.649999999994</v>
      </c>
      <c r="F156" s="40">
        <f>F155*320</f>
        <v>104149987.2</v>
      </c>
    </row>
    <row r="157" spans="1:33" x14ac:dyDescent="0.35">
      <c r="B157" t="s">
        <v>169</v>
      </c>
      <c r="C157" s="38">
        <v>35400.080000000009</v>
      </c>
      <c r="D157" s="29">
        <f>SUM(F123:F142)</f>
        <v>33427.050000000003</v>
      </c>
      <c r="F157" s="40">
        <f>F155*211</f>
        <v>68673897.810000002</v>
      </c>
    </row>
    <row r="158" spans="1:33" x14ac:dyDescent="0.35">
      <c r="B158"/>
      <c r="C158" s="38">
        <v>101574.44300000003</v>
      </c>
      <c r="D158" s="29">
        <f>SUM(D155:D157)</f>
        <v>99897.159999999989</v>
      </c>
      <c r="E158" s="39">
        <f>C158-D158</f>
        <v>1677.2830000000395</v>
      </c>
      <c r="F158" s="40">
        <f>F156-F157</f>
        <v>35476089.390000001</v>
      </c>
    </row>
    <row r="161" spans="2:4" x14ac:dyDescent="0.35">
      <c r="B161" s="28" t="s">
        <v>60</v>
      </c>
      <c r="C161" s="42">
        <v>3215</v>
      </c>
      <c r="D161" s="11">
        <v>2945.28</v>
      </c>
    </row>
    <row r="162" spans="2:4" x14ac:dyDescent="0.35">
      <c r="B162" s="28" t="s">
        <v>65</v>
      </c>
      <c r="C162" s="42">
        <v>2890</v>
      </c>
      <c r="D162" s="11">
        <v>2695.36</v>
      </c>
    </row>
    <row r="163" spans="2:4" x14ac:dyDescent="0.35">
      <c r="B163" s="28" t="s">
        <v>67</v>
      </c>
      <c r="C163" s="42">
        <v>2967</v>
      </c>
      <c r="D163" s="11">
        <v>2771.98</v>
      </c>
    </row>
    <row r="164" spans="2:4" x14ac:dyDescent="0.35">
      <c r="B164" s="28" t="s">
        <v>68</v>
      </c>
      <c r="C164" s="42">
        <v>2941</v>
      </c>
      <c r="D164" s="11">
        <v>2752.77</v>
      </c>
    </row>
    <row r="165" spans="2:4" x14ac:dyDescent="0.35">
      <c r="C165" s="28">
        <f>SUM(C161:C164)</f>
        <v>12013</v>
      </c>
      <c r="D165" s="29">
        <f>SUM(D161:D164)</f>
        <v>11165.390000000001</v>
      </c>
    </row>
  </sheetData>
  <mergeCells count="61">
    <mergeCell ref="S74:S78"/>
    <mergeCell ref="T74:T78"/>
    <mergeCell ref="U74:U78"/>
    <mergeCell ref="V74:V78"/>
    <mergeCell ref="S144:S148"/>
    <mergeCell ref="T144:T148"/>
    <mergeCell ref="U144:U148"/>
    <mergeCell ref="V144:V148"/>
    <mergeCell ref="S80:S121"/>
    <mergeCell ref="T80:T121"/>
    <mergeCell ref="U80:U121"/>
    <mergeCell ref="V80:V121"/>
    <mergeCell ref="S123:S142"/>
    <mergeCell ref="T123:T142"/>
    <mergeCell ref="U123:U142"/>
    <mergeCell ref="V123:V142"/>
    <mergeCell ref="S40:S43"/>
    <mergeCell ref="T40:T43"/>
    <mergeCell ref="U40:U43"/>
    <mergeCell ref="V40:V43"/>
    <mergeCell ref="S45:S72"/>
    <mergeCell ref="T45:T72"/>
    <mergeCell ref="U45:U72"/>
    <mergeCell ref="V45:V72"/>
    <mergeCell ref="S32:S33"/>
    <mergeCell ref="T32:T33"/>
    <mergeCell ref="U32:U33"/>
    <mergeCell ref="V32:V33"/>
    <mergeCell ref="S35:S36"/>
    <mergeCell ref="T35:T36"/>
    <mergeCell ref="U35:U36"/>
    <mergeCell ref="V35:V36"/>
    <mergeCell ref="S23:S27"/>
    <mergeCell ref="T23:T27"/>
    <mergeCell ref="U23:U27"/>
    <mergeCell ref="V23:V27"/>
    <mergeCell ref="S29:S30"/>
    <mergeCell ref="T29:T30"/>
    <mergeCell ref="U29:U30"/>
    <mergeCell ref="V29:V30"/>
    <mergeCell ref="S10:S18"/>
    <mergeCell ref="T10:T18"/>
    <mergeCell ref="U10:U18"/>
    <mergeCell ref="V10:V18"/>
    <mergeCell ref="S20:S21"/>
    <mergeCell ref="T20:T21"/>
    <mergeCell ref="U20:U21"/>
    <mergeCell ref="V20:V21"/>
    <mergeCell ref="S6:S7"/>
    <mergeCell ref="T6:T7"/>
    <mergeCell ref="U6:U7"/>
    <mergeCell ref="V6:V7"/>
    <mergeCell ref="S3:S4"/>
    <mergeCell ref="T3:T4"/>
    <mergeCell ref="U3:U4"/>
    <mergeCell ref="V3:V4"/>
    <mergeCell ref="A1:M1"/>
    <mergeCell ref="P1:R1"/>
    <mergeCell ref="S1:V1"/>
    <mergeCell ref="W1:AA1"/>
    <mergeCell ref="AB1:A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2"/>
  <sheetViews>
    <sheetView tabSelected="1" topLeftCell="H1" workbookViewId="0">
      <selection activeCell="M10" sqref="M10"/>
    </sheetView>
  </sheetViews>
  <sheetFormatPr baseColWidth="10" defaultRowHeight="15" x14ac:dyDescent="0.25"/>
  <cols>
    <col min="1" max="1" width="14.140625" bestFit="1" customWidth="1"/>
    <col min="6" max="6" width="18.7109375" bestFit="1" customWidth="1"/>
    <col min="7" max="7" width="14.28515625" bestFit="1" customWidth="1"/>
    <col min="8" max="8" width="11.7109375" bestFit="1" customWidth="1"/>
    <col min="11" max="11" width="14.140625" bestFit="1" customWidth="1"/>
  </cols>
  <sheetData>
    <row r="2" spans="1:24" x14ac:dyDescent="0.25">
      <c r="A2" s="58" t="s">
        <v>213</v>
      </c>
      <c r="B2" s="59"/>
      <c r="C2" s="59"/>
      <c r="D2" s="60"/>
      <c r="F2" s="58" t="s">
        <v>214</v>
      </c>
      <c r="G2" s="59"/>
      <c r="H2" s="59"/>
      <c r="I2" s="60"/>
      <c r="K2" s="58" t="s">
        <v>215</v>
      </c>
      <c r="L2" s="59"/>
      <c r="M2" s="59"/>
      <c r="N2" s="60"/>
      <c r="P2" s="58" t="s">
        <v>216</v>
      </c>
      <c r="Q2" s="59"/>
      <c r="R2" s="59"/>
      <c r="S2" s="60"/>
      <c r="U2" s="58" t="s">
        <v>217</v>
      </c>
      <c r="V2" s="59"/>
      <c r="W2" s="59"/>
      <c r="X2" s="60"/>
    </row>
    <row r="3" spans="1:24" x14ac:dyDescent="0.25">
      <c r="A3" s="61"/>
      <c r="B3" s="57" t="s">
        <v>206</v>
      </c>
      <c r="C3" s="57" t="s">
        <v>207</v>
      </c>
      <c r="D3" s="109" t="s">
        <v>205</v>
      </c>
      <c r="F3" s="61"/>
      <c r="G3" s="57" t="s">
        <v>206</v>
      </c>
      <c r="H3" s="57" t="s">
        <v>207</v>
      </c>
      <c r="I3" s="109" t="s">
        <v>205</v>
      </c>
      <c r="K3" s="61"/>
      <c r="L3" s="57" t="s">
        <v>206</v>
      </c>
      <c r="M3" s="57" t="s">
        <v>207</v>
      </c>
      <c r="N3" s="109" t="s">
        <v>205</v>
      </c>
      <c r="P3" s="61"/>
      <c r="Q3" s="57" t="s">
        <v>206</v>
      </c>
      <c r="R3" s="57" t="s">
        <v>207</v>
      </c>
      <c r="S3" s="109" t="s">
        <v>205</v>
      </c>
      <c r="U3" s="61"/>
      <c r="V3" s="57" t="s">
        <v>206</v>
      </c>
      <c r="W3" s="57" t="s">
        <v>207</v>
      </c>
      <c r="X3" s="109" t="s">
        <v>205</v>
      </c>
    </row>
    <row r="4" spans="1:24" x14ac:dyDescent="0.25">
      <c r="A4" s="61" t="s">
        <v>200</v>
      </c>
      <c r="B4" s="76">
        <v>65</v>
      </c>
      <c r="C4" s="67">
        <v>110</v>
      </c>
      <c r="D4" s="109"/>
      <c r="F4" s="61" t="s">
        <v>200</v>
      </c>
      <c r="G4" s="76">
        <v>15</v>
      </c>
      <c r="H4" s="74">
        <f>I8/3.6</f>
        <v>38.888888888888886</v>
      </c>
      <c r="I4" s="109"/>
      <c r="K4" s="61" t="s">
        <v>200</v>
      </c>
      <c r="L4" s="76">
        <v>30</v>
      </c>
      <c r="M4" s="74">
        <f>N8/3.6</f>
        <v>50.555555555555557</v>
      </c>
      <c r="N4" s="109"/>
      <c r="P4" s="61" t="s">
        <v>200</v>
      </c>
      <c r="Q4" s="76">
        <v>19</v>
      </c>
      <c r="R4" s="74">
        <f>S8/3.6</f>
        <v>55.555555555555557</v>
      </c>
      <c r="S4" s="109"/>
      <c r="U4" s="61" t="s">
        <v>200</v>
      </c>
      <c r="V4" s="76">
        <v>6</v>
      </c>
      <c r="W4" s="74">
        <f>X8/3.6</f>
        <v>35.555555555555557</v>
      </c>
      <c r="X4" s="109"/>
    </row>
    <row r="5" spans="1:24" x14ac:dyDescent="0.25">
      <c r="A5" s="61" t="s">
        <v>201</v>
      </c>
      <c r="B5" s="77">
        <f>B4*35%</f>
        <v>22.75</v>
      </c>
      <c r="C5" s="67">
        <f>C4*35%</f>
        <v>38.5</v>
      </c>
      <c r="D5" s="109"/>
      <c r="F5" s="61" t="s">
        <v>201</v>
      </c>
      <c r="G5" s="77">
        <f>G4*35%</f>
        <v>5.25</v>
      </c>
      <c r="H5" s="74">
        <f>H4*35%</f>
        <v>13.611111111111109</v>
      </c>
      <c r="I5" s="109"/>
      <c r="K5" s="61" t="s">
        <v>201</v>
      </c>
      <c r="L5" s="77">
        <f>L4*35%</f>
        <v>10.5</v>
      </c>
      <c r="M5" s="74">
        <f>M4*35%</f>
        <v>17.694444444444443</v>
      </c>
      <c r="N5" s="109"/>
      <c r="P5" s="61" t="s">
        <v>201</v>
      </c>
      <c r="Q5" s="77">
        <f>Q4*35%</f>
        <v>6.6499999999999995</v>
      </c>
      <c r="R5" s="74">
        <f>R4*35%</f>
        <v>19.444444444444443</v>
      </c>
      <c r="S5" s="109"/>
      <c r="U5" s="61" t="s">
        <v>201</v>
      </c>
      <c r="V5" s="77">
        <f>V4*35%</f>
        <v>2.0999999999999996</v>
      </c>
      <c r="W5" s="74">
        <f>W4*35%</f>
        <v>12.444444444444445</v>
      </c>
      <c r="X5" s="109"/>
    </row>
    <row r="6" spans="1:24" x14ac:dyDescent="0.25">
      <c r="A6" s="61" t="s">
        <v>202</v>
      </c>
      <c r="B6" s="77">
        <v>45</v>
      </c>
      <c r="C6" s="67">
        <v>45</v>
      </c>
      <c r="D6" s="109"/>
      <c r="F6" s="61" t="s">
        <v>202</v>
      </c>
      <c r="G6" s="77">
        <v>45</v>
      </c>
      <c r="H6" s="67">
        <v>45</v>
      </c>
      <c r="I6" s="109"/>
      <c r="K6" s="61" t="s">
        <v>202</v>
      </c>
      <c r="L6" s="77">
        <v>45</v>
      </c>
      <c r="M6" s="67">
        <v>45</v>
      </c>
      <c r="N6" s="109"/>
      <c r="P6" s="61" t="s">
        <v>202</v>
      </c>
      <c r="Q6" s="77">
        <v>45</v>
      </c>
      <c r="R6" s="67">
        <v>45</v>
      </c>
      <c r="S6" s="109"/>
      <c r="U6" s="61" t="s">
        <v>202</v>
      </c>
      <c r="V6" s="77">
        <v>45</v>
      </c>
      <c r="W6" s="67">
        <v>45</v>
      </c>
      <c r="X6" s="109"/>
    </row>
    <row r="7" spans="1:24" x14ac:dyDescent="0.25">
      <c r="A7" s="61" t="s">
        <v>203</v>
      </c>
      <c r="B7" s="78">
        <v>41.5</v>
      </c>
      <c r="C7" s="79">
        <v>41.5</v>
      </c>
      <c r="D7" s="109"/>
      <c r="F7" s="61" t="s">
        <v>203</v>
      </c>
      <c r="G7" s="78">
        <v>21.81</v>
      </c>
      <c r="H7" s="79">
        <v>21.81</v>
      </c>
      <c r="I7" s="109"/>
      <c r="K7" s="61" t="s">
        <v>203</v>
      </c>
      <c r="L7" s="78">
        <v>36.36</v>
      </c>
      <c r="M7" s="79">
        <v>36.36</v>
      </c>
      <c r="N7" s="109"/>
      <c r="P7" s="61" t="s">
        <v>203</v>
      </c>
      <c r="Q7" s="78">
        <v>20.89</v>
      </c>
      <c r="R7" s="79">
        <v>20.89</v>
      </c>
      <c r="S7" s="109"/>
      <c r="U7" s="61" t="s">
        <v>203</v>
      </c>
      <c r="V7" s="78">
        <v>2.42</v>
      </c>
      <c r="W7" s="79">
        <v>2.42</v>
      </c>
      <c r="X7" s="109"/>
    </row>
    <row r="8" spans="1:24" x14ac:dyDescent="0.25">
      <c r="A8" s="63" t="s">
        <v>204</v>
      </c>
      <c r="B8" s="64">
        <f>SUM(B4:B7)</f>
        <v>174.25</v>
      </c>
      <c r="C8" s="69">
        <f>SUM(C4:C7)</f>
        <v>235</v>
      </c>
      <c r="D8" s="75">
        <v>458</v>
      </c>
      <c r="F8" s="63" t="s">
        <v>204</v>
      </c>
      <c r="G8" s="64">
        <f>SUM(G4:G7)</f>
        <v>87.06</v>
      </c>
      <c r="H8" s="69">
        <f>SUM(H4:H7)</f>
        <v>119.31</v>
      </c>
      <c r="I8" s="75">
        <v>140</v>
      </c>
      <c r="K8" s="63" t="s">
        <v>204</v>
      </c>
      <c r="L8" s="64">
        <f>SUM(L4:L7)</f>
        <v>121.86</v>
      </c>
      <c r="M8" s="69">
        <f>SUM(M4:M7)</f>
        <v>149.61000000000001</v>
      </c>
      <c r="N8" s="75">
        <v>182</v>
      </c>
      <c r="P8" s="63" t="s">
        <v>204</v>
      </c>
      <c r="Q8" s="64">
        <f>SUM(Q4:Q7)</f>
        <v>91.54</v>
      </c>
      <c r="R8" s="69">
        <f>SUM(R4:R7)</f>
        <v>140.88999999999999</v>
      </c>
      <c r="S8" s="75">
        <v>200</v>
      </c>
      <c r="U8" s="63" t="s">
        <v>204</v>
      </c>
      <c r="V8" s="64">
        <f>SUM(V4:V7)</f>
        <v>55.52</v>
      </c>
      <c r="W8" s="69">
        <f>SUM(W4:W7)</f>
        <v>95.42</v>
      </c>
      <c r="X8" s="75">
        <v>128</v>
      </c>
    </row>
    <row r="9" spans="1:24" x14ac:dyDescent="0.25">
      <c r="A9" s="61"/>
      <c r="B9" s="62"/>
      <c r="C9" s="62"/>
      <c r="D9" s="65"/>
      <c r="F9" s="61"/>
      <c r="G9" s="62"/>
      <c r="H9" s="62"/>
      <c r="I9" s="65"/>
      <c r="K9" s="61"/>
      <c r="L9" s="62"/>
      <c r="M9" s="62"/>
      <c r="N9" s="65"/>
      <c r="P9" s="61"/>
      <c r="Q9" s="62"/>
      <c r="R9" s="62"/>
      <c r="S9" s="65"/>
      <c r="U9" s="61"/>
      <c r="V9" s="62"/>
      <c r="W9" s="62"/>
      <c r="X9" s="65"/>
    </row>
    <row r="10" spans="1:24" x14ac:dyDescent="0.25">
      <c r="A10" s="61"/>
      <c r="B10" s="62"/>
      <c r="C10" s="62"/>
      <c r="D10" s="65"/>
      <c r="F10" s="61"/>
      <c r="G10" s="62"/>
      <c r="H10" s="62"/>
      <c r="I10" s="65"/>
      <c r="K10" s="61"/>
      <c r="L10" s="62"/>
      <c r="M10" s="62"/>
      <c r="N10" s="65"/>
      <c r="P10" s="61"/>
      <c r="Q10" s="62"/>
      <c r="R10" s="62"/>
      <c r="S10" s="65"/>
      <c r="U10" s="61"/>
      <c r="V10" s="62"/>
      <c r="W10" s="62"/>
      <c r="X10" s="65"/>
    </row>
    <row r="11" spans="1:24" x14ac:dyDescent="0.25">
      <c r="A11" s="107" t="s">
        <v>210</v>
      </c>
      <c r="B11" s="108"/>
      <c r="C11" s="62"/>
      <c r="D11" s="65"/>
      <c r="F11" s="107" t="s">
        <v>210</v>
      </c>
      <c r="G11" s="108"/>
      <c r="H11" s="62"/>
      <c r="I11" s="65"/>
      <c r="K11" s="107" t="s">
        <v>210</v>
      </c>
      <c r="L11" s="108"/>
      <c r="M11" s="62"/>
      <c r="N11" s="65"/>
      <c r="P11" s="107" t="s">
        <v>210</v>
      </c>
      <c r="Q11" s="108"/>
      <c r="R11" s="62"/>
      <c r="S11" s="65"/>
      <c r="U11" s="107" t="s">
        <v>210</v>
      </c>
      <c r="V11" s="108"/>
      <c r="W11" s="62"/>
      <c r="X11" s="65"/>
    </row>
    <row r="12" spans="1:24" x14ac:dyDescent="0.25">
      <c r="A12" s="80" t="s">
        <v>206</v>
      </c>
      <c r="B12" s="67" t="s">
        <v>208</v>
      </c>
      <c r="C12" s="62"/>
      <c r="D12" s="65"/>
      <c r="F12" s="80" t="s">
        <v>206</v>
      </c>
      <c r="G12" s="67" t="s">
        <v>208</v>
      </c>
      <c r="H12" s="62"/>
      <c r="I12" s="65"/>
      <c r="K12" s="80" t="s">
        <v>206</v>
      </c>
      <c r="L12" s="67" t="s">
        <v>208</v>
      </c>
      <c r="M12" s="62"/>
      <c r="N12" s="65"/>
      <c r="P12" s="80" t="s">
        <v>206</v>
      </c>
      <c r="Q12" s="67" t="s">
        <v>208</v>
      </c>
      <c r="R12" s="62"/>
      <c r="S12" s="65"/>
      <c r="U12" s="80" t="s">
        <v>206</v>
      </c>
      <c r="V12" s="67" t="s">
        <v>208</v>
      </c>
      <c r="W12" s="62"/>
      <c r="X12" s="65"/>
    </row>
    <row r="13" spans="1:24" x14ac:dyDescent="0.25">
      <c r="A13" s="81">
        <f>$D$8-B8</f>
        <v>283.75</v>
      </c>
      <c r="B13" s="69">
        <f>$D$8-C8</f>
        <v>223</v>
      </c>
      <c r="C13" s="62"/>
      <c r="D13" s="65"/>
      <c r="F13" s="81">
        <f>I8-G8</f>
        <v>52.94</v>
      </c>
      <c r="G13" s="69">
        <f>I8-H8</f>
        <v>20.689999999999998</v>
      </c>
      <c r="H13" s="62"/>
      <c r="I13" s="65"/>
      <c r="K13" s="81">
        <f>N8-L8</f>
        <v>60.14</v>
      </c>
      <c r="L13" s="69">
        <f>N8-M8</f>
        <v>32.389999999999986</v>
      </c>
      <c r="M13" s="62"/>
      <c r="N13" s="65"/>
      <c r="P13" s="81">
        <f>S8-Q8</f>
        <v>108.46</v>
      </c>
      <c r="Q13" s="69">
        <f>S8-R8</f>
        <v>59.110000000000014</v>
      </c>
      <c r="R13" s="62"/>
      <c r="S13" s="65"/>
      <c r="U13" s="81">
        <f>X8-V8</f>
        <v>72.47999999999999</v>
      </c>
      <c r="V13" s="69">
        <f>X8-W8</f>
        <v>32.58</v>
      </c>
      <c r="W13" s="62"/>
      <c r="X13" s="65"/>
    </row>
    <row r="14" spans="1:24" x14ac:dyDescent="0.25">
      <c r="A14" s="66"/>
      <c r="B14" s="67"/>
      <c r="C14" s="62"/>
      <c r="D14" s="65"/>
      <c r="F14" s="66"/>
      <c r="G14" s="67"/>
      <c r="H14" s="62"/>
      <c r="I14" s="65"/>
      <c r="K14" s="66"/>
      <c r="L14" s="67"/>
      <c r="M14" s="62"/>
      <c r="N14" s="65"/>
      <c r="P14" s="66"/>
      <c r="Q14" s="67"/>
      <c r="R14" s="62"/>
      <c r="S14" s="65"/>
      <c r="U14" s="66"/>
      <c r="V14" s="67"/>
      <c r="W14" s="62"/>
      <c r="X14" s="65"/>
    </row>
    <row r="15" spans="1:24" x14ac:dyDescent="0.25">
      <c r="A15" s="107" t="s">
        <v>218</v>
      </c>
      <c r="B15" s="108"/>
      <c r="C15" s="62"/>
      <c r="D15" s="65"/>
      <c r="F15" s="107" t="s">
        <v>209</v>
      </c>
      <c r="G15" s="108"/>
      <c r="H15" s="62"/>
      <c r="I15" s="65"/>
      <c r="K15" s="107" t="s">
        <v>209</v>
      </c>
      <c r="L15" s="108"/>
      <c r="M15" s="62"/>
      <c r="N15" s="65"/>
      <c r="P15" s="107" t="s">
        <v>209</v>
      </c>
      <c r="Q15" s="108"/>
      <c r="R15" s="62"/>
      <c r="S15" s="65"/>
      <c r="U15" s="107" t="s">
        <v>209</v>
      </c>
      <c r="V15" s="108"/>
      <c r="W15" s="62"/>
      <c r="X15" s="65"/>
    </row>
    <row r="16" spans="1:24" x14ac:dyDescent="0.25">
      <c r="A16" s="80" t="s">
        <v>206</v>
      </c>
      <c r="B16" s="67" t="s">
        <v>208</v>
      </c>
      <c r="C16" s="70"/>
      <c r="D16" s="65"/>
      <c r="E16" s="55"/>
      <c r="F16" s="80" t="s">
        <v>206</v>
      </c>
      <c r="G16" s="67" t="s">
        <v>208</v>
      </c>
      <c r="H16" s="70"/>
      <c r="I16" s="65"/>
      <c r="K16" s="80" t="s">
        <v>206</v>
      </c>
      <c r="L16" s="67" t="s">
        <v>208</v>
      </c>
      <c r="M16" s="70"/>
      <c r="N16" s="65"/>
      <c r="P16" s="80" t="s">
        <v>206</v>
      </c>
      <c r="Q16" s="67" t="s">
        <v>208</v>
      </c>
      <c r="R16" s="70"/>
      <c r="S16" s="65"/>
      <c r="U16" s="80" t="s">
        <v>206</v>
      </c>
      <c r="V16" s="67" t="s">
        <v>208</v>
      </c>
      <c r="W16" s="70"/>
      <c r="X16" s="65"/>
    </row>
    <row r="17" spans="1:27" x14ac:dyDescent="0.25">
      <c r="A17" s="81">
        <f>A13*63%</f>
        <v>178.76249999999999</v>
      </c>
      <c r="B17" s="69">
        <f>B13*63%</f>
        <v>140.49</v>
      </c>
      <c r="C17" s="62"/>
      <c r="D17" s="65"/>
      <c r="F17" s="84">
        <f>F13*63%</f>
        <v>33.352199999999996</v>
      </c>
      <c r="G17" s="73">
        <f>G13*63%</f>
        <v>13.034699999999999</v>
      </c>
      <c r="H17" s="62"/>
      <c r="I17" s="65"/>
      <c r="K17" s="84">
        <f>K13*63%</f>
        <v>37.888199999999998</v>
      </c>
      <c r="L17" s="73">
        <f>L13*63%</f>
        <v>20.405699999999992</v>
      </c>
      <c r="M17" s="62"/>
      <c r="N17" s="65"/>
      <c r="P17" s="84">
        <f>P13*63%</f>
        <v>68.329799999999992</v>
      </c>
      <c r="Q17" s="73">
        <f>Q13*63%</f>
        <v>37.239300000000007</v>
      </c>
      <c r="R17" s="62"/>
      <c r="S17" s="65"/>
      <c r="U17" s="84">
        <f>U13*63%</f>
        <v>45.662399999999991</v>
      </c>
      <c r="V17" s="73">
        <f>V13*63%</f>
        <v>20.525399999999998</v>
      </c>
      <c r="W17" s="62"/>
      <c r="X17" s="65"/>
    </row>
    <row r="18" spans="1:27" x14ac:dyDescent="0.25">
      <c r="A18" s="68"/>
      <c r="B18" s="69"/>
      <c r="C18" s="62"/>
      <c r="D18" s="65"/>
      <c r="F18" s="68"/>
      <c r="G18" s="69"/>
      <c r="H18" s="62"/>
      <c r="I18" s="65"/>
      <c r="K18" s="68"/>
      <c r="L18" s="69"/>
      <c r="M18" s="62"/>
      <c r="N18" s="65"/>
      <c r="P18" s="68"/>
      <c r="Q18" s="69"/>
      <c r="R18" s="62"/>
      <c r="S18" s="65"/>
      <c r="U18" s="68"/>
      <c r="V18" s="69"/>
      <c r="W18" s="62"/>
      <c r="X18" s="65"/>
    </row>
    <row r="19" spans="1:27" x14ac:dyDescent="0.25">
      <c r="A19" s="68">
        <f>B7*100/B17</f>
        <v>29.539469001352408</v>
      </c>
      <c r="B19" s="90" t="s">
        <v>219</v>
      </c>
      <c r="C19" s="62"/>
      <c r="D19" s="65"/>
      <c r="F19" s="68">
        <f>G7*100/G17</f>
        <v>167.32260811526157</v>
      </c>
      <c r="G19" s="90" t="s">
        <v>219</v>
      </c>
      <c r="H19" s="62"/>
      <c r="I19" s="65"/>
      <c r="K19" s="68">
        <f>L7*100/L17</f>
        <v>178.18550699069385</v>
      </c>
      <c r="L19" s="90" t="s">
        <v>219</v>
      </c>
      <c r="M19" s="62"/>
      <c r="N19" s="65"/>
      <c r="P19" s="68">
        <f>Q7*100/Q17</f>
        <v>56.096650581509309</v>
      </c>
      <c r="Q19" s="90" t="s">
        <v>219</v>
      </c>
      <c r="R19" s="62"/>
      <c r="S19" s="65"/>
      <c r="U19" s="68">
        <f>V7*100/V17</f>
        <v>11.79026961715728</v>
      </c>
      <c r="V19" s="90" t="s">
        <v>219</v>
      </c>
      <c r="W19" s="62"/>
      <c r="X19" s="65"/>
    </row>
    <row r="20" spans="1:27" x14ac:dyDescent="0.25">
      <c r="A20" s="66"/>
      <c r="B20" s="67"/>
      <c r="C20" s="69"/>
      <c r="D20" s="77"/>
      <c r="E20" s="54"/>
      <c r="F20" s="66"/>
      <c r="G20" s="67"/>
      <c r="H20" s="67"/>
      <c r="I20" s="77"/>
      <c r="J20" s="54"/>
      <c r="K20" s="66"/>
      <c r="L20" s="67"/>
      <c r="M20" s="66"/>
      <c r="N20" s="77"/>
      <c r="O20" s="54"/>
      <c r="P20" s="66"/>
      <c r="Q20" s="67"/>
      <c r="R20" s="67"/>
      <c r="S20" s="65"/>
      <c r="U20" s="66"/>
      <c r="V20" s="67"/>
      <c r="W20" s="67"/>
      <c r="X20" s="65"/>
    </row>
    <row r="21" spans="1:27" x14ac:dyDescent="0.25">
      <c r="A21" s="71"/>
      <c r="B21" s="56"/>
      <c r="C21" s="56"/>
      <c r="D21" s="72"/>
      <c r="F21" s="71"/>
      <c r="G21" s="56"/>
      <c r="H21" s="56"/>
      <c r="I21" s="72"/>
      <c r="K21" s="71"/>
      <c r="L21" s="56"/>
      <c r="M21" s="56"/>
      <c r="N21" s="72"/>
      <c r="P21" s="71"/>
      <c r="Q21" s="56"/>
      <c r="R21" s="56"/>
      <c r="S21" s="72"/>
      <c r="U21" s="71"/>
      <c r="V21" s="56"/>
      <c r="W21" s="56"/>
      <c r="X21" s="72"/>
      <c r="AA21">
        <f>6054750/46575</f>
        <v>130</v>
      </c>
    </row>
    <row r="23" spans="1:27" x14ac:dyDescent="0.25">
      <c r="A23" s="23" t="s">
        <v>212</v>
      </c>
      <c r="AA23">
        <f>1343925/9955</f>
        <v>135</v>
      </c>
    </row>
    <row r="24" spans="1:27" x14ac:dyDescent="0.25">
      <c r="A24" s="58" t="s">
        <v>213</v>
      </c>
      <c r="B24" s="59"/>
      <c r="C24" s="59"/>
      <c r="D24" s="60"/>
      <c r="F24" s="58" t="s">
        <v>214</v>
      </c>
      <c r="G24" s="59"/>
      <c r="H24" s="59"/>
      <c r="I24" s="60"/>
      <c r="K24" s="58" t="s">
        <v>215</v>
      </c>
      <c r="L24" s="59"/>
      <c r="M24" s="59"/>
      <c r="N24" s="60"/>
      <c r="P24" s="58" t="s">
        <v>216</v>
      </c>
      <c r="Q24" s="59"/>
      <c r="R24" s="59"/>
      <c r="S24" s="60"/>
      <c r="U24" s="58" t="s">
        <v>217</v>
      </c>
      <c r="V24" s="59"/>
      <c r="W24" s="59"/>
      <c r="X24" s="60"/>
      <c r="AA24">
        <f>300000/2500</f>
        <v>120</v>
      </c>
    </row>
    <row r="25" spans="1:27" x14ac:dyDescent="0.25">
      <c r="A25" s="61"/>
      <c r="B25" s="57" t="s">
        <v>206</v>
      </c>
      <c r="C25" s="57" t="s">
        <v>207</v>
      </c>
      <c r="D25" s="109" t="s">
        <v>205</v>
      </c>
      <c r="F25" s="61"/>
      <c r="G25" s="57" t="s">
        <v>206</v>
      </c>
      <c r="H25" s="57" t="s">
        <v>207</v>
      </c>
      <c r="I25" s="109" t="s">
        <v>205</v>
      </c>
      <c r="K25" s="61"/>
      <c r="L25" s="57" t="s">
        <v>206</v>
      </c>
      <c r="M25" s="57" t="s">
        <v>207</v>
      </c>
      <c r="N25" s="109" t="s">
        <v>205</v>
      </c>
      <c r="P25" s="61"/>
      <c r="Q25" s="57" t="s">
        <v>206</v>
      </c>
      <c r="R25" s="57" t="s">
        <v>207</v>
      </c>
      <c r="S25" s="109" t="s">
        <v>205</v>
      </c>
      <c r="U25" s="61"/>
      <c r="V25" s="57" t="s">
        <v>206</v>
      </c>
      <c r="W25" s="57" t="s">
        <v>207</v>
      </c>
      <c r="X25" s="109" t="s">
        <v>205</v>
      </c>
      <c r="AA25">
        <f>3770000/29000</f>
        <v>130</v>
      </c>
    </row>
    <row r="26" spans="1:27" x14ac:dyDescent="0.25">
      <c r="A26" s="61" t="s">
        <v>200</v>
      </c>
      <c r="B26" s="76">
        <v>65</v>
      </c>
      <c r="C26" s="67">
        <v>120</v>
      </c>
      <c r="D26" s="109"/>
      <c r="F26" s="61" t="s">
        <v>200</v>
      </c>
      <c r="G26" s="76">
        <v>15</v>
      </c>
      <c r="H26" s="74">
        <f>I29/3.6</f>
        <v>38.888888888888886</v>
      </c>
      <c r="I26" s="109"/>
      <c r="K26" s="61" t="s">
        <v>200</v>
      </c>
      <c r="L26" s="76">
        <v>30</v>
      </c>
      <c r="M26" s="74">
        <f>N29/3.6</f>
        <v>50.555555555555557</v>
      </c>
      <c r="N26" s="109"/>
      <c r="P26" s="61" t="s">
        <v>200</v>
      </c>
      <c r="Q26" s="76">
        <v>19</v>
      </c>
      <c r="R26" s="74">
        <f>S29/3.6</f>
        <v>55.555555555555557</v>
      </c>
      <c r="S26" s="109"/>
      <c r="U26" s="61" t="s">
        <v>200</v>
      </c>
      <c r="V26" s="76">
        <v>6</v>
      </c>
      <c r="W26" s="74">
        <f>X29/3.6</f>
        <v>35.555555555555557</v>
      </c>
      <c r="X26" s="109"/>
    </row>
    <row r="27" spans="1:27" x14ac:dyDescent="0.25">
      <c r="A27" s="61" t="s">
        <v>201</v>
      </c>
      <c r="B27" s="77">
        <f>B26*35%</f>
        <v>22.75</v>
      </c>
      <c r="C27" s="67">
        <f>C26*35%</f>
        <v>42</v>
      </c>
      <c r="D27" s="109"/>
      <c r="F27" s="61" t="s">
        <v>201</v>
      </c>
      <c r="G27" s="77">
        <f>G26*35%</f>
        <v>5.25</v>
      </c>
      <c r="H27" s="74">
        <f>H26*35%</f>
        <v>13.611111111111109</v>
      </c>
      <c r="I27" s="109"/>
      <c r="K27" s="61" t="s">
        <v>201</v>
      </c>
      <c r="L27" s="77">
        <f>L26*35%</f>
        <v>10.5</v>
      </c>
      <c r="M27" s="74">
        <f>M26*35%</f>
        <v>17.694444444444443</v>
      </c>
      <c r="N27" s="109"/>
      <c r="P27" s="61" t="s">
        <v>201</v>
      </c>
      <c r="Q27" s="77">
        <f>Q26*35%</f>
        <v>6.6499999999999995</v>
      </c>
      <c r="R27" s="74">
        <f>R26*35%</f>
        <v>19.444444444444443</v>
      </c>
      <c r="S27" s="109"/>
      <c r="U27" s="61" t="s">
        <v>201</v>
      </c>
      <c r="V27" s="77">
        <f>V26*35%</f>
        <v>2.0999999999999996</v>
      </c>
      <c r="W27" s="74">
        <f>W26*35%</f>
        <v>12.444444444444445</v>
      </c>
      <c r="X27" s="109"/>
    </row>
    <row r="28" spans="1:27" x14ac:dyDescent="0.25">
      <c r="A28" s="61" t="s">
        <v>202</v>
      </c>
      <c r="B28" s="77">
        <v>45</v>
      </c>
      <c r="C28" s="67">
        <v>45</v>
      </c>
      <c r="D28" s="109"/>
      <c r="F28" s="61" t="s">
        <v>202</v>
      </c>
      <c r="G28" s="77">
        <v>45</v>
      </c>
      <c r="H28" s="67">
        <v>45</v>
      </c>
      <c r="I28" s="109"/>
      <c r="K28" s="61" t="s">
        <v>202</v>
      </c>
      <c r="L28" s="77">
        <v>45</v>
      </c>
      <c r="M28" s="67">
        <v>45</v>
      </c>
      <c r="N28" s="109"/>
      <c r="P28" s="61" t="s">
        <v>202</v>
      </c>
      <c r="Q28" s="77">
        <v>45</v>
      </c>
      <c r="R28" s="67">
        <v>45</v>
      </c>
      <c r="S28" s="109"/>
      <c r="U28" s="61" t="s">
        <v>202</v>
      </c>
      <c r="V28" s="77">
        <v>45</v>
      </c>
      <c r="W28" s="67">
        <v>45</v>
      </c>
      <c r="X28" s="109"/>
    </row>
    <row r="29" spans="1:27" x14ac:dyDescent="0.25">
      <c r="A29" s="63" t="s">
        <v>204</v>
      </c>
      <c r="B29" s="64">
        <f>SUM(B26:B28)</f>
        <v>132.75</v>
      </c>
      <c r="C29" s="69">
        <f>SUM(C26:C28)</f>
        <v>207</v>
      </c>
      <c r="D29" s="75">
        <v>458</v>
      </c>
      <c r="F29" s="63" t="s">
        <v>204</v>
      </c>
      <c r="G29" s="64">
        <f>SUM(G26:G28)</f>
        <v>65.25</v>
      </c>
      <c r="H29" s="69">
        <f>SUM(H26:H28)</f>
        <v>97.5</v>
      </c>
      <c r="I29" s="75">
        <v>140</v>
      </c>
      <c r="K29" s="63" t="s">
        <v>204</v>
      </c>
      <c r="L29" s="64">
        <f>SUM(L26:L28)</f>
        <v>85.5</v>
      </c>
      <c r="M29" s="69">
        <f>SUM(M26:M28)</f>
        <v>113.25</v>
      </c>
      <c r="N29" s="75">
        <v>182</v>
      </c>
      <c r="P29" s="63" t="s">
        <v>204</v>
      </c>
      <c r="Q29" s="64">
        <f>SUM(Q26:Q28)</f>
        <v>70.650000000000006</v>
      </c>
      <c r="R29" s="69">
        <f>SUM(R26:R28)</f>
        <v>120</v>
      </c>
      <c r="S29" s="75">
        <v>200</v>
      </c>
      <c r="U29" s="63" t="s">
        <v>204</v>
      </c>
      <c r="V29" s="64">
        <f>SUM(V26:V28)</f>
        <v>53.1</v>
      </c>
      <c r="W29" s="69">
        <f>SUM(W26:W28)</f>
        <v>93</v>
      </c>
      <c r="X29" s="75">
        <v>128</v>
      </c>
    </row>
    <row r="30" spans="1:27" x14ac:dyDescent="0.25">
      <c r="A30" s="61"/>
      <c r="B30" s="62"/>
      <c r="C30" s="62"/>
      <c r="D30" s="65"/>
      <c r="F30" s="61"/>
      <c r="G30" s="62"/>
      <c r="H30" s="62"/>
      <c r="I30" s="65"/>
      <c r="K30" s="61"/>
      <c r="L30" s="62"/>
      <c r="M30" s="62"/>
      <c r="N30" s="65"/>
      <c r="P30" s="61"/>
      <c r="Q30" s="62"/>
      <c r="R30" s="62"/>
      <c r="S30" s="65"/>
      <c r="U30" s="61"/>
      <c r="V30" s="62"/>
      <c r="W30" s="62"/>
      <c r="X30" s="65"/>
    </row>
    <row r="31" spans="1:27" x14ac:dyDescent="0.25">
      <c r="A31" s="61"/>
      <c r="B31" s="62"/>
      <c r="C31" s="62"/>
      <c r="D31" s="65"/>
      <c r="F31" s="61"/>
      <c r="G31" s="62"/>
      <c r="H31" s="62"/>
      <c r="I31" s="65"/>
      <c r="K31" s="61"/>
      <c r="L31" s="62"/>
      <c r="M31" s="62"/>
      <c r="N31" s="65"/>
      <c r="P31" s="61"/>
      <c r="Q31" s="62"/>
      <c r="R31" s="62"/>
      <c r="S31" s="65"/>
      <c r="U31" s="61"/>
      <c r="V31" s="62"/>
      <c r="W31" s="62"/>
      <c r="X31" s="65"/>
    </row>
    <row r="32" spans="1:27" x14ac:dyDescent="0.25">
      <c r="A32" s="107" t="s">
        <v>210</v>
      </c>
      <c r="B32" s="108"/>
      <c r="C32" s="62"/>
      <c r="D32" s="65"/>
      <c r="F32" s="107" t="s">
        <v>210</v>
      </c>
      <c r="G32" s="108"/>
      <c r="H32" s="62"/>
      <c r="I32" s="65"/>
      <c r="K32" s="107" t="s">
        <v>210</v>
      </c>
      <c r="L32" s="108"/>
      <c r="M32" s="62"/>
      <c r="N32" s="65"/>
      <c r="P32" s="107" t="s">
        <v>210</v>
      </c>
      <c r="Q32" s="108"/>
      <c r="R32" s="62"/>
      <c r="S32" s="65"/>
      <c r="U32" s="107" t="s">
        <v>210</v>
      </c>
      <c r="V32" s="108"/>
      <c r="W32" s="62"/>
      <c r="X32" s="65"/>
    </row>
    <row r="33" spans="1:24" x14ac:dyDescent="0.25">
      <c r="A33" s="80" t="s">
        <v>206</v>
      </c>
      <c r="B33" s="67" t="s">
        <v>208</v>
      </c>
      <c r="C33" s="62"/>
      <c r="D33" s="65"/>
      <c r="F33" s="80" t="s">
        <v>206</v>
      </c>
      <c r="G33" s="67" t="s">
        <v>208</v>
      </c>
      <c r="H33" s="62"/>
      <c r="I33" s="65"/>
      <c r="K33" s="80" t="s">
        <v>206</v>
      </c>
      <c r="L33" s="67" t="s">
        <v>208</v>
      </c>
      <c r="M33" s="62"/>
      <c r="N33" s="65"/>
      <c r="P33" s="80" t="s">
        <v>206</v>
      </c>
      <c r="Q33" s="67" t="s">
        <v>208</v>
      </c>
      <c r="R33" s="62"/>
      <c r="S33" s="65"/>
      <c r="U33" s="80" t="s">
        <v>206</v>
      </c>
      <c r="V33" s="67" t="s">
        <v>208</v>
      </c>
      <c r="W33" s="62"/>
      <c r="X33" s="65"/>
    </row>
    <row r="34" spans="1:24" x14ac:dyDescent="0.25">
      <c r="A34" s="81">
        <f>$D$8-B29</f>
        <v>325.25</v>
      </c>
      <c r="B34" s="69">
        <f>$D$8-C29</f>
        <v>251</v>
      </c>
      <c r="C34" s="62"/>
      <c r="D34" s="65"/>
      <c r="F34" s="81">
        <f>I29-G29</f>
        <v>74.75</v>
      </c>
      <c r="G34" s="69">
        <f>I29-H29</f>
        <v>42.5</v>
      </c>
      <c r="H34" s="62"/>
      <c r="I34" s="65"/>
      <c r="K34" s="81">
        <f>N29-L29</f>
        <v>96.5</v>
      </c>
      <c r="L34" s="69">
        <f>N29-M29</f>
        <v>68.75</v>
      </c>
      <c r="M34" s="62"/>
      <c r="N34" s="65"/>
      <c r="P34" s="81">
        <f>S29-Q29</f>
        <v>129.35</v>
      </c>
      <c r="Q34" s="69">
        <f>S29-R29</f>
        <v>80</v>
      </c>
      <c r="R34" s="62"/>
      <c r="S34" s="65"/>
      <c r="U34" s="81">
        <f>X29-V29</f>
        <v>74.900000000000006</v>
      </c>
      <c r="V34" s="69">
        <f>X29-W29</f>
        <v>35</v>
      </c>
      <c r="W34" s="62"/>
      <c r="X34" s="65"/>
    </row>
    <row r="35" spans="1:24" x14ac:dyDescent="0.25">
      <c r="A35" s="66"/>
      <c r="B35" s="67"/>
      <c r="C35" s="62"/>
      <c r="D35" s="65"/>
      <c r="F35" s="66"/>
      <c r="G35" s="67"/>
      <c r="H35" s="62"/>
      <c r="I35" s="65"/>
      <c r="K35" s="66"/>
      <c r="L35" s="67"/>
      <c r="M35" s="62"/>
      <c r="N35" s="65"/>
      <c r="P35" s="66"/>
      <c r="Q35" s="67"/>
      <c r="R35" s="62"/>
      <c r="S35" s="65"/>
      <c r="U35" s="66"/>
      <c r="V35" s="67"/>
      <c r="W35" s="62"/>
      <c r="X35" s="65"/>
    </row>
    <row r="36" spans="1:24" x14ac:dyDescent="0.25">
      <c r="A36" s="107" t="s">
        <v>209</v>
      </c>
      <c r="B36" s="108"/>
      <c r="C36" s="62"/>
      <c r="D36" s="65"/>
      <c r="F36" s="107" t="s">
        <v>209</v>
      </c>
      <c r="G36" s="108"/>
      <c r="H36" s="62"/>
      <c r="I36" s="65"/>
      <c r="K36" s="107" t="s">
        <v>209</v>
      </c>
      <c r="L36" s="108"/>
      <c r="M36" s="62"/>
      <c r="N36" s="65"/>
      <c r="P36" s="107" t="s">
        <v>209</v>
      </c>
      <c r="Q36" s="108"/>
      <c r="R36" s="62"/>
      <c r="S36" s="65"/>
      <c r="U36" s="107" t="s">
        <v>209</v>
      </c>
      <c r="V36" s="108"/>
      <c r="W36" s="62"/>
      <c r="X36" s="65"/>
    </row>
    <row r="37" spans="1:24" x14ac:dyDescent="0.25">
      <c r="A37" s="80" t="s">
        <v>206</v>
      </c>
      <c r="B37" s="67" t="s">
        <v>208</v>
      </c>
      <c r="C37" s="70"/>
      <c r="D37" s="65"/>
      <c r="E37" s="55"/>
      <c r="F37" s="80" t="s">
        <v>206</v>
      </c>
      <c r="G37" s="67" t="s">
        <v>208</v>
      </c>
      <c r="H37" s="70"/>
      <c r="I37" s="65"/>
      <c r="K37" s="80" t="s">
        <v>206</v>
      </c>
      <c r="L37" s="67" t="s">
        <v>208</v>
      </c>
      <c r="M37" s="70"/>
      <c r="N37" s="65"/>
      <c r="P37" s="80" t="s">
        <v>206</v>
      </c>
      <c r="Q37" s="67" t="s">
        <v>208</v>
      </c>
      <c r="R37" s="70"/>
      <c r="S37" s="65"/>
      <c r="U37" s="80" t="s">
        <v>206</v>
      </c>
      <c r="V37" s="67" t="s">
        <v>208</v>
      </c>
      <c r="W37" s="70"/>
      <c r="X37" s="65"/>
    </row>
    <row r="38" spans="1:24" x14ac:dyDescent="0.25">
      <c r="A38" s="81">
        <f>A34*63%</f>
        <v>204.9075</v>
      </c>
      <c r="B38" s="69">
        <f>B34*63%</f>
        <v>158.13</v>
      </c>
      <c r="C38" s="62"/>
      <c r="D38" s="65"/>
      <c r="F38" s="84">
        <f>F34*63%</f>
        <v>47.092500000000001</v>
      </c>
      <c r="G38" s="73">
        <f>G34*63%</f>
        <v>26.774999999999999</v>
      </c>
      <c r="H38" s="62"/>
      <c r="I38" s="65"/>
      <c r="K38" s="84">
        <f>K34*63%</f>
        <v>60.795000000000002</v>
      </c>
      <c r="L38" s="73">
        <f>L34*63%</f>
        <v>43.3125</v>
      </c>
      <c r="M38" s="62"/>
      <c r="N38" s="65"/>
      <c r="P38" s="84">
        <f>P34*63%</f>
        <v>81.490499999999997</v>
      </c>
      <c r="Q38" s="73">
        <f>Q34*63%</f>
        <v>50.4</v>
      </c>
      <c r="R38" s="62"/>
      <c r="S38" s="65"/>
      <c r="U38" s="84">
        <f>U34*63%</f>
        <v>47.187000000000005</v>
      </c>
      <c r="V38" s="73">
        <f>V34*63%</f>
        <v>22.05</v>
      </c>
      <c r="W38" s="62"/>
      <c r="X38" s="65"/>
    </row>
    <row r="39" spans="1:24" x14ac:dyDescent="0.25">
      <c r="A39" s="68"/>
      <c r="B39" s="69"/>
      <c r="C39" s="62"/>
      <c r="D39" s="65"/>
      <c r="F39" s="68"/>
      <c r="G39" s="69"/>
      <c r="H39" s="62"/>
      <c r="I39" s="65"/>
      <c r="K39" s="68"/>
      <c r="L39" s="69"/>
      <c r="M39" s="62"/>
      <c r="N39" s="65"/>
      <c r="P39" s="68"/>
      <c r="Q39" s="69"/>
      <c r="R39" s="62"/>
      <c r="S39" s="65"/>
      <c r="U39" s="68"/>
      <c r="V39" s="69"/>
      <c r="W39" s="62"/>
      <c r="X39" s="65"/>
    </row>
    <row r="40" spans="1:24" x14ac:dyDescent="0.25">
      <c r="A40" s="68"/>
      <c r="B40" s="69"/>
      <c r="C40" s="62"/>
      <c r="D40" s="65"/>
      <c r="F40" s="68"/>
      <c r="G40" s="69"/>
      <c r="H40" s="62"/>
      <c r="I40" s="65"/>
      <c r="K40" s="68"/>
      <c r="L40" s="69"/>
      <c r="M40" s="62"/>
      <c r="N40" s="65"/>
      <c r="P40" s="68"/>
      <c r="Q40" s="69"/>
      <c r="R40" s="62"/>
      <c r="S40" s="65"/>
      <c r="U40" s="68"/>
      <c r="V40" s="69"/>
      <c r="W40" s="62"/>
      <c r="X40" s="65"/>
    </row>
    <row r="41" spans="1:24" x14ac:dyDescent="0.25">
      <c r="A41" s="107" t="s">
        <v>211</v>
      </c>
      <c r="B41" s="108"/>
      <c r="C41" s="108"/>
      <c r="D41" s="65"/>
      <c r="F41" s="107" t="s">
        <v>211</v>
      </c>
      <c r="G41" s="108"/>
      <c r="H41" s="108"/>
      <c r="I41" s="65"/>
      <c r="K41" s="107" t="s">
        <v>211</v>
      </c>
      <c r="L41" s="108"/>
      <c r="M41" s="108"/>
      <c r="N41" s="65"/>
      <c r="P41" s="107" t="s">
        <v>211</v>
      </c>
      <c r="Q41" s="108"/>
      <c r="R41" s="108"/>
      <c r="S41" s="65"/>
      <c r="U41" s="107" t="s">
        <v>211</v>
      </c>
      <c r="V41" s="108"/>
      <c r="W41" s="108"/>
      <c r="X41" s="65"/>
    </row>
    <row r="42" spans="1:24" x14ac:dyDescent="0.25">
      <c r="A42" s="82">
        <f>A38*C42</f>
        <v>20.490750000000002</v>
      </c>
      <c r="B42" s="74">
        <f>B38*C42</f>
        <v>15.813000000000001</v>
      </c>
      <c r="C42" s="85">
        <v>0.1</v>
      </c>
      <c r="D42" s="77"/>
      <c r="E42" s="54"/>
      <c r="F42" s="82">
        <f>F38*H42</f>
        <v>4.7092499999999999</v>
      </c>
      <c r="G42" s="74">
        <f>G38*H42</f>
        <v>2.6775000000000002</v>
      </c>
      <c r="H42" s="85">
        <v>0.1</v>
      </c>
      <c r="I42" s="77"/>
      <c r="J42" s="54"/>
      <c r="K42" s="82">
        <f>K38*M42</f>
        <v>6.0795000000000003</v>
      </c>
      <c r="L42" s="74">
        <f>L38*M42</f>
        <v>4.3312499999999998</v>
      </c>
      <c r="M42" s="85">
        <v>0.1</v>
      </c>
      <c r="N42" s="77"/>
      <c r="O42" s="54"/>
      <c r="P42" s="82">
        <f>P38*R42</f>
        <v>8.1490500000000008</v>
      </c>
      <c r="Q42" s="74">
        <f>Q38*R42</f>
        <v>5.04</v>
      </c>
      <c r="R42" s="85">
        <v>0.1</v>
      </c>
      <c r="S42" s="65"/>
      <c r="U42" s="82">
        <f>U38*W42</f>
        <v>4.718700000000001</v>
      </c>
      <c r="V42" s="74">
        <f>V38*W42</f>
        <v>2.2050000000000001</v>
      </c>
      <c r="W42" s="85">
        <v>0.1</v>
      </c>
      <c r="X42" s="65"/>
    </row>
    <row r="43" spans="1:24" x14ac:dyDescent="0.25">
      <c r="A43" s="88">
        <f>A38*C43</f>
        <v>40.981500000000004</v>
      </c>
      <c r="B43" s="74">
        <f>B38*C43</f>
        <v>31.626000000000001</v>
      </c>
      <c r="C43" s="86">
        <v>0.2</v>
      </c>
      <c r="D43" s="77"/>
      <c r="E43" s="54"/>
      <c r="F43" s="83">
        <f>F38*H43</f>
        <v>9.4184999999999999</v>
      </c>
      <c r="G43" s="74">
        <f>G38*H43</f>
        <v>5.3550000000000004</v>
      </c>
      <c r="H43" s="86">
        <v>0.2</v>
      </c>
      <c r="I43" s="77"/>
      <c r="J43" s="54"/>
      <c r="K43" s="83">
        <f>K38*M43</f>
        <v>12.159000000000001</v>
      </c>
      <c r="L43" s="74">
        <f>L38*M43</f>
        <v>8.6624999999999996</v>
      </c>
      <c r="M43" s="86">
        <v>0.2</v>
      </c>
      <c r="N43" s="77"/>
      <c r="O43" s="54"/>
      <c r="P43" s="83">
        <f>P38*R43</f>
        <v>16.298100000000002</v>
      </c>
      <c r="Q43" s="74">
        <f>Q38*R43</f>
        <v>10.08</v>
      </c>
      <c r="R43" s="86">
        <v>0.2</v>
      </c>
      <c r="S43" s="65"/>
      <c r="U43" s="83">
        <f>U38*W43</f>
        <v>9.437400000000002</v>
      </c>
      <c r="V43" s="74">
        <f>V38*W43</f>
        <v>4.41</v>
      </c>
      <c r="W43" s="86">
        <v>0.2</v>
      </c>
      <c r="X43" s="65"/>
    </row>
    <row r="44" spans="1:24" x14ac:dyDescent="0.25">
      <c r="A44" s="83">
        <f>A38*C44</f>
        <v>61.472249999999995</v>
      </c>
      <c r="B44" s="89">
        <f>B38*C44</f>
        <v>47.439</v>
      </c>
      <c r="C44" s="86">
        <v>0.3</v>
      </c>
      <c r="D44" s="77"/>
      <c r="E44" s="54"/>
      <c r="F44" s="83">
        <f>F38*H44</f>
        <v>14.127750000000001</v>
      </c>
      <c r="G44" s="74">
        <f>G38*H44</f>
        <v>8.0324999999999989</v>
      </c>
      <c r="H44" s="86">
        <v>0.3</v>
      </c>
      <c r="I44" s="77"/>
      <c r="J44" s="54"/>
      <c r="K44" s="83">
        <f>K38*M44</f>
        <v>18.238499999999998</v>
      </c>
      <c r="L44" s="74">
        <f>L38*M44</f>
        <v>12.99375</v>
      </c>
      <c r="M44" s="86">
        <v>0.3</v>
      </c>
      <c r="N44" s="77"/>
      <c r="O44" s="54"/>
      <c r="P44" s="83">
        <f>P38*R44</f>
        <v>24.447149999999997</v>
      </c>
      <c r="Q44" s="74">
        <f>Q38*R44</f>
        <v>15.12</v>
      </c>
      <c r="R44" s="86">
        <v>0.3</v>
      </c>
      <c r="S44" s="65"/>
      <c r="U44" s="83">
        <f>U38*W44</f>
        <v>14.1561</v>
      </c>
      <c r="V44" s="74">
        <f>V38*W44</f>
        <v>6.6150000000000002</v>
      </c>
      <c r="W44" s="86">
        <v>0.3</v>
      </c>
      <c r="X44" s="65"/>
    </row>
    <row r="45" spans="1:24" x14ac:dyDescent="0.25">
      <c r="A45" s="83">
        <f>A38*C45</f>
        <v>81.963000000000008</v>
      </c>
      <c r="B45" s="74">
        <f>B38*C45</f>
        <v>63.252000000000002</v>
      </c>
      <c r="C45" s="86">
        <v>0.4</v>
      </c>
      <c r="D45" s="77"/>
      <c r="E45" s="54"/>
      <c r="F45" s="88">
        <f>F38*H45</f>
        <v>18.837</v>
      </c>
      <c r="G45" s="74">
        <f>G38*H45</f>
        <v>10.71</v>
      </c>
      <c r="H45" s="86">
        <v>0.4</v>
      </c>
      <c r="I45" s="77"/>
      <c r="J45" s="54"/>
      <c r="K45" s="83">
        <f>K38*M45</f>
        <v>24.318000000000001</v>
      </c>
      <c r="L45" s="74">
        <f>L38*M45</f>
        <v>17.324999999999999</v>
      </c>
      <c r="M45" s="86">
        <v>0.4</v>
      </c>
      <c r="N45" s="77"/>
      <c r="O45" s="54"/>
      <c r="P45" s="83">
        <f>P38*R45</f>
        <v>32.596200000000003</v>
      </c>
      <c r="Q45" s="74">
        <f>Q38*R45</f>
        <v>20.16</v>
      </c>
      <c r="R45" s="86">
        <v>0.4</v>
      </c>
      <c r="S45" s="65"/>
      <c r="U45" s="83">
        <f>U38*W45</f>
        <v>18.874800000000004</v>
      </c>
      <c r="V45" s="74">
        <f>V38*W45</f>
        <v>8.82</v>
      </c>
      <c r="W45" s="86">
        <v>0.4</v>
      </c>
      <c r="X45" s="65"/>
    </row>
    <row r="46" spans="1:24" x14ac:dyDescent="0.25">
      <c r="A46" s="66"/>
      <c r="B46" s="67"/>
      <c r="C46" s="69"/>
      <c r="D46" s="77"/>
      <c r="E46" s="54"/>
      <c r="F46" s="66"/>
      <c r="G46" s="67"/>
      <c r="H46" s="86">
        <v>0.5</v>
      </c>
      <c r="I46" s="77"/>
      <c r="J46" s="54"/>
      <c r="K46" s="66"/>
      <c r="L46" s="67"/>
      <c r="M46" s="86">
        <v>0.5</v>
      </c>
      <c r="N46" s="77"/>
      <c r="O46" s="54"/>
      <c r="P46" s="66"/>
      <c r="Q46" s="67"/>
      <c r="R46" s="67"/>
      <c r="S46" s="65"/>
      <c r="U46" s="66"/>
      <c r="V46" s="67"/>
      <c r="W46" s="67"/>
      <c r="X46" s="65"/>
    </row>
    <row r="47" spans="1:24" x14ac:dyDescent="0.25">
      <c r="A47" s="71"/>
      <c r="B47" s="56"/>
      <c r="C47" s="56"/>
      <c r="D47" s="72"/>
      <c r="F47" s="71"/>
      <c r="G47" s="56"/>
      <c r="H47" s="56"/>
      <c r="I47" s="72"/>
      <c r="K47" s="71"/>
      <c r="L47" s="56"/>
      <c r="M47" s="56"/>
      <c r="N47" s="72"/>
      <c r="P47" s="71"/>
      <c r="Q47" s="56"/>
      <c r="R47" s="56"/>
      <c r="S47" s="72"/>
      <c r="U47" s="71"/>
      <c r="V47" s="56"/>
      <c r="W47" s="56"/>
      <c r="X47" s="72"/>
    </row>
    <row r="51" spans="6:21" x14ac:dyDescent="0.25">
      <c r="F51">
        <f>F43/G7</f>
        <v>0.43184319119669878</v>
      </c>
      <c r="K51">
        <f>K43/L7</f>
        <v>0.33440594059405943</v>
      </c>
      <c r="P51">
        <f>P43/Q7</f>
        <v>0.78018669219722359</v>
      </c>
      <c r="U51">
        <f>U43/V7</f>
        <v>3.8997520661157035</v>
      </c>
    </row>
    <row r="52" spans="6:21" x14ac:dyDescent="0.25">
      <c r="F52" s="87">
        <f>1-F51</f>
        <v>0.56815680880330122</v>
      </c>
      <c r="K52" s="87">
        <f>1-K51</f>
        <v>0.66559405940594063</v>
      </c>
      <c r="P52" s="87">
        <f>1-P51</f>
        <v>0.21981330780277641</v>
      </c>
      <c r="U52" s="87">
        <f>1-U51</f>
        <v>-2.8997520661157035</v>
      </c>
    </row>
  </sheetData>
  <mergeCells count="35">
    <mergeCell ref="A11:B11"/>
    <mergeCell ref="A15:B15"/>
    <mergeCell ref="D3:D7"/>
    <mergeCell ref="A41:C41"/>
    <mergeCell ref="I25:I28"/>
    <mergeCell ref="F32:G32"/>
    <mergeCell ref="F36:G36"/>
    <mergeCell ref="F41:H41"/>
    <mergeCell ref="A32:B32"/>
    <mergeCell ref="A36:B36"/>
    <mergeCell ref="D25:D28"/>
    <mergeCell ref="I3:I7"/>
    <mergeCell ref="F11:G11"/>
    <mergeCell ref="F15:G15"/>
    <mergeCell ref="S3:S7"/>
    <mergeCell ref="P11:Q11"/>
    <mergeCell ref="P15:Q15"/>
    <mergeCell ref="N3:N7"/>
    <mergeCell ref="K11:L11"/>
    <mergeCell ref="K15:L15"/>
    <mergeCell ref="X3:X7"/>
    <mergeCell ref="U11:V11"/>
    <mergeCell ref="U15:V15"/>
    <mergeCell ref="N25:N28"/>
    <mergeCell ref="S25:S28"/>
    <mergeCell ref="X25:X28"/>
    <mergeCell ref="K41:M41"/>
    <mergeCell ref="P41:R41"/>
    <mergeCell ref="U41:W41"/>
    <mergeCell ref="K32:L32"/>
    <mergeCell ref="P32:Q32"/>
    <mergeCell ref="U32:V32"/>
    <mergeCell ref="K36:L36"/>
    <mergeCell ref="P36:Q36"/>
    <mergeCell ref="U36:V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Apoyo formula venta edifica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Morice Dassum</dc:creator>
  <cp:lastModifiedBy>Hernan Patricio Salazar Rivera</cp:lastModifiedBy>
  <cp:lastPrinted>2017-06-27T17:28:47Z</cp:lastPrinted>
  <dcterms:created xsi:type="dcterms:W3CDTF">2017-03-29T17:13:00Z</dcterms:created>
  <dcterms:modified xsi:type="dcterms:W3CDTF">2017-07-20T17:41:27Z</dcterms:modified>
</cp:coreProperties>
</file>