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20490" windowHeight="6900" firstSheet="1" activeTab="8"/>
  </bookViews>
  <sheets>
    <sheet name="CONSOLIDADO" sheetId="1" r:id="rId1"/>
    <sheet name="Planta Central" sheetId="7" r:id="rId2"/>
    <sheet name="Rastro" sheetId="4" r:id="rId3"/>
    <sheet name="QT" sheetId="2" r:id="rId4"/>
    <sheet name="FMC" sheetId="5" r:id="rId5"/>
    <sheet name="EPMTPQ" sheetId="6" r:id="rId6"/>
    <sheet name="EMASEO" sheetId="11" r:id="rId7"/>
    <sheet name="Conquito" sheetId="12" r:id="rId8"/>
    <sheet name="Gráficos" sheetId="13" r:id="rId9"/>
  </sheets>
  <externalReferences>
    <externalReference r:id="rId10"/>
  </externalReferences>
  <definedNames>
    <definedName name="_xlnm.Print_Area" localSheetId="6">EMASEO!$A$1:$J$29</definedName>
    <definedName name="_xlnm.Print_Area" localSheetId="5">EPMTPQ!$A$1:$J$37</definedName>
    <definedName name="_xlnm.Print_Area" localSheetId="2">Rastro!$A$1:$J$21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3" l="1"/>
  <c r="H32" i="13"/>
  <c r="C27" i="13"/>
  <c r="D27" i="13"/>
  <c r="E27" i="13"/>
  <c r="F27" i="13"/>
  <c r="G27" i="13"/>
  <c r="H27" i="13"/>
  <c r="C28" i="13"/>
  <c r="D28" i="13"/>
  <c r="E28" i="13"/>
  <c r="F28" i="13"/>
  <c r="G28" i="13"/>
  <c r="H28" i="13"/>
  <c r="C29" i="13"/>
  <c r="D29" i="13"/>
  <c r="E29" i="13"/>
  <c r="F29" i="13"/>
  <c r="G29" i="13"/>
  <c r="H29" i="13"/>
  <c r="C30" i="13"/>
  <c r="D30" i="13"/>
  <c r="E30" i="13"/>
  <c r="F30" i="13"/>
  <c r="G30" i="13"/>
  <c r="H30" i="13"/>
  <c r="C31" i="13"/>
  <c r="D31" i="13"/>
  <c r="E31" i="13"/>
  <c r="F31" i="13"/>
  <c r="G31" i="13"/>
  <c r="H31" i="13"/>
  <c r="C32" i="13"/>
  <c r="D32" i="13"/>
  <c r="E32" i="13"/>
  <c r="F32" i="13"/>
  <c r="G32" i="13"/>
  <c r="D26" i="13"/>
  <c r="E26" i="13"/>
  <c r="F26" i="13"/>
  <c r="G26" i="13"/>
  <c r="B34" i="13" s="1"/>
  <c r="H26" i="13"/>
  <c r="C26" i="13"/>
  <c r="D4" i="13" l="1"/>
  <c r="E4" i="13"/>
  <c r="F4" i="13"/>
  <c r="G4" i="13"/>
  <c r="K7" i="1"/>
  <c r="K8" i="1"/>
  <c r="K9" i="1"/>
  <c r="K10" i="1"/>
  <c r="K11" i="1"/>
  <c r="K12" i="1"/>
  <c r="K6" i="1"/>
  <c r="J7" i="1"/>
  <c r="J8" i="1"/>
  <c r="J9" i="1"/>
  <c r="J10" i="1"/>
  <c r="J11" i="1"/>
  <c r="J12" i="1"/>
  <c r="I7" i="1"/>
  <c r="I8" i="1"/>
  <c r="I9" i="1"/>
  <c r="I10" i="1"/>
  <c r="I11" i="1"/>
  <c r="I12" i="1"/>
  <c r="H7" i="1"/>
  <c r="H8" i="1"/>
  <c r="H9" i="1"/>
  <c r="H10" i="1"/>
  <c r="H11" i="1"/>
  <c r="H12" i="1"/>
  <c r="G7" i="1"/>
  <c r="G8" i="1"/>
  <c r="G9" i="1"/>
  <c r="G10" i="1"/>
  <c r="G11" i="1"/>
  <c r="G12" i="1"/>
  <c r="F7" i="1"/>
  <c r="F8" i="1"/>
  <c r="F9" i="1"/>
  <c r="F10" i="1"/>
  <c r="F11" i="1"/>
  <c r="F12" i="1"/>
  <c r="F6" i="1"/>
  <c r="G6" i="1"/>
  <c r="H6" i="1"/>
  <c r="I6" i="1"/>
  <c r="J6" i="1"/>
  <c r="E7" i="1"/>
  <c r="E8" i="1"/>
  <c r="E9" i="1"/>
  <c r="E10" i="1"/>
  <c r="E11" i="1"/>
  <c r="E12" i="1"/>
  <c r="E6" i="1"/>
  <c r="D7" i="1"/>
  <c r="D8" i="1"/>
  <c r="D9" i="1"/>
  <c r="D10" i="1"/>
  <c r="D11" i="1"/>
  <c r="D12" i="1"/>
  <c r="D6" i="1"/>
  <c r="C7" i="1"/>
  <c r="C8" i="1"/>
  <c r="C9" i="1"/>
  <c r="C10" i="1"/>
  <c r="C11" i="1"/>
  <c r="C12" i="1"/>
  <c r="C6" i="1"/>
  <c r="J12" i="12"/>
  <c r="I12" i="12"/>
  <c r="H12" i="12"/>
  <c r="G12" i="12"/>
  <c r="F12" i="12"/>
  <c r="E12" i="12"/>
  <c r="D12" i="12"/>
  <c r="C12" i="12"/>
  <c r="J11" i="12"/>
  <c r="I11" i="12"/>
  <c r="H11" i="12"/>
  <c r="G11" i="12"/>
  <c r="F11" i="12"/>
  <c r="E11" i="12"/>
  <c r="D11" i="12"/>
  <c r="C11" i="12"/>
  <c r="J10" i="12"/>
  <c r="I10" i="12"/>
  <c r="H10" i="12"/>
  <c r="G10" i="12"/>
  <c r="F10" i="12"/>
  <c r="E10" i="12"/>
  <c r="D10" i="12"/>
  <c r="C10" i="12"/>
  <c r="J9" i="12"/>
  <c r="I9" i="12"/>
  <c r="H9" i="12"/>
  <c r="G9" i="12"/>
  <c r="F9" i="12"/>
  <c r="E9" i="12"/>
  <c r="D9" i="12"/>
  <c r="C9" i="12"/>
  <c r="B5" i="13" l="1"/>
  <c r="D1" i="1"/>
  <c r="F9" i="11"/>
  <c r="F10" i="11" s="1"/>
  <c r="F11" i="11" s="1"/>
  <c r="F12" i="11" s="1"/>
  <c r="I8" i="11"/>
  <c r="I9" i="11" s="1"/>
  <c r="G8" i="11"/>
  <c r="G9" i="11" s="1"/>
  <c r="G10" i="11" s="1"/>
  <c r="G11" i="11" s="1"/>
  <c r="G12" i="11" s="1"/>
  <c r="F8" i="11"/>
  <c r="D8" i="11"/>
  <c r="D9" i="11" s="1"/>
  <c r="D10" i="11" s="1"/>
  <c r="D11" i="11" s="1"/>
  <c r="D12" i="11" s="1"/>
  <c r="J7" i="11"/>
  <c r="I7" i="11"/>
  <c r="H7" i="11"/>
  <c r="H8" i="11" s="1"/>
  <c r="H9" i="11" s="1"/>
  <c r="H10" i="11" s="1"/>
  <c r="H11" i="11" s="1"/>
  <c r="H12" i="11" s="1"/>
  <c r="G7" i="11"/>
  <c r="F7" i="11"/>
  <c r="E7" i="11"/>
  <c r="E8" i="11" s="1"/>
  <c r="E9" i="11" s="1"/>
  <c r="E10" i="11" s="1"/>
  <c r="E11" i="11" s="1"/>
  <c r="E12" i="11" s="1"/>
  <c r="D7" i="11"/>
  <c r="C7" i="11"/>
  <c r="C8" i="11" s="1"/>
  <c r="C9" i="11" s="1"/>
  <c r="C10" i="11" s="1"/>
  <c r="C11" i="11" s="1"/>
  <c r="C12" i="11" s="1"/>
  <c r="B7" i="11"/>
  <c r="B8" i="11" s="1"/>
  <c r="B9" i="11" s="1"/>
  <c r="B10" i="11" s="1"/>
  <c r="B11" i="11" s="1"/>
  <c r="B12" i="11" s="1"/>
  <c r="C21" i="7"/>
  <c r="C20" i="7"/>
  <c r="C19" i="7"/>
  <c r="C18" i="7"/>
  <c r="C9" i="7" s="1"/>
  <c r="C17" i="7"/>
  <c r="C8" i="7" s="1"/>
  <c r="C16" i="7"/>
  <c r="C7" i="7" s="1"/>
  <c r="C15" i="7"/>
  <c r="I12" i="7"/>
  <c r="H12" i="7"/>
  <c r="G12" i="7"/>
  <c r="F12" i="7"/>
  <c r="E12" i="7"/>
  <c r="D12" i="7"/>
  <c r="C12" i="7"/>
  <c r="I11" i="7"/>
  <c r="H11" i="7"/>
  <c r="G11" i="7"/>
  <c r="F11" i="7"/>
  <c r="E11" i="7"/>
  <c r="D11" i="7"/>
  <c r="C11" i="7"/>
  <c r="I10" i="7"/>
  <c r="H10" i="7"/>
  <c r="G10" i="7"/>
  <c r="F10" i="7"/>
  <c r="E10" i="7"/>
  <c r="D10" i="7"/>
  <c r="C10" i="7"/>
  <c r="I9" i="7"/>
  <c r="H9" i="7"/>
  <c r="G9" i="7"/>
  <c r="F9" i="7"/>
  <c r="E9" i="7"/>
  <c r="D9" i="7"/>
  <c r="I8" i="7"/>
  <c r="H8" i="7"/>
  <c r="G8" i="7"/>
  <c r="F8" i="7"/>
  <c r="E8" i="7"/>
  <c r="D8" i="7"/>
  <c r="I7" i="7"/>
  <c r="H7" i="7"/>
  <c r="G7" i="7"/>
  <c r="F7" i="7"/>
  <c r="E7" i="7"/>
  <c r="D7" i="7"/>
  <c r="I6" i="7"/>
  <c r="H6" i="7"/>
  <c r="G6" i="7"/>
  <c r="F6" i="7"/>
  <c r="E6" i="7"/>
  <c r="D6" i="7"/>
  <c r="C6" i="7"/>
  <c r="I10" i="11" l="1"/>
  <c r="J9" i="11"/>
  <c r="J8" i="11"/>
  <c r="I12" i="5"/>
  <c r="H12" i="5"/>
  <c r="G12" i="5"/>
  <c r="F12" i="5"/>
  <c r="E12" i="5"/>
  <c r="D12" i="5"/>
  <c r="C12" i="5"/>
  <c r="I11" i="5"/>
  <c r="H11" i="5"/>
  <c r="G11" i="5"/>
  <c r="F11" i="5"/>
  <c r="E11" i="5"/>
  <c r="D11" i="5"/>
  <c r="C11" i="5"/>
  <c r="J10" i="5"/>
  <c r="J11" i="5" s="1"/>
  <c r="J12" i="5" s="1"/>
  <c r="I10" i="5"/>
  <c r="H10" i="5"/>
  <c r="G10" i="5"/>
  <c r="F10" i="5"/>
  <c r="E10" i="5"/>
  <c r="D10" i="5"/>
  <c r="C10" i="5"/>
  <c r="I9" i="5"/>
  <c r="H9" i="5"/>
  <c r="G9" i="5"/>
  <c r="F9" i="5"/>
  <c r="E9" i="5"/>
  <c r="D9" i="5"/>
  <c r="C9" i="5"/>
  <c r="D8" i="5"/>
  <c r="I11" i="11" l="1"/>
  <c r="J10" i="11"/>
  <c r="I12" i="4"/>
  <c r="H12" i="4"/>
  <c r="G12" i="4"/>
  <c r="F12" i="4"/>
  <c r="E12" i="4"/>
  <c r="D12" i="4"/>
  <c r="C12" i="4"/>
  <c r="I11" i="4"/>
  <c r="H11" i="4"/>
  <c r="G11" i="4"/>
  <c r="F11" i="4"/>
  <c r="E11" i="4"/>
  <c r="D11" i="4"/>
  <c r="C11" i="4"/>
  <c r="I10" i="4"/>
  <c r="H10" i="4"/>
  <c r="G10" i="4"/>
  <c r="F10" i="4"/>
  <c r="E10" i="4"/>
  <c r="D10" i="4"/>
  <c r="C10" i="4"/>
  <c r="I9" i="4"/>
  <c r="H9" i="4"/>
  <c r="G9" i="4"/>
  <c r="F9" i="4"/>
  <c r="E9" i="4"/>
  <c r="D9" i="4"/>
  <c r="C9" i="4"/>
  <c r="I8" i="4"/>
  <c r="H8" i="4"/>
  <c r="G8" i="4"/>
  <c r="F8" i="4"/>
  <c r="E8" i="4"/>
  <c r="D8" i="4"/>
  <c r="C8" i="4"/>
  <c r="I7" i="4"/>
  <c r="H7" i="4"/>
  <c r="G7" i="4"/>
  <c r="F7" i="4"/>
  <c r="E7" i="4"/>
  <c r="D7" i="4"/>
  <c r="C7" i="4"/>
  <c r="I6" i="4"/>
  <c r="H6" i="4"/>
  <c r="G6" i="4"/>
  <c r="F6" i="4"/>
  <c r="E6" i="4"/>
  <c r="D6" i="4"/>
  <c r="C6" i="4"/>
  <c r="I12" i="11" l="1"/>
  <c r="J12" i="11" s="1"/>
  <c r="J11" i="11"/>
  <c r="B36" i="2"/>
  <c r="H35" i="2"/>
  <c r="B35" i="2"/>
  <c r="G34" i="2"/>
  <c r="B34" i="2"/>
  <c r="B33" i="2"/>
  <c r="J24" i="2"/>
  <c r="I24" i="2"/>
  <c r="H24" i="2"/>
  <c r="G24" i="2"/>
  <c r="F24" i="2"/>
  <c r="E24" i="2"/>
  <c r="D24" i="2"/>
  <c r="C24" i="2"/>
  <c r="J23" i="2"/>
  <c r="I23" i="2"/>
  <c r="H23" i="2"/>
  <c r="G23" i="2"/>
  <c r="F23" i="2"/>
  <c r="E23" i="2"/>
  <c r="D23" i="2"/>
  <c r="C23" i="2"/>
  <c r="J22" i="2"/>
  <c r="I22" i="2"/>
  <c r="H22" i="2"/>
  <c r="G22" i="2"/>
  <c r="F22" i="2"/>
  <c r="E22" i="2"/>
  <c r="D22" i="2"/>
  <c r="C22" i="2"/>
  <c r="J21" i="2"/>
  <c r="I21" i="2"/>
  <c r="H21" i="2"/>
  <c r="G21" i="2"/>
  <c r="F21" i="2"/>
  <c r="E21" i="2"/>
  <c r="D21" i="2"/>
  <c r="C21" i="2"/>
  <c r="J12" i="2"/>
  <c r="J36" i="2" s="1"/>
  <c r="I12" i="2"/>
  <c r="I36" i="2" s="1"/>
  <c r="H12" i="2"/>
  <c r="H36" i="2" s="1"/>
  <c r="G12" i="2"/>
  <c r="G36" i="2" s="1"/>
  <c r="F12" i="2"/>
  <c r="F36" i="2" s="1"/>
  <c r="E12" i="2"/>
  <c r="E36" i="2" s="1"/>
  <c r="D12" i="2"/>
  <c r="D36" i="2" s="1"/>
  <c r="C12" i="2"/>
  <c r="C36" i="2" s="1"/>
  <c r="J11" i="2"/>
  <c r="J35" i="2" s="1"/>
  <c r="I11" i="2"/>
  <c r="I35" i="2" s="1"/>
  <c r="H11" i="2"/>
  <c r="G11" i="2"/>
  <c r="G35" i="2" s="1"/>
  <c r="F11" i="2"/>
  <c r="F35" i="2" s="1"/>
  <c r="E11" i="2"/>
  <c r="E35" i="2" s="1"/>
  <c r="D11" i="2"/>
  <c r="D35" i="2" s="1"/>
  <c r="C11" i="2"/>
  <c r="C35" i="2" s="1"/>
  <c r="J10" i="2"/>
  <c r="J34" i="2" s="1"/>
  <c r="I10" i="2"/>
  <c r="I34" i="2" s="1"/>
  <c r="H10" i="2"/>
  <c r="H34" i="2" s="1"/>
  <c r="G10" i="2"/>
  <c r="F10" i="2"/>
  <c r="F34" i="2" s="1"/>
  <c r="E10" i="2"/>
  <c r="E34" i="2" s="1"/>
  <c r="D10" i="2"/>
  <c r="D34" i="2" s="1"/>
  <c r="C10" i="2"/>
  <c r="C34" i="2" s="1"/>
  <c r="J9" i="2"/>
  <c r="J33" i="2" s="1"/>
  <c r="I9" i="2"/>
  <c r="I33" i="2" s="1"/>
  <c r="H9" i="2"/>
  <c r="H33" i="2" s="1"/>
  <c r="G9" i="2"/>
  <c r="G33" i="2" s="1"/>
  <c r="F9" i="2"/>
  <c r="F33" i="2" s="1"/>
  <c r="E9" i="2"/>
  <c r="E33" i="2" s="1"/>
  <c r="D9" i="2"/>
  <c r="D33" i="2" s="1"/>
  <c r="C9" i="2"/>
  <c r="C33" i="2" s="1"/>
</calcChain>
</file>

<file path=xl/sharedStrings.xml><?xml version="1.0" encoding="utf-8"?>
<sst xmlns="http://schemas.openxmlformats.org/spreadsheetml/2006/main" count="304" uniqueCount="89">
  <si>
    <t>CONCEPTO</t>
  </si>
  <si>
    <t>Nro.</t>
  </si>
  <si>
    <t>ESCENARIOS</t>
  </si>
  <si>
    <t>Presupuesto Anual CODIFICADO 2023 - para las pensiones de jubilaciones Patronales (Partida 520111)</t>
  </si>
  <si>
    <t>ACTUAL ($202,50)</t>
  </si>
  <si>
    <r>
      <t xml:space="preserve">Nro. de Beneficiarios </t>
    </r>
    <r>
      <rPr>
        <b/>
        <sz val="12"/>
        <color theme="1"/>
        <rFont val="Arial Narrow"/>
        <family val="2"/>
      </rPr>
      <t>QUE ACTUALMETE PERCIBEN</t>
    </r>
    <r>
      <rPr>
        <sz val="12"/>
        <color theme="1"/>
        <rFont val="Arial Narrow"/>
        <family val="2"/>
      </rPr>
      <t xml:space="preserve"> la jubilación patronal marzo 2023</t>
    </r>
  </si>
  <si>
    <t>50% del SBU</t>
  </si>
  <si>
    <t>60% del SBU</t>
  </si>
  <si>
    <t>70% del SBU</t>
  </si>
  <si>
    <t>80% del SBU</t>
  </si>
  <si>
    <t>100% del SBU</t>
  </si>
  <si>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</si>
  <si>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</si>
  <si>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</si>
  <si>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</si>
  <si>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</si>
  <si>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</si>
  <si>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t>Notas:</t>
  </si>
  <si>
    <t>90%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</si>
  <si>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</si>
  <si>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rPr>
        <b/>
        <i/>
        <u/>
        <sz val="12"/>
        <color theme="1"/>
        <rFont val="Arial Narrow"/>
        <family val="2"/>
      </rPr>
      <t>*Artículo 1.-</t>
    </r>
    <r>
      <rPr>
        <i/>
        <sz val="12"/>
        <color theme="1"/>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</si>
  <si>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la proyección en cada 5 años, la tasa de crecimiento promedio de jubilados, así como las defunciones registradas / proyectadas.</t>
  </si>
  <si>
    <t>2. Se deberá considerar el valor total requerido por cada dependencia incluyendo los beneficios de ley (decimos).</t>
  </si>
  <si>
    <t xml:space="preserve">3. Cada informe deberá concluir si se cuenta o NO con el espacio presupuestario y/o la liquidez para atender el incremento proyectado. Y de ser el caso la propuesta de como se financiará en cada una de las dependencias los posibles incrementos. </t>
  </si>
  <si>
    <t>4. Las dependencias que a la fecha no tengan jubilados patronales, deberán especificar si han realizado las provisiones respectivas en función a lo que estable la normativa legal.</t>
  </si>
  <si>
    <t>5. Se deberá considerar para hacer la proyección el año en que legalmente tengan los primeros jubilados la posibilidad legal de acogerse a la misma. Ej.. Si la dependencia fue creada en el 2010, se deberá considerar la proyección desde el 2030.</t>
  </si>
  <si>
    <t>PERSONAL CÓDIGO DE TRABAJO</t>
  </si>
  <si>
    <t>PERSONAL LOEP</t>
  </si>
  <si>
    <t>PERSONAL QUITO TURISMO</t>
  </si>
  <si>
    <t>Notas</t>
  </si>
  <si>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</si>
  <si>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</si>
  <si>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</si>
  <si>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 xml:space="preserve">3. Cada informe deberá concluir si se cuenta o NO con el presupesto o y/o la liquidez para atender el incremento proyectado. Y de ser el caso, la propuesta de cómo se financiará en cada una de las dependencias, los posibles incrementos. </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</si>
  <si>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</si>
  <si>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</si>
  <si>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ACTUAL 
45% del SBU</t>
  </si>
  <si>
    <t>DECIMO CUARTO ESTIMADO</t>
  </si>
  <si>
    <t>AÑO 2028</t>
  </si>
  <si>
    <t>AÑO 2033</t>
  </si>
  <si>
    <t>AÑO 2038</t>
  </si>
  <si>
    <t>AÑO 2043</t>
  </si>
  <si>
    <t>AÑO 2048</t>
  </si>
  <si>
    <t>DECIMO TERCERO ESTIMADO</t>
  </si>
  <si>
    <r>
      <t xml:space="preserve">Aplicación </t>
    </r>
    <r>
      <rPr>
        <b/>
        <u/>
        <sz val="10"/>
        <color theme="1"/>
        <rFont val="Arial"/>
        <family val="2"/>
      </rPr>
      <t>*Art. 1</t>
    </r>
    <r>
      <rPr>
        <b/>
        <sz val="10"/>
        <color theme="1"/>
        <rFont val="Arial"/>
        <family val="2"/>
      </rPr>
      <t xml:space="preserve"> texto ORD. </t>
    </r>
  </si>
  <si>
    <r>
      <t xml:space="preserve">Nro. de Beneficiarios </t>
    </r>
    <r>
      <rPr>
        <b/>
        <sz val="10"/>
        <color theme="1"/>
        <rFont val="Arial"/>
        <family val="2"/>
      </rPr>
      <t>QUE ACTUALMETE PERCIBEN</t>
    </r>
    <r>
      <rPr>
        <sz val="10"/>
        <color theme="1"/>
        <rFont val="Arial"/>
        <family val="2"/>
      </rPr>
      <t xml:space="preserve"> la jubilación patronal marzo 2023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</si>
  <si>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2023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</si>
  <si>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2028</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</si>
  <si>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2033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</si>
  <si>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2038</t>
    </r>
  </si>
  <si>
    <r>
      <t xml:space="preserve">Nro. de Beneficiarios </t>
    </r>
    <r>
      <rPr>
        <b/>
        <sz val="10"/>
        <color rgb="FFFF0000"/>
        <rFont val="Arial"/>
        <family val="2"/>
      </rPr>
      <t xml:space="preserve">QUE SE PROYECTA </t>
    </r>
    <r>
      <rPr>
        <sz val="10"/>
        <color theme="1"/>
        <rFont val="Arial"/>
        <family val="2"/>
      </rPr>
      <t xml:space="preserve"> por jubilación patronal a diciembre </t>
    </r>
    <r>
      <rPr>
        <b/>
        <u/>
        <sz val="10"/>
        <color theme="1"/>
        <rFont val="Arial"/>
        <family val="2"/>
      </rPr>
      <t>2043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</si>
  <si>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2048</t>
    </r>
  </si>
  <si>
    <t>Andrés Estrella Cartagena</t>
  </si>
  <si>
    <t>Director Administrativo Financiero EPMRQ</t>
  </si>
  <si>
    <t>Telf.: 3952-300 ext. 18702</t>
  </si>
  <si>
    <t>Email: andres.estrella@epmrq.gob.ec</t>
  </si>
  <si>
    <r>
      <rPr>
        <b/>
        <i/>
        <u/>
        <sz val="10"/>
        <rFont val="Arial"/>
        <family val="2"/>
      </rPr>
      <t>*Artículo 1.-</t>
    </r>
    <r>
      <rPr>
        <i/>
        <sz val="10"/>
        <rFont val="Arial"/>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</si>
  <si>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Elaborado por:</t>
  </si>
  <si>
    <t xml:space="preserve">Revisado por: </t>
  </si>
  <si>
    <t>Diego Copara
Especialista de Talento Humano</t>
  </si>
  <si>
    <t>Ing. Wilson Soria.
Coordinador de Talento Humano</t>
  </si>
  <si>
    <t>AÑO 2023 (MAR)</t>
  </si>
  <si>
    <t>AÑO 2023 (DIC)</t>
  </si>
  <si>
    <r>
      <t xml:space="preserve">Aplicación </t>
    </r>
    <r>
      <rPr>
        <b/>
        <u/>
        <sz val="14"/>
        <color indexed="8"/>
        <rFont val="Calibri"/>
        <family val="2"/>
      </rPr>
      <t>*</t>
    </r>
    <r>
      <rPr>
        <b/>
        <u/>
        <sz val="11"/>
        <color indexed="8"/>
        <rFont val="Calibri"/>
        <family val="2"/>
      </rPr>
      <t>Art. 1</t>
    </r>
    <r>
      <rPr>
        <b/>
        <sz val="11"/>
        <color indexed="8"/>
        <rFont val="Calibri"/>
        <family val="2"/>
      </rPr>
      <t xml:space="preserve"> texto ORD. </t>
    </r>
  </si>
  <si>
    <r>
      <t xml:space="preserve">Nro. de Beneficiarios </t>
    </r>
    <r>
      <rPr>
        <b/>
        <sz val="12"/>
        <color indexed="8"/>
        <rFont val="Arial Narrow"/>
        <family val="2"/>
      </rPr>
      <t>QUE ACTUALMETE PERCIBEN</t>
    </r>
    <r>
      <rPr>
        <sz val="12"/>
        <color indexed="8"/>
        <rFont val="Arial Narrow"/>
        <family val="2"/>
      </rPr>
      <t xml:space="preserve"> la jubilación patronal marzo 2023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</si>
  <si>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2023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</si>
  <si>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2028</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</si>
  <si>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2033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</si>
  <si>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2038</t>
    </r>
  </si>
  <si>
    <r>
      <t xml:space="preserve">Nro. de Beneficiarios </t>
    </r>
    <r>
      <rPr>
        <b/>
        <sz val="12"/>
        <color indexed="10"/>
        <rFont val="Arial Narrow"/>
        <family val="2"/>
      </rPr>
      <t xml:space="preserve">QUE SE PROYECTA </t>
    </r>
    <r>
      <rPr>
        <sz val="12"/>
        <color indexed="8"/>
        <rFont val="Arial Narrow"/>
        <family val="2"/>
      </rPr>
      <t xml:space="preserve"> por jubilación patronal a diciembre </t>
    </r>
    <r>
      <rPr>
        <b/>
        <u/>
        <sz val="12"/>
        <color indexed="8"/>
        <rFont val="Arial Narrow"/>
        <family val="2"/>
      </rPr>
      <t>2043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</si>
  <si>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2048</t>
    </r>
  </si>
  <si>
    <t>Elaborapo por:</t>
  </si>
  <si>
    <t>Revisado por:</t>
  </si>
  <si>
    <t>Aprobado por:</t>
  </si>
  <si>
    <t>………………………………………….</t>
  </si>
  <si>
    <t>………………………………………………….</t>
  </si>
  <si>
    <t>……………………………………………………….</t>
  </si>
  <si>
    <t xml:space="preserve">Ing. Diego Vega </t>
  </si>
  <si>
    <t>Ing. Ronnie Villacis</t>
  </si>
  <si>
    <t>Ing. Hernán Lascano MBA.</t>
  </si>
  <si>
    <t>ASISTENTE DE DESARROLLO DE 
TALENTO HUMANO</t>
  </si>
  <si>
    <t>LÍDER DE ADMINISTRACIÓN DE TALENTO HUMANO</t>
  </si>
  <si>
    <t>DIRECTOR  DE TALENTO HUMANO</t>
  </si>
  <si>
    <r>
      <rPr>
        <b/>
        <i/>
        <u/>
        <sz val="10"/>
        <rFont val="Arial Narrow"/>
        <family val="2"/>
      </rPr>
      <t>*Artículo 1.-</t>
    </r>
    <r>
      <rPr>
        <i/>
        <sz val="10"/>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</si>
  <si>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AÑO</t>
  </si>
  <si>
    <t>PROY. JUBILADOS</t>
  </si>
  <si>
    <t>% CRECIMIENTO</t>
  </si>
  <si>
    <t>PROM % CRECIMIENTO</t>
  </si>
  <si>
    <t>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</si>
</sst>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 &quot;$&quot;* #,##0.00_ ;_ &quot;$&quot;* \-#,##0.00_ ;_ &quot;$&quot;* &quot;-&quot;??_ ;_ @_ "/>
    <numFmt numFmtId="164"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rgb="FFFF0000"/>
      <name val="Arial Narrow"/>
      <family val="2"/>
    </font>
    <font>
      <b/>
      <u/>
      <sz val="14"/>
      <color rgb="FF000000"/>
      <name val="Calibri"/>
      <family val="2"/>
    </font>
    <font>
      <b/>
      <sz val="11"/>
      <color rgb="FF000000"/>
      <name val="Calibri"/>
      <family val="2"/>
    </font>
    <font>
      <b/>
      <sz val="14"/>
      <color theme="1"/>
      <name val="Arial Narrow"/>
      <family val="2"/>
    </font>
    <font>
      <b/>
      <u/>
      <sz val="20"/>
      <color theme="1"/>
      <name val="Arial Narrow"/>
      <family val="2"/>
    </font>
    <font>
      <b/>
      <u/>
      <sz val="11"/>
      <color rgb="FF000000"/>
      <name val="Calibri"/>
      <family val="2"/>
    </font>
    <font>
      <b/>
      <shadow/>
      <sz val="14"/>
      <color rgb="FF000000"/>
      <name val="Calibri"/>
      <family val="2"/>
    </font>
    <font>
      <b/>
      <u/>
      <sz val="12"/>
      <color theme="1"/>
      <name val="Arial Narrow"/>
      <family val="2"/>
    </font>
    <font>
      <sz val="12"/>
      <name val="Arial Narrow"/>
      <family val="2"/>
    </font>
    <font>
      <b/>
      <u/>
      <sz val="11"/>
      <color theme="1"/>
      <name val="Calibri"/>
      <family val="2"/>
      <scheme val="minor"/>
    </font>
    <font>
      <b/>
      <u/>
      <sz val="14"/>
      <color theme="1"/>
      <name val="Calibri"/>
      <family val="2"/>
      <scheme val="minor"/>
    </font>
    <font>
      <i/>
      <sz val="12"/>
      <color theme="1"/>
      <name val="Arial Narrow"/>
      <family val="2"/>
    </font>
    <font>
      <b/>
      <i/>
      <u/>
      <sz val="12"/>
      <color theme="1"/>
      <name val="Arial Narrow"/>
      <family val="2"/>
    </font>
    <font>
      <b/>
      <i/>
      <sz val="14"/>
      <color theme="1"/>
      <name val="Arial Narrow"/>
      <family val="2"/>
    </font>
    <font>
      <sz val="14"/>
      <color theme="1"/>
      <name val="Arial Narrow"/>
      <family val="2"/>
    </font>
    <font>
      <b/>
      <sz val="14"/>
      <color rgb="FFFF0000"/>
      <name val="Arial Narrow"/>
      <family val="2"/>
    </font>
    <font>
      <b/>
      <i/>
      <sz val="14"/>
      <color rgb="FFFF0000"/>
      <name val="Arial Narrow"/>
      <family val="2"/>
    </font>
    <font>
      <i/>
      <sz val="12"/>
      <name val="Arial Narrow"/>
      <family val="2"/>
    </font>
    <font>
      <b/>
      <i/>
      <u/>
      <sz val="12"/>
      <name val="Arial Narrow"/>
      <family val="2"/>
    </font>
    <font>
      <sz val="14"/>
      <name val="Arial Narrow"/>
      <family val="2"/>
    </font>
    <font>
      <b/>
      <u/>
      <sz val="13"/>
      <color rgb="FF000000"/>
      <name val="Calibri"/>
      <family val="2"/>
    </font>
    <font>
      <b/>
      <sz val="10"/>
      <color theme="1"/>
      <name val="Arial"/>
      <family val="2"/>
    </font>
    <font>
      <sz val="10"/>
      <color theme="1"/>
      <name val="Arial"/>
      <family val="2"/>
    </font>
    <font>
      <b/>
      <u/>
      <sz val="10"/>
      <color theme="1"/>
      <name val="Arial"/>
      <family val="2"/>
    </font>
    <font>
      <b/>
      <u/>
      <sz val="10"/>
      <color rgb="FF000000"/>
      <name val="Arial"/>
      <family val="2"/>
    </font>
    <font>
      <b/>
      <shadow/>
      <sz val="10"/>
      <color rgb="FF000000"/>
      <name val="Arial"/>
      <family val="2"/>
    </font>
    <font>
      <b/>
      <sz val="10"/>
      <color rgb="FF000000"/>
      <name val="Arial"/>
      <family val="2"/>
    </font>
    <font>
      <sz val="10"/>
      <name val="Arial"/>
      <family val="2"/>
    </font>
    <font>
      <b/>
      <sz val="10"/>
      <color rgb="FFFF0000"/>
      <name val="Arial"/>
      <family val="2"/>
    </font>
    <font>
      <b/>
      <sz val="11"/>
      <color rgb="FF1F487C"/>
      <name val="Calibri"/>
      <family val="2"/>
      <scheme val="minor"/>
    </font>
    <font>
      <sz val="10"/>
      <color rgb="FF1F487C"/>
      <name val="Calibri"/>
      <family val="2"/>
    </font>
    <font>
      <u/>
      <sz val="11"/>
      <color theme="10"/>
      <name val="Calibri"/>
      <family val="2"/>
      <scheme val="minor"/>
    </font>
    <font>
      <b/>
      <i/>
      <sz val="10"/>
      <color rgb="FFFF0000"/>
      <name val="Arial"/>
      <family val="2"/>
    </font>
    <font>
      <i/>
      <sz val="10"/>
      <name val="Arial"/>
      <family val="2"/>
    </font>
    <font>
      <b/>
      <i/>
      <u/>
      <sz val="10"/>
      <name val="Arial"/>
      <family val="2"/>
    </font>
    <font>
      <sz val="10"/>
      <color indexed="8"/>
      <name val="Arial"/>
      <family val="2"/>
    </font>
    <font>
      <b/>
      <u/>
      <sz val="14"/>
      <color indexed="8"/>
      <name val="Calibri"/>
      <family val="2"/>
    </font>
    <font>
      <b/>
      <u/>
      <sz val="11"/>
      <color indexed="8"/>
      <name val="Calibri"/>
      <family val="2"/>
    </font>
    <font>
      <b/>
      <sz val="11"/>
      <color indexed="8"/>
      <name val="Calibri"/>
      <family val="2"/>
    </font>
    <font>
      <b/>
      <sz val="12"/>
      <color indexed="8"/>
      <name val="Arial Narrow"/>
      <family val="2"/>
    </font>
    <font>
      <sz val="12"/>
      <color indexed="8"/>
      <name val="Arial Narrow"/>
      <family val="2"/>
    </font>
    <font>
      <b/>
      <sz val="12"/>
      <color indexed="10"/>
      <name val="Arial Narrow"/>
      <family val="2"/>
    </font>
    <font>
      <b/>
      <u/>
      <sz val="12"/>
      <color indexed="8"/>
      <name val="Arial Narrow"/>
      <family val="2"/>
    </font>
    <font>
      <sz val="10"/>
      <color indexed="8"/>
      <name val="Arial Narrow"/>
      <family val="2"/>
    </font>
    <font>
      <b/>
      <sz val="12"/>
      <name val="Arial Narrow"/>
      <family val="2"/>
    </font>
    <font>
      <b/>
      <sz val="12"/>
      <color rgb="FF040404"/>
      <name val="Arial Narrow"/>
      <family val="2"/>
    </font>
    <font>
      <b/>
      <sz val="10"/>
      <name val="Arial Narrow"/>
      <family val="2"/>
    </font>
    <font>
      <b/>
      <sz val="10"/>
      <color rgb="FF040404"/>
      <name val="Arial Narrow"/>
      <family val="2"/>
    </font>
    <font>
      <b/>
      <i/>
      <sz val="10"/>
      <color rgb="FFFF0000"/>
      <name val="Arial Narrow"/>
      <family val="2"/>
    </font>
    <font>
      <sz val="10"/>
      <color theme="1"/>
      <name val="Arial Narrow"/>
      <family val="2"/>
    </font>
    <font>
      <i/>
      <sz val="10"/>
      <name val="Arial Narrow"/>
      <family val="2"/>
    </font>
    <font>
      <b/>
      <i/>
      <u/>
      <sz val="10"/>
      <name val="Arial Narrow"/>
      <family val="2"/>
    </font>
    <font>
      <sz val="10"/>
      <name val="Arial Narrow"/>
      <family val="2"/>
    </font>
  </fonts>
  <fills count="12">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s>
  <borders count="5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44" fontId="1" fillId="0" borderId="0" applyFon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0" fontId="40" fillId="0" borderId="0">
      <alignment vertical="top"/>
    </xf>
    <xf numFmtId="44" fontId="40" fillId="0" borderId="0" applyFont="0" applyFill="0" applyBorder="0" applyAlignment="0" applyProtection="0">
      <alignment vertical="top"/>
    </xf>
  </cellStyleXfs>
  <cellXfs count="220">
    <xf numFmtId="0" fontId="0" fillId="0" borderId="0" xfId="0"/>
    <xf numFmtId="0" fontId="3" fillId="0" borderId="0" xfId="0" applyFont="1"/>
    <xf numFmtId="8" fontId="7" fillId="7" borderId="8" xfId="0" applyNumberFormat="1" applyFont="1" applyFill="1" applyBorder="1" applyAlignment="1">
      <alignment horizontal="center" vertical="center" wrapText="1"/>
    </xf>
    <xf numFmtId="44" fontId="13" fillId="2" borderId="4" xfId="1" applyFont="1" applyFill="1" applyBorder="1" applyAlignment="1">
      <alignment horizontal="center" vertical="center"/>
    </xf>
    <xf numFmtId="44" fontId="3" fillId="2" borderId="4" xfId="1" applyFont="1" applyFill="1" applyBorder="1"/>
    <xf numFmtId="44" fontId="13" fillId="2" borderId="5" xfId="1" applyFont="1" applyFill="1" applyBorder="1" applyAlignment="1">
      <alignment horizontal="center" vertical="center"/>
    </xf>
    <xf numFmtId="44" fontId="3" fillId="2" borderId="5" xfId="1" applyFont="1" applyFill="1" applyBorder="1"/>
    <xf numFmtId="0" fontId="3" fillId="0" borderId="14" xfId="0" applyFont="1" applyBorder="1" applyAlignment="1">
      <alignment vertical="center"/>
    </xf>
    <xf numFmtId="0" fontId="3" fillId="0" borderId="14" xfId="0" applyFont="1" applyBorder="1"/>
    <xf numFmtId="0" fontId="3" fillId="0" borderId="7" xfId="0" applyFont="1" applyBorder="1"/>
    <xf numFmtId="8" fontId="7" fillId="7" borderId="10" xfId="0" applyNumberFormat="1" applyFont="1" applyFill="1" applyBorder="1" applyAlignment="1">
      <alignment horizontal="center" vertical="center" wrapText="1"/>
    </xf>
    <xf numFmtId="44" fontId="13" fillId="2" borderId="11" xfId="1" applyFont="1" applyFill="1" applyBorder="1" applyAlignment="1">
      <alignment horizontal="center" vertical="center"/>
    </xf>
    <xf numFmtId="44" fontId="13" fillId="2" borderId="12" xfId="1" applyFont="1" applyFill="1" applyBorder="1" applyAlignment="1">
      <alignment horizontal="center" vertical="center"/>
    </xf>
    <xf numFmtId="44" fontId="3" fillId="2" borderId="12" xfId="1" applyFont="1" applyFill="1" applyBorder="1"/>
    <xf numFmtId="44" fontId="13" fillId="4" borderId="16" xfId="1" applyFont="1" applyFill="1" applyBorder="1" applyAlignment="1">
      <alignment horizontal="center" vertical="center"/>
    </xf>
    <xf numFmtId="44" fontId="3" fillId="4" borderId="16" xfId="1" applyFont="1" applyFill="1" applyBorder="1"/>
    <xf numFmtId="44" fontId="3" fillId="4" borderId="2" xfId="1" applyFont="1" applyFill="1" applyBorder="1"/>
    <xf numFmtId="8" fontId="7" fillId="7" borderId="9" xfId="0" applyNumberFormat="1" applyFont="1" applyFill="1" applyBorder="1" applyAlignment="1">
      <alignment horizontal="center" vertical="center" wrapText="1"/>
    </xf>
    <xf numFmtId="44" fontId="3" fillId="2" borderId="13" xfId="1" applyFont="1" applyFill="1" applyBorder="1"/>
    <xf numFmtId="44" fontId="3" fillId="2" borderId="15" xfId="1" applyFont="1" applyFill="1" applyBorder="1"/>
    <xf numFmtId="44" fontId="3" fillId="2" borderId="8" xfId="1" applyFont="1" applyFill="1" applyBorder="1"/>
    <xf numFmtId="44" fontId="3" fillId="2" borderId="9" xfId="1" applyFont="1" applyFill="1" applyBorder="1"/>
    <xf numFmtId="44" fontId="3" fillId="9" borderId="3" xfId="1" applyFont="1" applyFill="1" applyBorder="1"/>
    <xf numFmtId="44" fontId="3" fillId="9" borderId="16" xfId="1" applyFont="1" applyFill="1" applyBorder="1"/>
    <xf numFmtId="44" fontId="3" fillId="9" borderId="2" xfId="1" applyFont="1" applyFill="1" applyBorder="1"/>
    <xf numFmtId="9" fontId="11" fillId="7" borderId="5" xfId="0" applyNumberFormat="1" applyFont="1" applyFill="1" applyBorder="1" applyAlignment="1">
      <alignment horizontal="center" vertical="center" wrapText="1"/>
    </xf>
    <xf numFmtId="9" fontId="11" fillId="7" borderId="13" xfId="0" applyNumberFormat="1" applyFont="1" applyFill="1" applyBorder="1" applyAlignment="1">
      <alignment horizontal="center" vertical="center" wrapText="1"/>
    </xf>
    <xf numFmtId="44" fontId="3" fillId="2" borderId="20" xfId="1" applyFont="1" applyFill="1" applyBorder="1"/>
    <xf numFmtId="44" fontId="3" fillId="2" borderId="22" xfId="1" applyFont="1" applyFill="1" applyBorder="1"/>
    <xf numFmtId="44" fontId="3" fillId="2" borderId="21" xfId="1" applyFont="1" applyFill="1" applyBorder="1"/>
    <xf numFmtId="44" fontId="8" fillId="8" borderId="0" xfId="0" applyNumberFormat="1" applyFont="1" applyFill="1" applyBorder="1" applyAlignment="1">
      <alignment horizontal="center" vertical="center"/>
    </xf>
    <xf numFmtId="44" fontId="8" fillId="10" borderId="0" xfId="0" applyNumberFormat="1" applyFont="1" applyFill="1" applyBorder="1" applyAlignment="1">
      <alignment horizontal="center" vertical="center"/>
    </xf>
    <xf numFmtId="0" fontId="8" fillId="10" borderId="0" xfId="0" applyFont="1" applyFill="1" applyBorder="1" applyAlignment="1">
      <alignment horizontal="center" vertical="center" wrapText="1"/>
    </xf>
    <xf numFmtId="0" fontId="3" fillId="0" borderId="22" xfId="0" applyNumberFormat="1" applyFont="1" applyBorder="1" applyAlignment="1">
      <alignment horizontal="center"/>
    </xf>
    <xf numFmtId="0" fontId="3" fillId="0" borderId="21" xfId="0" applyNumberFormat="1" applyFont="1" applyBorder="1" applyAlignment="1">
      <alignment horizontal="center"/>
    </xf>
    <xf numFmtId="9" fontId="11" fillId="7" borderId="11" xfId="0" applyNumberFormat="1" applyFont="1" applyFill="1" applyBorder="1" applyAlignment="1">
      <alignment horizontal="center" vertical="center" wrapText="1"/>
    </xf>
    <xf numFmtId="44" fontId="3" fillId="2" borderId="10" xfId="1" applyFont="1" applyFill="1" applyBorder="1"/>
    <xf numFmtId="0" fontId="10" fillId="3" borderId="1" xfId="0" applyFont="1" applyFill="1" applyBorder="1" applyAlignment="1">
      <alignment horizontal="center" vertical="center" wrapText="1"/>
    </xf>
    <xf numFmtId="9" fontId="6" fillId="3" borderId="16" xfId="0" applyNumberFormat="1" applyFont="1" applyFill="1" applyBorder="1" applyAlignment="1">
      <alignment horizontal="center" vertical="center" wrapText="1"/>
    </xf>
    <xf numFmtId="0" fontId="18" fillId="0" borderId="0" xfId="0" applyFont="1"/>
    <xf numFmtId="44" fontId="8" fillId="8" borderId="0" xfId="0" applyNumberFormat="1" applyFont="1" applyFill="1" applyAlignment="1">
      <alignment horizontal="center" vertical="center"/>
    </xf>
    <xf numFmtId="0" fontId="8" fillId="10" borderId="0" xfId="0" applyFont="1" applyFill="1" applyAlignment="1">
      <alignment horizontal="center" vertical="center" wrapText="1"/>
    </xf>
    <xf numFmtId="44" fontId="8" fillId="10" borderId="0" xfId="0" applyNumberFormat="1" applyFont="1" applyFill="1" applyAlignment="1">
      <alignment horizontal="center" vertical="center"/>
    </xf>
    <xf numFmtId="9" fontId="11" fillId="7" borderId="26" xfId="0" applyNumberFormat="1" applyFont="1" applyFill="1" applyBorder="1" applyAlignment="1">
      <alignment horizontal="center" vertical="center" wrapText="1"/>
    </xf>
    <xf numFmtId="9" fontId="11" fillId="7" borderId="27" xfId="0" applyNumberFormat="1" applyFont="1" applyFill="1" applyBorder="1" applyAlignment="1">
      <alignment horizontal="center" vertical="center" wrapText="1"/>
    </xf>
    <xf numFmtId="9" fontId="11" fillId="7" borderId="28" xfId="0" applyNumberFormat="1" applyFont="1" applyFill="1" applyBorder="1" applyAlignment="1">
      <alignment horizontal="center" vertical="center" wrapText="1"/>
    </xf>
    <xf numFmtId="0" fontId="3" fillId="0" borderId="22" xfId="0" applyFont="1" applyBorder="1" applyAlignment="1">
      <alignment horizontal="center"/>
    </xf>
    <xf numFmtId="44" fontId="3" fillId="11" borderId="4" xfId="1" applyFont="1" applyFill="1" applyBorder="1"/>
    <xf numFmtId="44" fontId="3" fillId="11" borderId="16" xfId="1" applyFont="1" applyFill="1" applyBorder="1"/>
    <xf numFmtId="0" fontId="3" fillId="0" borderId="21" xfId="0" applyFont="1" applyBorder="1" applyAlignment="1">
      <alignment horizontal="center"/>
    </xf>
    <xf numFmtId="44" fontId="3" fillId="11" borderId="8" xfId="1" applyFont="1" applyFill="1" applyBorder="1"/>
    <xf numFmtId="44" fontId="3" fillId="11" borderId="2" xfId="1" applyFont="1" applyFill="1" applyBorder="1"/>
    <xf numFmtId="44" fontId="3" fillId="11" borderId="12" xfId="1" applyFont="1" applyFill="1" applyBorder="1"/>
    <xf numFmtId="44" fontId="3" fillId="11" borderId="10" xfId="1" applyFont="1" applyFill="1" applyBorder="1"/>
    <xf numFmtId="0" fontId="21" fillId="0" borderId="0" xfId="0" applyFont="1"/>
    <xf numFmtId="0" fontId="25" fillId="3" borderId="1" xfId="0" applyFont="1" applyFill="1" applyBorder="1" applyAlignment="1">
      <alignment horizontal="center" vertical="center" wrapText="1"/>
    </xf>
    <xf numFmtId="8" fontId="7" fillId="3" borderId="7" xfId="0" applyNumberFormat="1" applyFont="1" applyFill="1" applyBorder="1" applyAlignment="1">
      <alignment horizontal="center" vertical="center" wrapText="1"/>
    </xf>
    <xf numFmtId="0" fontId="3" fillId="0" borderId="32" xfId="0" applyNumberFormat="1" applyFont="1" applyBorder="1" applyAlignment="1">
      <alignment horizontal="center"/>
    </xf>
    <xf numFmtId="0" fontId="3" fillId="0" borderId="33" xfId="0" applyNumberFormat="1" applyFont="1" applyBorder="1" applyAlignment="1">
      <alignment horizontal="center"/>
    </xf>
    <xf numFmtId="0" fontId="12" fillId="0" borderId="0" xfId="0" applyFont="1" applyFill="1" applyBorder="1"/>
    <xf numFmtId="44" fontId="2" fillId="0" borderId="0" xfId="0" applyNumberFormat="1" applyFont="1"/>
    <xf numFmtId="0" fontId="3" fillId="0" borderId="0" xfId="0" applyFont="1" applyFill="1" applyBorder="1"/>
    <xf numFmtId="44" fontId="0" fillId="0" borderId="0" xfId="0" applyNumberFormat="1"/>
    <xf numFmtId="44" fontId="26" fillId="8" borderId="0" xfId="0" applyNumberFormat="1" applyFont="1" applyFill="1" applyBorder="1" applyAlignment="1">
      <alignment horizontal="center" vertical="center"/>
    </xf>
    <xf numFmtId="0" fontId="27" fillId="0" borderId="0" xfId="0" applyFont="1"/>
    <xf numFmtId="0" fontId="26" fillId="10" borderId="0" xfId="0" applyFont="1" applyFill="1" applyBorder="1" applyAlignment="1">
      <alignment horizontal="center" vertical="center" wrapText="1"/>
    </xf>
    <xf numFmtId="44" fontId="26" fillId="10" borderId="0"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9" fontId="30" fillId="7" borderId="11" xfId="0" applyNumberFormat="1" applyFont="1" applyFill="1" applyBorder="1" applyAlignment="1">
      <alignment horizontal="center" vertical="center" wrapText="1"/>
    </xf>
    <xf numFmtId="9" fontId="30" fillId="7" borderId="5" xfId="0" applyNumberFormat="1" applyFont="1" applyFill="1" applyBorder="1" applyAlignment="1">
      <alignment horizontal="center" vertical="center" wrapText="1"/>
    </xf>
    <xf numFmtId="9" fontId="30" fillId="7" borderId="13" xfId="0" applyNumberFormat="1" applyFont="1" applyFill="1" applyBorder="1" applyAlignment="1">
      <alignment horizontal="center" vertical="center" wrapText="1"/>
    </xf>
    <xf numFmtId="9" fontId="29" fillId="3" borderId="16" xfId="0" applyNumberFormat="1" applyFont="1" applyFill="1" applyBorder="1" applyAlignment="1">
      <alignment horizontal="center" vertical="center" wrapText="1"/>
    </xf>
    <xf numFmtId="8" fontId="31" fillId="7" borderId="10" xfId="0" applyNumberFormat="1" applyFont="1" applyFill="1" applyBorder="1" applyAlignment="1">
      <alignment horizontal="center" vertical="center" wrapText="1"/>
    </xf>
    <xf numFmtId="8" fontId="31" fillId="7" borderId="8" xfId="0" applyNumberFormat="1" applyFont="1" applyFill="1" applyBorder="1" applyAlignment="1">
      <alignment horizontal="center" vertical="center" wrapText="1"/>
    </xf>
    <xf numFmtId="8" fontId="31" fillId="7" borderId="9" xfId="0" applyNumberFormat="1" applyFont="1" applyFill="1" applyBorder="1" applyAlignment="1">
      <alignment horizontal="center" vertical="center" wrapText="1"/>
    </xf>
    <xf numFmtId="0" fontId="27" fillId="0" borderId="14" xfId="0" applyFont="1" applyBorder="1" applyAlignment="1">
      <alignment vertical="center" wrapText="1"/>
    </xf>
    <xf numFmtId="0" fontId="27" fillId="0" borderId="22" xfId="0" applyNumberFormat="1" applyFont="1" applyBorder="1" applyAlignment="1">
      <alignment horizontal="center"/>
    </xf>
    <xf numFmtId="44" fontId="32" fillId="4" borderId="16" xfId="1" applyFont="1" applyFill="1" applyBorder="1" applyAlignment="1">
      <alignment horizontal="center" vertical="center"/>
    </xf>
    <xf numFmtId="44" fontId="32" fillId="2" borderId="12" xfId="1" applyFont="1" applyFill="1" applyBorder="1" applyAlignment="1">
      <alignment horizontal="center" vertical="center"/>
    </xf>
    <xf numFmtId="44" fontId="32" fillId="2" borderId="4" xfId="1" applyFont="1" applyFill="1" applyBorder="1" applyAlignment="1">
      <alignment horizontal="center" vertical="center"/>
    </xf>
    <xf numFmtId="44" fontId="27" fillId="2" borderId="4" xfId="1" applyFont="1" applyFill="1" applyBorder="1"/>
    <xf numFmtId="44" fontId="27" fillId="2" borderId="22" xfId="1" applyFont="1" applyFill="1" applyBorder="1"/>
    <xf numFmtId="44" fontId="27" fillId="2" borderId="15" xfId="1" applyFont="1" applyFill="1" applyBorder="1"/>
    <xf numFmtId="44" fontId="27" fillId="9" borderId="16" xfId="1" applyFont="1" applyFill="1" applyBorder="1"/>
    <xf numFmtId="0" fontId="27" fillId="0" borderId="14" xfId="0" applyFont="1" applyBorder="1" applyAlignment="1">
      <alignment wrapText="1"/>
    </xf>
    <xf numFmtId="0" fontId="27" fillId="0" borderId="7" xfId="0" applyFont="1" applyBorder="1" applyAlignment="1">
      <alignment wrapText="1"/>
    </xf>
    <xf numFmtId="0" fontId="27" fillId="0" borderId="21" xfId="0" applyNumberFormat="1" applyFont="1" applyBorder="1" applyAlignment="1">
      <alignment horizontal="center"/>
    </xf>
    <xf numFmtId="44" fontId="27" fillId="9" borderId="2" xfId="1" applyFont="1" applyFill="1" applyBorder="1"/>
    <xf numFmtId="0" fontId="34" fillId="0" borderId="0" xfId="0" applyFont="1" applyAlignment="1">
      <alignment horizontal="left" vertical="center" indent="1"/>
    </xf>
    <xf numFmtId="0" fontId="35" fillId="0" borderId="0" xfId="0" applyFont="1" applyAlignment="1">
      <alignment horizontal="left" vertical="center" indent="1"/>
    </xf>
    <xf numFmtId="0" fontId="36" fillId="0" borderId="0" xfId="2" applyAlignment="1">
      <alignment horizontal="left" vertical="center" indent="1"/>
    </xf>
    <xf numFmtId="0" fontId="37" fillId="0" borderId="0" xfId="0" applyFont="1"/>
    <xf numFmtId="0" fontId="8" fillId="8" borderId="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16" fillId="0" borderId="0" xfId="0" applyFont="1" applyFill="1" applyBorder="1" applyAlignment="1">
      <alignment horizontal="left" wrapText="1"/>
    </xf>
    <xf numFmtId="0" fontId="19" fillId="0" borderId="0" xfId="0" applyFont="1" applyAlignment="1">
      <alignment horizontal="left"/>
    </xf>
    <xf numFmtId="0" fontId="19" fillId="0" borderId="0" xfId="0" applyFont="1" applyFill="1" applyAlignment="1">
      <alignment horizontal="left" wrapText="1"/>
    </xf>
    <xf numFmtId="0" fontId="19" fillId="0" borderId="0" xfId="0" applyFont="1" applyFill="1" applyAlignment="1">
      <alignment horizontal="left"/>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10" borderId="6"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22" xfId="0" applyFont="1" applyFill="1" applyBorder="1" applyAlignment="1">
      <alignment horizontal="center" vertical="center"/>
    </xf>
    <xf numFmtId="0" fontId="24" fillId="0" borderId="0" xfId="0" applyFont="1" applyAlignment="1">
      <alignment horizontal="left"/>
    </xf>
    <xf numFmtId="0" fontId="24"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Border="1" applyAlignment="1">
      <alignment horizontal="left" wrapText="1"/>
    </xf>
    <xf numFmtId="0" fontId="32" fillId="0" borderId="4" xfId="0" applyFont="1" applyBorder="1" applyAlignment="1">
      <alignment horizontal="left" wrapText="1"/>
    </xf>
    <xf numFmtId="0" fontId="32" fillId="0" borderId="4" xfId="0" applyFont="1" applyFill="1" applyBorder="1" applyAlignment="1">
      <alignment horizontal="left" wrapText="1"/>
    </xf>
    <xf numFmtId="0" fontId="26" fillId="8" borderId="0"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6" fillId="10" borderId="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23" xfId="0" applyFont="1" applyFill="1" applyBorder="1" applyAlignment="1">
      <alignment horizontal="center" vertical="center"/>
    </xf>
    <xf numFmtId="0" fontId="26" fillId="10" borderId="22" xfId="0" applyFont="1" applyFill="1" applyBorder="1" applyAlignment="1">
      <alignment horizontal="center" vertical="center"/>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38" fillId="0" borderId="4" xfId="0" applyFont="1" applyFill="1" applyBorder="1" applyAlignment="1">
      <alignment horizontal="left" wrapText="1"/>
    </xf>
    <xf numFmtId="0" fontId="24" fillId="0" borderId="0" xfId="0" applyFont="1" applyAlignment="1">
      <alignment horizontal="left" wrapText="1"/>
    </xf>
    <xf numFmtId="0" fontId="2" fillId="5" borderId="1" xfId="0" applyFont="1" applyFill="1" applyBorder="1" applyAlignment="1">
      <alignment horizontal="center" vertical="center" wrapText="1"/>
    </xf>
    <xf numFmtId="0" fontId="22" fillId="0" borderId="0" xfId="0" applyFont="1" applyAlignment="1">
      <alignment horizontal="left" wrapText="1"/>
    </xf>
    <xf numFmtId="0" fontId="20" fillId="10" borderId="24" xfId="0" applyFont="1" applyFill="1" applyBorder="1" applyAlignment="1">
      <alignment horizontal="center" vertical="center" wrapText="1"/>
    </xf>
    <xf numFmtId="0" fontId="20" fillId="10" borderId="25"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20" fillId="10" borderId="30"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8" fillId="8"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indent="1"/>
    </xf>
    <xf numFmtId="0" fontId="8" fillId="8" borderId="0" xfId="4" applyFont="1" applyFill="1" applyBorder="1" applyAlignment="1">
      <alignment horizontal="center" vertical="center" wrapText="1"/>
    </xf>
    <xf numFmtId="44" fontId="8" fillId="8" borderId="0" xfId="4" applyNumberFormat="1" applyFont="1" applyFill="1" applyBorder="1" applyAlignment="1">
      <alignment horizontal="center" vertical="center"/>
    </xf>
    <xf numFmtId="0" fontId="40" fillId="0" borderId="0" xfId="4" applyAlignment="1"/>
    <xf numFmtId="0" fontId="8" fillId="10" borderId="0" xfId="4" applyFont="1" applyFill="1" applyBorder="1" applyAlignment="1">
      <alignment horizontal="center" vertical="center" wrapText="1"/>
    </xf>
    <xf numFmtId="44" fontId="8" fillId="10" borderId="0" xfId="4" applyNumberFormat="1" applyFont="1" applyFill="1" applyBorder="1" applyAlignment="1">
      <alignment horizontal="center" vertical="center"/>
    </xf>
    <xf numFmtId="0" fontId="9" fillId="6" borderId="17" xfId="4" applyFont="1" applyFill="1" applyBorder="1" applyAlignment="1">
      <alignment horizontal="center" vertical="center" wrapText="1"/>
    </xf>
    <xf numFmtId="0" fontId="9" fillId="6" borderId="18" xfId="4" applyFont="1" applyFill="1" applyBorder="1" applyAlignment="1">
      <alignment horizontal="center" vertical="center" wrapText="1"/>
    </xf>
    <xf numFmtId="0" fontId="9" fillId="6" borderId="19" xfId="4" applyFont="1" applyFill="1" applyBorder="1" applyAlignment="1">
      <alignment horizontal="center" vertical="center" wrapText="1"/>
    </xf>
    <xf numFmtId="0" fontId="4" fillId="10" borderId="1" xfId="4" applyFont="1" applyFill="1" applyBorder="1" applyAlignment="1">
      <alignment horizontal="center" vertical="center"/>
    </xf>
    <xf numFmtId="0" fontId="4" fillId="10" borderId="34" xfId="4" applyFont="1" applyFill="1" applyBorder="1" applyAlignment="1">
      <alignment horizontal="center" vertical="center"/>
    </xf>
    <xf numFmtId="0" fontId="10" fillId="3" borderId="1" xfId="4" applyFont="1" applyFill="1" applyBorder="1" applyAlignment="1">
      <alignment horizontal="center" vertical="center" wrapText="1"/>
    </xf>
    <xf numFmtId="9" fontId="11" fillId="7" borderId="34" xfId="4" applyNumberFormat="1" applyFont="1" applyFill="1" applyBorder="1" applyAlignment="1">
      <alignment horizontal="center" vertical="center" wrapText="1"/>
    </xf>
    <xf numFmtId="0" fontId="2" fillId="5" borderId="1" xfId="4" applyFont="1" applyFill="1" applyBorder="1" applyAlignment="1">
      <alignment horizontal="center" vertical="center" wrapText="1"/>
    </xf>
    <xf numFmtId="0" fontId="4" fillId="10" borderId="16" xfId="4" applyFont="1" applyFill="1" applyBorder="1" applyAlignment="1">
      <alignment horizontal="center" vertical="center"/>
    </xf>
    <xf numFmtId="0" fontId="4" fillId="10" borderId="35" xfId="4" applyFont="1" applyFill="1" applyBorder="1" applyAlignment="1">
      <alignment horizontal="center" vertical="center"/>
    </xf>
    <xf numFmtId="9" fontId="6" fillId="3" borderId="16" xfId="4" applyNumberFormat="1" applyFont="1" applyFill="1" applyBorder="1" applyAlignment="1">
      <alignment horizontal="center" vertical="center" wrapText="1"/>
    </xf>
    <xf numFmtId="8" fontId="7" fillId="7" borderId="36" xfId="4" applyNumberFormat="1" applyFont="1" applyFill="1" applyBorder="1" applyAlignment="1">
      <alignment horizontal="center" vertical="center" wrapText="1"/>
    </xf>
    <xf numFmtId="0" fontId="2" fillId="5" borderId="2" xfId="4" applyFont="1" applyFill="1" applyBorder="1" applyAlignment="1">
      <alignment horizontal="center" vertical="center" wrapText="1"/>
    </xf>
    <xf numFmtId="0" fontId="3" fillId="0" borderId="16" xfId="4" applyFont="1" applyBorder="1" applyAlignment="1">
      <alignment vertical="center" wrapText="1"/>
    </xf>
    <xf numFmtId="0" fontId="3" fillId="0" borderId="35" xfId="4" applyNumberFormat="1" applyFont="1" applyBorder="1" applyAlignment="1">
      <alignment horizontal="center" vertical="center"/>
    </xf>
    <xf numFmtId="44" fontId="13" fillId="4" borderId="16" xfId="5" applyFont="1" applyFill="1" applyBorder="1" applyAlignment="1">
      <alignment horizontal="center" vertical="center"/>
    </xf>
    <xf numFmtId="44" fontId="13" fillId="2" borderId="37" xfId="5" applyFont="1" applyFill="1" applyBorder="1" applyAlignment="1">
      <alignment horizontal="center" vertical="center"/>
    </xf>
    <xf numFmtId="44" fontId="3" fillId="2" borderId="37" xfId="5" applyFont="1" applyFill="1" applyBorder="1" applyAlignment="1">
      <alignment vertical="center"/>
    </xf>
    <xf numFmtId="44" fontId="3" fillId="9" borderId="3" xfId="5" applyFont="1" applyFill="1" applyBorder="1" applyAlignment="1">
      <alignment vertical="center"/>
    </xf>
    <xf numFmtId="44" fontId="3" fillId="9" borderId="16" xfId="5" applyFont="1" applyFill="1" applyBorder="1" applyAlignment="1">
      <alignment vertical="center"/>
    </xf>
    <xf numFmtId="0" fontId="3" fillId="0" borderId="2" xfId="4" applyFont="1" applyBorder="1" applyAlignment="1">
      <alignment vertical="center" wrapText="1"/>
    </xf>
    <xf numFmtId="0" fontId="45" fillId="0" borderId="0" xfId="4" applyFont="1" applyAlignment="1">
      <alignment horizontal="center" vertical="center"/>
    </xf>
    <xf numFmtId="0" fontId="45" fillId="0" borderId="0" xfId="4" applyFont="1" applyAlignment="1">
      <alignment vertical="center"/>
    </xf>
    <xf numFmtId="0" fontId="45" fillId="0" borderId="0" xfId="4" applyFont="1" applyAlignment="1"/>
    <xf numFmtId="0" fontId="45" fillId="0" borderId="0" xfId="4" applyFont="1" applyAlignment="1">
      <alignment horizontal="center" vertical="center"/>
    </xf>
    <xf numFmtId="0" fontId="48" fillId="0" borderId="0" xfId="4" applyFont="1" applyAlignment="1">
      <alignment vertical="center"/>
    </xf>
    <xf numFmtId="0" fontId="48" fillId="0" borderId="0" xfId="4" applyFont="1" applyAlignment="1">
      <alignment horizontal="center" vertical="center"/>
    </xf>
    <xf numFmtId="0" fontId="48" fillId="0" borderId="0" xfId="4" applyFont="1" applyAlignment="1"/>
    <xf numFmtId="0" fontId="45" fillId="0" borderId="0" xfId="4" applyFont="1" applyAlignment="1">
      <alignment horizontal="center" vertical="center" wrapText="1"/>
    </xf>
    <xf numFmtId="0" fontId="45" fillId="0" borderId="0" xfId="4" applyFont="1" applyAlignment="1">
      <alignment horizontal="center"/>
    </xf>
    <xf numFmtId="0" fontId="45" fillId="0" borderId="0" xfId="4" applyFont="1" applyBorder="1" applyAlignment="1">
      <alignment horizontal="center" vertical="center" wrapText="1"/>
    </xf>
    <xf numFmtId="0" fontId="45" fillId="0" borderId="0" xfId="4" applyFont="1" applyBorder="1" applyAlignment="1">
      <alignment vertical="center" wrapText="1"/>
    </xf>
    <xf numFmtId="0" fontId="45" fillId="0" borderId="0" xfId="4" applyFont="1" applyAlignment="1">
      <alignment horizontal="center" vertical="center" wrapText="1"/>
    </xf>
    <xf numFmtId="0" fontId="48" fillId="0" borderId="0" xfId="4" applyFont="1" applyAlignment="1">
      <alignment vertical="center" wrapText="1"/>
    </xf>
    <xf numFmtId="0" fontId="49" fillId="0" borderId="0" xfId="4" applyFont="1" applyBorder="1" applyAlignment="1">
      <alignment horizontal="center" vertical="center" wrapText="1"/>
    </xf>
    <xf numFmtId="0" fontId="49" fillId="0" borderId="0" xfId="4" applyFont="1" applyBorder="1" applyAlignment="1">
      <alignment vertical="center" wrapText="1"/>
    </xf>
    <xf numFmtId="0" fontId="49" fillId="0" borderId="0" xfId="4" applyFont="1" applyAlignment="1">
      <alignment horizontal="center" vertical="center" wrapText="1"/>
    </xf>
    <xf numFmtId="0" fontId="50" fillId="0" borderId="0" xfId="4" applyFont="1" applyAlignment="1">
      <alignment horizontal="center" vertical="center" wrapText="1"/>
    </xf>
    <xf numFmtId="0" fontId="51" fillId="0" borderId="0" xfId="4" applyFont="1" applyAlignment="1">
      <alignment vertical="center" wrapText="1"/>
    </xf>
    <xf numFmtId="0" fontId="52" fillId="0" borderId="0" xfId="4" applyFont="1" applyAlignment="1">
      <alignment vertical="center" wrapText="1"/>
    </xf>
    <xf numFmtId="0" fontId="53" fillId="0" borderId="0" xfId="4" applyFont="1" applyAlignment="1"/>
    <xf numFmtId="0" fontId="54" fillId="0" borderId="0" xfId="4" applyFont="1" applyAlignment="1"/>
    <xf numFmtId="0" fontId="40" fillId="0" borderId="0" xfId="4" applyFont="1" applyAlignment="1"/>
    <xf numFmtId="0" fontId="55" fillId="0" borderId="0" xfId="4" applyFont="1" applyFill="1" applyBorder="1" applyAlignment="1">
      <alignment horizontal="left" wrapText="1"/>
    </xf>
    <xf numFmtId="0" fontId="57" fillId="0" borderId="0" xfId="4" applyFont="1" applyAlignment="1">
      <alignment horizontal="left"/>
    </xf>
    <xf numFmtId="0" fontId="57" fillId="0" borderId="0" xfId="4" applyFont="1" applyFill="1" applyAlignment="1">
      <alignment horizontal="left" wrapText="1"/>
    </xf>
    <xf numFmtId="0" fontId="57" fillId="0" borderId="0" xfId="4" applyFont="1" applyFill="1" applyAlignment="1">
      <alignment horizontal="left"/>
    </xf>
    <xf numFmtId="0" fontId="4" fillId="10" borderId="39" xfId="0" applyFont="1" applyFill="1" applyBorder="1" applyAlignment="1">
      <alignment horizontal="center" vertical="center"/>
    </xf>
    <xf numFmtId="0" fontId="4" fillId="10" borderId="40" xfId="0" applyFont="1" applyFill="1" applyBorder="1" applyAlignment="1">
      <alignment horizontal="center" vertical="center"/>
    </xf>
    <xf numFmtId="9" fontId="6" fillId="3" borderId="41" xfId="0" applyNumberFormat="1" applyFont="1" applyFill="1" applyBorder="1" applyAlignment="1">
      <alignment horizontal="center" vertical="center" wrapText="1"/>
    </xf>
    <xf numFmtId="8" fontId="7" fillId="7" borderId="42" xfId="0" applyNumberFormat="1" applyFont="1" applyFill="1" applyBorder="1" applyAlignment="1">
      <alignment horizontal="center" vertical="center" wrapText="1"/>
    </xf>
    <xf numFmtId="8" fontId="7" fillId="7" borderId="43" xfId="0" applyNumberFormat="1" applyFont="1" applyFill="1" applyBorder="1" applyAlignment="1">
      <alignment horizontal="center" vertical="center" wrapText="1"/>
    </xf>
    <xf numFmtId="8" fontId="7" fillId="7" borderId="44" xfId="0" applyNumberFormat="1" applyFont="1" applyFill="1" applyBorder="1" applyAlignment="1">
      <alignment horizontal="center" vertical="center" wrapText="1"/>
    </xf>
    <xf numFmtId="0" fontId="2" fillId="5" borderId="41" xfId="0" applyFont="1" applyFill="1" applyBorder="1" applyAlignment="1">
      <alignment horizontal="center" vertical="center" wrapText="1"/>
    </xf>
    <xf numFmtId="0" fontId="3" fillId="0" borderId="6" xfId="0" applyFont="1" applyBorder="1" applyAlignment="1">
      <alignment vertical="center"/>
    </xf>
    <xf numFmtId="0" fontId="3" fillId="0" borderId="23" xfId="0" applyNumberFormat="1" applyFont="1" applyBorder="1" applyAlignment="1">
      <alignment horizontal="center"/>
    </xf>
    <xf numFmtId="44" fontId="13" fillId="4" borderId="1" xfId="1" applyFont="1" applyFill="1" applyBorder="1" applyAlignment="1">
      <alignment horizontal="center" vertical="center"/>
    </xf>
    <xf numFmtId="44" fontId="13" fillId="2" borderId="1" xfId="1" applyFont="1" applyFill="1" applyBorder="1" applyAlignment="1">
      <alignment horizontal="center" vertical="center"/>
    </xf>
    <xf numFmtId="44" fontId="13" fillId="9" borderId="1" xfId="1" applyFont="1" applyFill="1" applyBorder="1" applyAlignment="1">
      <alignment horizontal="center" vertical="center"/>
    </xf>
    <xf numFmtId="0" fontId="3" fillId="0" borderId="45" xfId="0" applyNumberFormat="1" applyFont="1" applyBorder="1" applyAlignment="1">
      <alignment horizontal="center"/>
    </xf>
    <xf numFmtId="44" fontId="13" fillId="4" borderId="38" xfId="1" applyFont="1" applyFill="1" applyBorder="1" applyAlignment="1">
      <alignment horizontal="center" vertical="center"/>
    </xf>
    <xf numFmtId="44" fontId="13" fillId="2" borderId="38" xfId="1" applyFont="1" applyFill="1" applyBorder="1" applyAlignment="1">
      <alignment horizontal="center" vertical="center"/>
    </xf>
    <xf numFmtId="44" fontId="13" fillId="9" borderId="38" xfId="1" applyFont="1" applyFill="1" applyBorder="1" applyAlignment="1">
      <alignment horizontal="center" vertical="center"/>
    </xf>
    <xf numFmtId="9" fontId="0" fillId="0" borderId="0" xfId="3" applyFont="1"/>
    <xf numFmtId="164" fontId="0" fillId="0" borderId="0" xfId="3" applyNumberFormat="1" applyFont="1"/>
    <xf numFmtId="10" fontId="0" fillId="0" borderId="0" xfId="0" applyNumberFormat="1" applyAlignment="1">
      <alignment horizontal="center"/>
    </xf>
    <xf numFmtId="9" fontId="0" fillId="0" borderId="0" xfId="3" applyNumberFormat="1" applyFont="1"/>
    <xf numFmtId="0" fontId="9" fillId="6" borderId="19" xfId="0" applyFont="1" applyFill="1" applyBorder="1" applyAlignment="1">
      <alignment vertical="center" wrapText="1"/>
    </xf>
    <xf numFmtId="0" fontId="9" fillId="6" borderId="29"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48" xfId="0" applyFont="1" applyBorder="1" applyAlignment="1">
      <alignment vertical="center"/>
    </xf>
    <xf numFmtId="0" fontId="3" fillId="0" borderId="48" xfId="0" applyFont="1" applyBorder="1"/>
    <xf numFmtId="17" fontId="3" fillId="0" borderId="47" xfId="0" applyNumberFormat="1" applyFont="1" applyBorder="1" applyAlignment="1">
      <alignment vertical="center"/>
    </xf>
    <xf numFmtId="0" fontId="4" fillId="10" borderId="49" xfId="0" applyFont="1" applyFill="1" applyBorder="1" applyAlignment="1">
      <alignment horizontal="center" vertical="center"/>
    </xf>
    <xf numFmtId="0" fontId="4" fillId="10" borderId="50" xfId="0" applyFont="1" applyFill="1" applyBorder="1" applyAlignment="1">
      <alignment horizontal="center" vertical="center"/>
    </xf>
    <xf numFmtId="9" fontId="0" fillId="0" borderId="0" xfId="0" applyNumberFormat="1"/>
    <xf numFmtId="8" fontId="0" fillId="0" borderId="0" xfId="0" applyNumberFormat="1"/>
    <xf numFmtId="17" fontId="0" fillId="0" borderId="0" xfId="0" applyNumberFormat="1"/>
  </cellXfs>
  <cellStyles count="6">
    <cellStyle name="Hipervínculo" xfId="2" builtinId="8"/>
    <cellStyle name="Moneda" xfId="1" builtinId="4"/>
    <cellStyle name="Moneda 2" xfId="5"/>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PROYECCIÓN 25 AÑOS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clustered"/>
        <c:varyColors val="0"/>
        <c:ser>
          <c:idx val="0"/>
          <c:order val="0"/>
          <c:tx>
            <c:strRef>
              <c:f>Gráficos!$A$3</c:f>
              <c:strCache>
                <c:ptCount val="1"/>
                <c:pt idx="0">
                  <c:v>PROY. JUBILADOS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Gráficos!$C$2:$G$2</c:f>
              <c:numCache>
                <c:formatCode>General</c:formatCode>
                <c:ptCount val="5"/>
                <c:pt idx="0">
                  <c:v>2028</c:v>
                </c:pt>
                <c:pt idx="1">
                  <c:v>2033</c:v>
                </c:pt>
                <c:pt idx="2">
                  <c:v>2038</c:v>
                </c:pt>
                <c:pt idx="3">
                  <c:v>2043</c:v>
                </c:pt>
                <c:pt idx="4">
                  <c:v>2048</c:v>
                </c:pt>
              </c:numCache>
            </c:numRef>
          </c:cat>
          <c:val>
            <c:numRef>
              <c:f>Gráficos!$C$3:$G$3</c:f>
              <c:numCache>
                <c:formatCode>General</c:formatCode>
                <c:ptCount val="5"/>
                <c:pt idx="0">
                  <c:v>1636</c:v>
                </c:pt>
                <c:pt idx="1">
                  <c:v>1988</c:v>
                </c:pt>
                <c:pt idx="2">
                  <c:v>2738</c:v>
                </c:pt>
                <c:pt idx="3">
                  <c:v>3293</c:v>
                </c:pt>
                <c:pt idx="4">
                  <c:v>3691</c:v>
                </c:pt>
              </c:numCache>
            </c:numRef>
          </c:val>
          <c:extLst>
            <c:ext xmlns:c16="http://schemas.microsoft.com/office/drawing/2014/chart" uri="{C3380CC4-5D6E-409C-BE32-E72D297353CC}">
              <c16:uniqueId val="{00000000-BF30-461C-86A4-F2B059F04117}"/>
            </c:ext>
          </c:extLst>
        </c:ser>
        <c:dLbls>
          <c:showLegendKey val="0"/>
          <c:showVal val="0"/>
          <c:showCatName val="0"/>
          <c:showSerName val="0"/>
          <c:showPercent val="0"/>
          <c:showBubbleSize val="0"/>
        </c:dLbls>
        <c:gapWidth val="219"/>
        <c:overlap val="-27"/>
        <c:axId val="36206288"/>
        <c:axId val="36195888"/>
      </c:barChart>
      <c:lineChart>
        <c:grouping val="standard"/>
        <c:varyColors val="0"/>
        <c:ser>
          <c:idx val="1"/>
          <c:order val="1"/>
          <c:tx>
            <c:strRef>
              <c:f>Gráficos!$A$4</c:f>
              <c:strCache>
                <c:ptCount val="1"/>
                <c:pt idx="0">
                  <c:v>% CRECIMIENTO</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Gráficos!$B$2:$G$2</c:f>
              <c:numCache>
                <c:formatCode>General</c:formatCode>
                <c:ptCount val="6"/>
                <c:pt idx="0">
                  <c:v>2023</c:v>
                </c:pt>
                <c:pt idx="1">
                  <c:v>2028</c:v>
                </c:pt>
                <c:pt idx="2">
                  <c:v>2033</c:v>
                </c:pt>
                <c:pt idx="3">
                  <c:v>2038</c:v>
                </c:pt>
                <c:pt idx="4">
                  <c:v>2043</c:v>
                </c:pt>
                <c:pt idx="5">
                  <c:v>2048</c:v>
                </c:pt>
              </c:numCache>
            </c:numRef>
          </c:cat>
          <c:val>
            <c:numRef>
              <c:f>Gráficos!$C$4:$G$4</c:f>
              <c:numCache>
                <c:formatCode>0%</c:formatCode>
                <c:ptCount val="5"/>
                <c:pt idx="0">
                  <c:v>0.18948655256723712</c:v>
                </c:pt>
                <c:pt idx="1">
                  <c:v>0.17706237424547289</c:v>
                </c:pt>
                <c:pt idx="2">
                  <c:v>0.27392257121986852</c:v>
                </c:pt>
                <c:pt idx="3">
                  <c:v>0.1685393258426966</c:v>
                </c:pt>
                <c:pt idx="4">
                  <c:v>0.10782985640747766</c:v>
                </c:pt>
              </c:numCache>
            </c:numRef>
          </c:val>
          <c:smooth val="0"/>
          <c:extLst>
            <c:ext xmlns:c16="http://schemas.microsoft.com/office/drawing/2014/chart" uri="{C3380CC4-5D6E-409C-BE32-E72D297353CC}">
              <c16:uniqueId val="{00000001-BF30-461C-86A4-F2B059F04117}"/>
            </c:ext>
          </c:extLst>
        </c:ser>
        <c:dLbls>
          <c:showLegendKey val="0"/>
          <c:showVal val="0"/>
          <c:showCatName val="0"/>
          <c:showSerName val="0"/>
          <c:showPercent val="0"/>
          <c:showBubbleSize val="0"/>
        </c:dLbls>
        <c:marker val="1"/>
        <c:smooth val="0"/>
        <c:axId val="36203376"/>
        <c:axId val="36209616"/>
      </c:lineChart>
      <c:catAx>
        <c:axId val="3620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6195888"/>
        <c:crosses val="autoZero"/>
        <c:auto val="1"/>
        <c:lblAlgn val="ctr"/>
        <c:lblOffset val="100"/>
        <c:noMultiLvlLbl val="0"/>
      </c:catAx>
      <c:valAx>
        <c:axId val="3619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6206288"/>
        <c:crosses val="autoZero"/>
        <c:crossBetween val="between"/>
      </c:valAx>
      <c:valAx>
        <c:axId val="3620961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6203376"/>
        <c:crosses val="max"/>
        <c:crossBetween val="between"/>
      </c:valAx>
      <c:catAx>
        <c:axId val="36203376"/>
        <c:scaling>
          <c:orientation val="minMax"/>
        </c:scaling>
        <c:delete val="1"/>
        <c:axPos val="b"/>
        <c:numFmt formatCode="General" sourceLinked="1"/>
        <c:majorTickMark val="none"/>
        <c:minorTickMark val="none"/>
        <c:tickLblPos val="nextTo"/>
        <c:crossAx val="36209616"/>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Evolucion</a:t>
            </a:r>
            <a:r>
              <a:rPr lang="es-EC" baseline="0"/>
              <a:t> % del crecimeinto de valor por remuneracion sobre el la Ord. vigente (al 45%)</a:t>
            </a:r>
            <a:endParaRPr lang="es-EC"/>
          </a:p>
        </c:rich>
      </c:tx>
      <c:layout>
        <c:manualLayout>
          <c:xMode val="edge"/>
          <c:yMode val="edge"/>
          <c:x val="0.13384287182510923"/>
          <c:y val="4.11522633744855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bar"/>
        <c:grouping val="stacked"/>
        <c:varyColors val="0"/>
        <c:ser>
          <c:idx val="0"/>
          <c:order val="0"/>
          <c:tx>
            <c:strRef>
              <c:f>Gráficos!$B$26</c:f>
              <c:strCache>
                <c:ptCount val="1"/>
                <c:pt idx="0">
                  <c:v>mar-23</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Gráficos!$C$26:$H$26</c:f>
              <c:numCache>
                <c:formatCode>0%</c:formatCode>
                <c:ptCount val="6"/>
                <c:pt idx="0">
                  <c:v>6.881581121716307E-2</c:v>
                </c:pt>
                <c:pt idx="1">
                  <c:v>0.18479006091282879</c:v>
                </c:pt>
                <c:pt idx="2">
                  <c:v>0.28016453524574836</c:v>
                </c:pt>
                <c:pt idx="3">
                  <c:v>0.3601192845535317</c:v>
                </c:pt>
                <c:pt idx="4">
                  <c:v>0.42521383534040824</c:v>
                </c:pt>
                <c:pt idx="5">
                  <c:v>0.47849578885568966</c:v>
                </c:pt>
              </c:numCache>
            </c:numRef>
          </c:val>
          <c:extLst>
            <c:ext xmlns:c16="http://schemas.microsoft.com/office/drawing/2014/chart" uri="{C3380CC4-5D6E-409C-BE32-E72D297353CC}">
              <c16:uniqueId val="{00000000-C850-4317-8394-69D8BE8D77A4}"/>
            </c:ext>
          </c:extLst>
        </c:ser>
        <c:ser>
          <c:idx val="1"/>
          <c:order val="1"/>
          <c:tx>
            <c:strRef>
              <c:f>Gráficos!$B$27</c:f>
              <c:strCache>
                <c:ptCount val="1"/>
                <c:pt idx="0">
                  <c:v>dic-23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Gráficos!$C$27:$H$27</c:f>
              <c:numCache>
                <c:formatCode>0%</c:formatCode>
                <c:ptCount val="6"/>
                <c:pt idx="0">
                  <c:v>0.13267173594782522</c:v>
                </c:pt>
                <c:pt idx="1">
                  <c:v>0.24098194466007627</c:v>
                </c:pt>
                <c:pt idx="2">
                  <c:v>0.33008448356485987</c:v>
                </c:pt>
                <c:pt idx="3">
                  <c:v>0.40450601904919847</c:v>
                </c:pt>
                <c:pt idx="4">
                  <c:v>0.46508606407459918</c:v>
                </c:pt>
                <c:pt idx="5">
                  <c:v>0.51467779089287857</c:v>
                </c:pt>
              </c:numCache>
            </c:numRef>
          </c:val>
          <c:extLst>
            <c:ext xmlns:c16="http://schemas.microsoft.com/office/drawing/2014/chart" uri="{C3380CC4-5D6E-409C-BE32-E72D297353CC}">
              <c16:uniqueId val="{00000001-C850-4317-8394-69D8BE8D77A4}"/>
            </c:ext>
          </c:extLst>
        </c:ser>
        <c:ser>
          <c:idx val="2"/>
          <c:order val="2"/>
          <c:tx>
            <c:strRef>
              <c:f>Gráficos!$B$28</c:f>
              <c:strCache>
                <c:ptCount val="1"/>
                <c:pt idx="0">
                  <c:v>2028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Gráficos!$C$28:$H$28</c:f>
              <c:numCache>
                <c:formatCode>0%</c:formatCode>
                <c:ptCount val="6"/>
                <c:pt idx="0">
                  <c:v>0.29129315447120774</c:v>
                </c:pt>
                <c:pt idx="1">
                  <c:v>0.38282114032856585</c:v>
                </c:pt>
                <c:pt idx="2">
                  <c:v>0.45659236570623785</c:v>
                </c:pt>
                <c:pt idx="3">
                  <c:v>0.51726296096299351</c:v>
                </c:pt>
                <c:pt idx="4">
                  <c:v>0.56642991109137508</c:v>
                </c:pt>
                <c:pt idx="5">
                  <c:v>0.60663818772268707</c:v>
                </c:pt>
              </c:numCache>
            </c:numRef>
          </c:val>
          <c:extLst>
            <c:ext xmlns:c16="http://schemas.microsoft.com/office/drawing/2014/chart" uri="{C3380CC4-5D6E-409C-BE32-E72D297353CC}">
              <c16:uniqueId val="{00000002-C850-4317-8394-69D8BE8D77A4}"/>
            </c:ext>
          </c:extLst>
        </c:ser>
        <c:ser>
          <c:idx val="3"/>
          <c:order val="3"/>
          <c:tx>
            <c:strRef>
              <c:f>Gráficos!$B$29</c:f>
              <c:strCache>
                <c:ptCount val="1"/>
                <c:pt idx="0">
                  <c:v>2033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Gráficos!$C$29:$H$29</c:f>
              <c:numCache>
                <c:formatCode>0%</c:formatCode>
                <c:ptCount val="6"/>
                <c:pt idx="0">
                  <c:v>0.41254804891302455</c:v>
                </c:pt>
                <c:pt idx="1">
                  <c:v>0.49034712957567417</c:v>
                </c:pt>
                <c:pt idx="2">
                  <c:v>0.55210795612678898</c:v>
                </c:pt>
                <c:pt idx="3">
                  <c:v>0.6023162157037536</c:v>
                </c:pt>
                <c:pt idx="4">
                  <c:v>0.64286599538543643</c:v>
                </c:pt>
                <c:pt idx="5">
                  <c:v>0.67600042571570595</c:v>
                </c:pt>
              </c:numCache>
            </c:numRef>
          </c:val>
          <c:extLst>
            <c:ext xmlns:c16="http://schemas.microsoft.com/office/drawing/2014/chart" uri="{C3380CC4-5D6E-409C-BE32-E72D297353CC}">
              <c16:uniqueId val="{00000003-C850-4317-8394-69D8BE8D77A4}"/>
            </c:ext>
          </c:extLst>
        </c:ser>
        <c:ser>
          <c:idx val="4"/>
          <c:order val="4"/>
          <c:tx>
            <c:strRef>
              <c:f>Gráficos!$B$30</c:f>
              <c:strCache>
                <c:ptCount val="1"/>
                <c:pt idx="0">
                  <c:v>2038</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Gráficos!$C$30:$H$30</c:f>
              <c:numCache>
                <c:formatCode>0%</c:formatCode>
                <c:ptCount val="6"/>
                <c:pt idx="0">
                  <c:v>0.57062170328765915</c:v>
                </c:pt>
                <c:pt idx="1">
                  <c:v>0.62919876743237046</c:v>
                </c:pt>
                <c:pt idx="2">
                  <c:v>0.67484801062604638</c:v>
                </c:pt>
                <c:pt idx="3">
                  <c:v>0.71143516088239256</c:v>
                </c:pt>
                <c:pt idx="4">
                  <c:v>0.74086520646618426</c:v>
                </c:pt>
                <c:pt idx="5">
                  <c:v>0.76489457389279569</c:v>
                </c:pt>
              </c:numCache>
            </c:numRef>
          </c:val>
          <c:extLst>
            <c:ext xmlns:c16="http://schemas.microsoft.com/office/drawing/2014/chart" uri="{C3380CC4-5D6E-409C-BE32-E72D297353CC}">
              <c16:uniqueId val="{00000004-C850-4317-8394-69D8BE8D77A4}"/>
            </c:ext>
          </c:extLst>
        </c:ser>
        <c:ser>
          <c:idx val="5"/>
          <c:order val="5"/>
          <c:tx>
            <c:strRef>
              <c:f>Gráficos!$B$31</c:f>
              <c:strCache>
                <c:ptCount val="1"/>
                <c:pt idx="0">
                  <c:v>2043</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Gráficos!$C$31:$H$31</c:f>
              <c:numCache>
                <c:formatCode>0%</c:formatCode>
                <c:ptCount val="6"/>
                <c:pt idx="0">
                  <c:v>0.64185927268383303</c:v>
                </c:pt>
                <c:pt idx="1">
                  <c:v>0.69138770871106647</c:v>
                </c:pt>
                <c:pt idx="2">
                  <c:v>0.72966637625393949</c:v>
                </c:pt>
                <c:pt idx="3">
                  <c:v>0.76015002431963474</c:v>
                </c:pt>
                <c:pt idx="4">
                  <c:v>0.78462395202621171</c:v>
                </c:pt>
                <c:pt idx="5">
                  <c:v>0.80459805917437144</c:v>
                </c:pt>
              </c:numCache>
            </c:numRef>
          </c:val>
          <c:extLst>
            <c:ext xmlns:c16="http://schemas.microsoft.com/office/drawing/2014/chart" uri="{C3380CC4-5D6E-409C-BE32-E72D297353CC}">
              <c16:uniqueId val="{00000005-C850-4317-8394-69D8BE8D77A4}"/>
            </c:ext>
          </c:extLst>
        </c:ser>
        <c:ser>
          <c:idx val="6"/>
          <c:order val="6"/>
          <c:tx>
            <c:strRef>
              <c:f>Gráficos!$B$32</c:f>
              <c:strCache>
                <c:ptCount val="1"/>
                <c:pt idx="0">
                  <c:v>2048</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Gráficos!$C$32:$H$32</c:f>
              <c:numCache>
                <c:formatCode>0%</c:formatCode>
                <c:ptCount val="6"/>
                <c:pt idx="0">
                  <c:v>0.68118772451994714</c:v>
                </c:pt>
                <c:pt idx="1">
                  <c:v>0.72539998837913688</c:v>
                </c:pt>
                <c:pt idx="2">
                  <c:v>0.75946429295456708</c:v>
                </c:pt>
                <c:pt idx="3">
                  <c:v>0.78652695238699333</c:v>
                </c:pt>
                <c:pt idx="4">
                  <c:v>0.80824935347016269</c:v>
                </c:pt>
                <c:pt idx="5">
                  <c:v>0.82598485032554636</c:v>
                </c:pt>
              </c:numCache>
            </c:numRef>
          </c:val>
          <c:extLst>
            <c:ext xmlns:c16="http://schemas.microsoft.com/office/drawing/2014/chart" uri="{C3380CC4-5D6E-409C-BE32-E72D297353CC}">
              <c16:uniqueId val="{00000006-C850-4317-8394-69D8BE8D77A4}"/>
            </c:ext>
          </c:extLst>
        </c:ser>
        <c:dLbls>
          <c:showLegendKey val="0"/>
          <c:showVal val="0"/>
          <c:showCatName val="0"/>
          <c:showSerName val="0"/>
          <c:showPercent val="0"/>
          <c:showBubbleSize val="0"/>
        </c:dLbls>
        <c:gapWidth val="150"/>
        <c:overlap val="100"/>
        <c:axId val="268793264"/>
        <c:axId val="268808240"/>
      </c:barChart>
      <c:catAx>
        <c:axId val="268793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268808240"/>
        <c:crosses val="autoZero"/>
        <c:auto val="1"/>
        <c:lblAlgn val="ctr"/>
        <c:lblOffset val="100"/>
        <c:noMultiLvlLbl val="0"/>
      </c:catAx>
      <c:valAx>
        <c:axId val="268808240"/>
        <c:scaling>
          <c:orientation val="minMax"/>
          <c:max val="4.8"/>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68793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190500</xdr:colOff>
      <xdr:row>1</xdr:row>
      <xdr:rowOff>19050</xdr:rowOff>
    </xdr:from>
    <xdr:to>
      <xdr:col>14</xdr:col>
      <xdr:colOff>57150</xdr:colOff>
      <xdr:row>13</xdr:row>
      <xdr:rowOff>95250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33</xdr:row>
      <xdr:rowOff>57150</xdr:rowOff>
    </xdr:from>
    <xdr:to>
      <xdr:col>10</xdr:col>
      <xdr:colOff>381000</xdr:colOff>
      <xdr:row>49</xdr:row>
      <xdr:rowOff>95250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_escenarios_jubilacion_patronal_financiero_%20Quito%20Turis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ASE CT"/>
      <sheetName val="BASE LOEP"/>
    </sheetNames>
    <sheetDataSet>
      <sheetData sheetId="0"/>
      <sheetData sheetId="1">
        <row r="7">
          <cell r="T7">
            <v>9347.4</v>
          </cell>
          <cell r="AB7">
            <v>9347.4</v>
          </cell>
          <cell r="AJ7">
            <v>18694.8</v>
          </cell>
          <cell r="AR7">
            <v>18694.8</v>
          </cell>
        </row>
        <row r="14">
          <cell r="T14">
            <v>10286</v>
          </cell>
          <cell r="AB14">
            <v>10286</v>
          </cell>
          <cell r="AJ14">
            <v>20572</v>
          </cell>
          <cell r="AR14">
            <v>20572</v>
          </cell>
        </row>
        <row r="21">
          <cell r="T21">
            <v>12163.199999999999</v>
          </cell>
          <cell r="AB21">
            <v>12163.199999999999</v>
          </cell>
          <cell r="AJ21">
            <v>24326.399999999998</v>
          </cell>
          <cell r="AR21">
            <v>24326.399999999998</v>
          </cell>
        </row>
        <row r="28">
          <cell r="T28">
            <v>14040.399999999998</v>
          </cell>
          <cell r="AB28">
            <v>14040.399999999998</v>
          </cell>
          <cell r="AJ28">
            <v>28080.799999999996</v>
          </cell>
          <cell r="AR28">
            <v>28080.799999999996</v>
          </cell>
        </row>
        <row r="35">
          <cell r="T35">
            <v>15917.600000000002</v>
          </cell>
          <cell r="AB35">
            <v>15917.600000000002</v>
          </cell>
          <cell r="AJ35">
            <v>31835.200000000004</v>
          </cell>
          <cell r="AR35">
            <v>31835.200000000004</v>
          </cell>
        </row>
        <row r="42">
          <cell r="T42">
            <v>17794.8</v>
          </cell>
          <cell r="AB42">
            <v>17794.8</v>
          </cell>
          <cell r="AJ42">
            <v>35589.599999999999</v>
          </cell>
          <cell r="AR42">
            <v>35589.599999999999</v>
          </cell>
        </row>
        <row r="49">
          <cell r="T49">
            <v>19672</v>
          </cell>
          <cell r="AB49">
            <v>19672</v>
          </cell>
          <cell r="AJ49">
            <v>39344</v>
          </cell>
          <cell r="AR49">
            <v>39344</v>
          </cell>
        </row>
      </sheetData>
      <sheetData sheetId="2">
        <row r="17">
          <cell r="T17">
            <v>129565.34999999999</v>
          </cell>
          <cell r="AB17">
            <v>129565.34999999999</v>
          </cell>
          <cell r="AJ17">
            <v>129565.34999999999</v>
          </cell>
          <cell r="AR17">
            <v>129565.34999999999</v>
          </cell>
        </row>
        <row r="34">
          <cell r="T34">
            <v>143261.5</v>
          </cell>
          <cell r="AB34">
            <v>143261.5</v>
          </cell>
          <cell r="AJ34">
            <v>143261.5</v>
          </cell>
          <cell r="AR34">
            <v>143261.5</v>
          </cell>
        </row>
        <row r="51">
          <cell r="T51">
            <v>170653.80000000005</v>
          </cell>
          <cell r="AB51">
            <v>170653.80000000005</v>
          </cell>
          <cell r="AJ51">
            <v>170653.80000000005</v>
          </cell>
          <cell r="AR51">
            <v>170653.80000000005</v>
          </cell>
        </row>
        <row r="68">
          <cell r="T68">
            <v>198046.10000000003</v>
          </cell>
          <cell r="AB68">
            <v>198046.10000000003</v>
          </cell>
          <cell r="AJ68">
            <v>198046.10000000003</v>
          </cell>
          <cell r="AR68">
            <v>198046.10000000003</v>
          </cell>
        </row>
        <row r="85">
          <cell r="T85">
            <v>225438.39999999997</v>
          </cell>
          <cell r="AB85">
            <v>225438.39999999997</v>
          </cell>
          <cell r="AJ85">
            <v>225438.39999999997</v>
          </cell>
          <cell r="AR85">
            <v>225438.39999999997</v>
          </cell>
        </row>
        <row r="102">
          <cell r="T102">
            <v>252830.69999999995</v>
          </cell>
          <cell r="AB102">
            <v>252830.69999999995</v>
          </cell>
          <cell r="AJ102">
            <v>252830.69999999995</v>
          </cell>
          <cell r="AR102">
            <v>252830.69999999995</v>
          </cell>
        </row>
        <row r="119">
          <cell r="T119">
            <v>280223</v>
          </cell>
          <cell r="AB119">
            <v>280223</v>
          </cell>
          <cell r="AJ119">
            <v>280223</v>
          </cell>
          <cell r="AR119">
            <v>280223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atalina.arcos@epmrq.gob.e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22" zoomScale="80" zoomScaleNormal="80" workbookViewId="0">
      <selection activeCell="K4" sqref="K4:K5"/>
    </sheetView>
  </sheetViews>
  <sheetFormatPr baseColWidth="10" defaultRowHeight="15" x14ac:dyDescent="0.25"/>
  <cols>
    <col min="1" max="1" width="77.42578125" customWidth="1"/>
    <col min="2" max="2" width="6.42578125" bestFit="1" customWidth="1"/>
    <col min="3" max="3" width="5.5703125" bestFit="1" customWidth="1"/>
    <col min="4" max="4" width="17.140625" customWidth="1"/>
    <col min="5" max="8" width="15.42578125" bestFit="1" customWidth="1"/>
    <col min="9" max="9" width="15.42578125" customWidth="1"/>
    <col min="10" max="10" width="17" bestFit="1" customWidth="1"/>
    <col min="11" max="11" width="18.5703125" customWidth="1"/>
  </cols>
  <sheetData>
    <row r="1" spans="1:11" ht="32.25" customHeight="1" x14ac:dyDescent="0.25">
      <c r="A1" s="92" t="s">
        <v>3</v>
      </c>
      <c r="B1" s="92"/>
      <c r="C1" s="92"/>
      <c r="D1" s="30">
        <f>'Planta Central'!C1+Rastro!C1+QT!C1+FMC!C1+EPMTPQ!C1+EMASEO!C1</f>
        <v>1757985.15</v>
      </c>
    </row>
    <row r="2" spans="1:11" ht="18.75" thickBot="1" x14ac:dyDescent="0.3">
      <c r="A2" s="32"/>
      <c r="B2" s="32"/>
      <c r="C2" s="32"/>
      <c r="D2" s="31"/>
    </row>
    <row r="3" spans="1:11" ht="32.25" customHeight="1" thickBot="1" x14ac:dyDescent="0.3">
      <c r="A3" s="32"/>
      <c r="B3" s="32"/>
      <c r="C3" s="32"/>
      <c r="D3" s="31"/>
      <c r="E3" s="209" t="s">
        <v>2</v>
      </c>
      <c r="F3" s="210"/>
      <c r="G3" s="210"/>
      <c r="H3" s="210"/>
      <c r="I3" s="210"/>
      <c r="J3" s="211"/>
      <c r="K3" s="208"/>
    </row>
    <row r="4" spans="1:11" ht="18.75" x14ac:dyDescent="0.25">
      <c r="A4" s="102" t="s">
        <v>0</v>
      </c>
      <c r="B4" s="215" t="s">
        <v>84</v>
      </c>
      <c r="C4" s="104" t="s">
        <v>1</v>
      </c>
      <c r="D4" s="37" t="s">
        <v>4</v>
      </c>
      <c r="E4" s="35" t="s">
        <v>6</v>
      </c>
      <c r="F4" s="25" t="s">
        <v>7</v>
      </c>
      <c r="G4" s="25" t="s">
        <v>8</v>
      </c>
      <c r="H4" s="25" t="s">
        <v>9</v>
      </c>
      <c r="I4" s="25" t="s">
        <v>18</v>
      </c>
      <c r="J4" s="26" t="s">
        <v>10</v>
      </c>
      <c r="K4" s="100" t="s">
        <v>19</v>
      </c>
    </row>
    <row r="5" spans="1:11" ht="19.5" thickBot="1" x14ac:dyDescent="0.3">
      <c r="A5" s="188"/>
      <c r="B5" s="216"/>
      <c r="C5" s="189"/>
      <c r="D5" s="190">
        <v>0.45</v>
      </c>
      <c r="E5" s="191">
        <v>225</v>
      </c>
      <c r="F5" s="192">
        <v>270</v>
      </c>
      <c r="G5" s="192">
        <v>315</v>
      </c>
      <c r="H5" s="192">
        <v>360</v>
      </c>
      <c r="I5" s="192">
        <v>405</v>
      </c>
      <c r="J5" s="193">
        <v>450</v>
      </c>
      <c r="K5" s="194"/>
    </row>
    <row r="6" spans="1:11" ht="16.5" thickBot="1" x14ac:dyDescent="0.3">
      <c r="A6" s="195" t="s">
        <v>5</v>
      </c>
      <c r="B6" s="214">
        <v>45261</v>
      </c>
      <c r="C6" s="196">
        <f>'Planta Central'!B6+Rastro!B6+QT!B6+FMC!B6+EPMTPQ!B6+EMASEO!B6+Conquito!B6</f>
        <v>1234</v>
      </c>
      <c r="D6" s="197">
        <f>'Planta Central'!C6+Rastro!C6+QT!C6+FMC!C6+EPMTPQ!C6+EMASEO!C6+Conquito!C6</f>
        <v>4054373.63</v>
      </c>
      <c r="E6" s="198">
        <f>'Planta Central'!D6+Rastro!D6+QT!D6+FMC!D6+EPMTPQ!D6+EMASEO!D6+Conquito!D6</f>
        <v>4353997.5</v>
      </c>
      <c r="F6" s="198">
        <f>'Planta Central'!E6+Rastro!E6+QT!E6+FMC!E6+EPMTPQ!E6+EMASEO!E6+Conquito!E6</f>
        <v>4973410.4499999993</v>
      </c>
      <c r="G6" s="198">
        <f>'Planta Central'!F6+Rastro!F6+QT!F6+FMC!F6+EPMTPQ!F6+EMASEO!F6+Conquito!F6</f>
        <v>5632361.5999999996</v>
      </c>
      <c r="H6" s="198">
        <f>'Planta Central'!G6+Rastro!G6+QT!G6+FMC!G6+EPMTPQ!G6+EMASEO!G6+Conquito!G6</f>
        <v>6336139.7400000002</v>
      </c>
      <c r="I6" s="198">
        <f>'Planta Central'!H6+Rastro!H6+QT!H6+FMC!H6+EPMTPQ!H6+EMASEO!H6+Conquito!H6</f>
        <v>7053707.7599999998</v>
      </c>
      <c r="J6" s="198">
        <f>'Planta Central'!I6+Rastro!I6+QT!I6+FMC!I6+EPMTPQ!I6+EMASEO!I6+Conquito!I6</f>
        <v>7774383.2999999998</v>
      </c>
      <c r="K6" s="199">
        <f>'Planta Central'!J6+Rastro!J6+QT!J6+FMC!J6+EPMTPQ!J6+EMASEO!J6+Conquito!J6</f>
        <v>2775547.1745000002</v>
      </c>
    </row>
    <row r="7" spans="1:11" ht="16.5" thickBot="1" x14ac:dyDescent="0.3">
      <c r="A7" s="7" t="s">
        <v>11</v>
      </c>
      <c r="B7" s="214">
        <v>45261</v>
      </c>
      <c r="C7" s="196">
        <f>'Planta Central'!B7+Rastro!B7+QT!B7+FMC!B7+EPMTPQ!B7+EMASEO!B7+Conquito!B7</f>
        <v>1326</v>
      </c>
      <c r="D7" s="197">
        <f>'Planta Central'!C7+Rastro!C7+QT!C7+FMC!C7+EPMTPQ!C7+EMASEO!C7+Conquito!C7</f>
        <v>4352679.24</v>
      </c>
      <c r="E7" s="198">
        <f>'Planta Central'!D7+Rastro!D7+QT!D7+FMC!D7+EPMTPQ!D7+EMASEO!D7+Conquito!D7</f>
        <v>4674554.9499999993</v>
      </c>
      <c r="F7" s="198">
        <f>'Planta Central'!E7+Rastro!E7+QT!E7+FMC!E7+EPMTPQ!E7+EMASEO!E7+Conquito!E7</f>
        <v>5341603.67</v>
      </c>
      <c r="G7" s="198">
        <f>'Planta Central'!F7+Rastro!F7+QT!F7+FMC!F7+EPMTPQ!F7+EMASEO!F7+Conquito!F7</f>
        <v>6052067.0599999996</v>
      </c>
      <c r="H7" s="198">
        <f>'Planta Central'!G7+Rastro!G7+QT!G7+FMC!G7+EPMTPQ!G7+EMASEO!G7+Conquito!G7</f>
        <v>6808420.8399999999</v>
      </c>
      <c r="I7" s="198">
        <f>'Planta Central'!H7+Rastro!H7+QT!H7+FMC!H7+EPMTPQ!H7+EMASEO!H7+Conquito!H7</f>
        <v>7579487.7599999998</v>
      </c>
      <c r="J7" s="198">
        <f>'Planta Central'!I7+Rastro!I7+QT!I7+FMC!I7+EPMTPQ!I7+EMASEO!I7+Conquito!I7</f>
        <v>8353983.2999999998</v>
      </c>
      <c r="K7" s="199">
        <f>'Planta Central'!J7+Rastro!J7+QT!J7+FMC!J7+EPMTPQ!J7+EMASEO!J7+Conquito!J7</f>
        <v>2886661.7744999998</v>
      </c>
    </row>
    <row r="8" spans="1:11" ht="16.5" thickBot="1" x14ac:dyDescent="0.3">
      <c r="A8" s="8" t="s">
        <v>15</v>
      </c>
      <c r="B8" s="212">
        <v>2028</v>
      </c>
      <c r="C8" s="196">
        <f>'Planta Central'!B8+Rastro!B8+QT!B8+FMC!B8+EPMTPQ!B8+EMASEO!B8+Conquito!B8</f>
        <v>1636</v>
      </c>
      <c r="D8" s="197">
        <f>'Planta Central'!C8+Rastro!C8+QT!C8+FMC!C8+EPMTPQ!C8+EMASEO!C8+Conquito!C8</f>
        <v>5308254.24</v>
      </c>
      <c r="E8" s="198">
        <f>'Planta Central'!D8+Rastro!D8+QT!D8+FMC!D8+EPMTPQ!D8+EMASEO!D8+Conquito!D8</f>
        <v>5720804.9499999993</v>
      </c>
      <c r="F8" s="198">
        <f>'Planta Central'!E8+Rastro!E8+QT!E8+FMC!E8+EPMTPQ!E8+EMASEO!E8+Conquito!E8</f>
        <v>6569203.6699999999</v>
      </c>
      <c r="G8" s="198">
        <f>'Planta Central'!F8+Rastro!F8+QT!F8+FMC!F8+EPMTPQ!F8+EMASEO!F8+Conquito!F8</f>
        <v>7461017.0599999996</v>
      </c>
      <c r="H8" s="198">
        <f>'Planta Central'!G8+Rastro!G8+QT!G8+FMC!G8+EPMTPQ!G8+EMASEO!G8+Conquito!G8</f>
        <v>8398720.8399999999</v>
      </c>
      <c r="I8" s="198">
        <f>'Planta Central'!H8+Rastro!H8+QT!H8+FMC!H8+EPMTPQ!H8+EMASEO!H8+Conquito!H8</f>
        <v>9351137.7599999998</v>
      </c>
      <c r="J8" s="198">
        <f>'Planta Central'!I8+Rastro!I8+QT!I8+FMC!I8+EPMTPQ!I8+EMASEO!I8+Conquito!I8</f>
        <v>10306983.300000001</v>
      </c>
      <c r="K8" s="199">
        <f>'Planta Central'!J8+Rastro!J8+QT!J8+FMC!J8+EPMTPQ!J8+EMASEO!J8+Conquito!J8</f>
        <v>3339803.3189999997</v>
      </c>
    </row>
    <row r="9" spans="1:11" ht="16.5" thickBot="1" x14ac:dyDescent="0.3">
      <c r="A9" s="8" t="s">
        <v>12</v>
      </c>
      <c r="B9" s="213">
        <v>2033</v>
      </c>
      <c r="C9" s="196">
        <f>'Planta Central'!B9+Rastro!B9+QT!B9+FMC!B9+EPMTPQ!B9+EMASEO!B9+Conquito!B9</f>
        <v>1988</v>
      </c>
      <c r="D9" s="197">
        <f>'Planta Central'!C9+Rastro!C9+QT!C9+FMC!C9+EPMTPQ!C9+EMASEO!C9+Conquito!C9</f>
        <v>6386504.1400000006</v>
      </c>
      <c r="E9" s="198">
        <f>'Planta Central'!D9+Rastro!D9+QT!D9+FMC!D9+EPMTPQ!D9+EMASEO!D9+Conquito!D9</f>
        <v>6901625.9499999993</v>
      </c>
      <c r="F9" s="198">
        <f>'Planta Central'!E9+Rastro!E9+QT!E9+FMC!E9+EPMTPQ!E9+EMASEO!E9+Conquito!E9</f>
        <v>7955166.8700000001</v>
      </c>
      <c r="G9" s="198">
        <f>'Planta Central'!F9+Rastro!F9+QT!F9+FMC!F9+EPMTPQ!F9+EMASEO!F9+Conquito!F9</f>
        <v>9052122.4600000009</v>
      </c>
      <c r="H9" s="198">
        <f>'Planta Central'!G9+Rastro!G9+QT!G9+FMC!G9+EPMTPQ!G9+EMASEO!G9+Conquito!G9</f>
        <v>10194968.439999999</v>
      </c>
      <c r="I9" s="198">
        <f>'Planta Central'!H9+Rastro!H9+QT!H9+FMC!H9+EPMTPQ!H9+EMASEO!H9+Conquito!H9</f>
        <v>11352527.559999999</v>
      </c>
      <c r="J9" s="198">
        <f>'Planta Central'!I9+Rastro!I9+QT!I9+FMC!I9+EPMTPQ!I9+EMASEO!I9+Conquito!I9</f>
        <v>12513515.300000001</v>
      </c>
      <c r="K9" s="199">
        <f>'Planta Central'!J9+Rastro!J9+QT!J9+FMC!J9+EPMTPQ!J9+EMASEO!J9+Conquito!J9</f>
        <v>4020313.0235465304</v>
      </c>
    </row>
    <row r="10" spans="1:11" ht="16.5" thickBot="1" x14ac:dyDescent="0.3">
      <c r="A10" s="8" t="s">
        <v>16</v>
      </c>
      <c r="B10" s="213">
        <v>2038</v>
      </c>
      <c r="C10" s="196">
        <f>'Planta Central'!B10+Rastro!B10+QT!B10+FMC!B10+EPMTPQ!B10+EMASEO!B10+Conquito!B10</f>
        <v>2738</v>
      </c>
      <c r="D10" s="197">
        <f>'Planta Central'!C10+Rastro!C10+QT!C10+FMC!C10+EPMTPQ!C10+EMASEO!C10+Conquito!C10</f>
        <v>8708246.1400000006</v>
      </c>
      <c r="E10" s="198">
        <f>'Planta Central'!D10+Rastro!D10+QT!D10+FMC!D10+EPMTPQ!D10+EMASEO!D10+Conquito!D10</f>
        <v>9442427.9499999993</v>
      </c>
      <c r="F10" s="198">
        <f>'Planta Central'!E10+Rastro!E10+QT!E10+FMC!E10+EPMTPQ!E10+EMASEO!E10+Conquito!E10</f>
        <v>10934088.870000001</v>
      </c>
      <c r="G10" s="198">
        <f>'Planta Central'!F10+Rastro!F10+QT!F10+FMC!F10+EPMTPQ!F10+EMASEO!F10+Conquito!F10</f>
        <v>12469164.460000001</v>
      </c>
      <c r="H10" s="198">
        <f>'Planta Central'!G10+Rastro!G10+QT!G10+FMC!G10+EPMTPQ!G10+EMASEO!G10+Conquito!G10</f>
        <v>14050130.439999999</v>
      </c>
      <c r="I10" s="198">
        <f>'Planta Central'!H10+Rastro!H10+QT!H10+FMC!H10+EPMTPQ!H10+EMASEO!H10+Conquito!H10</f>
        <v>15645809.560000001</v>
      </c>
      <c r="J10" s="198">
        <f>'Planta Central'!I10+Rastro!I10+QT!I10+FMC!I10+EPMTPQ!I10+EMASEO!I10+Conquito!I10</f>
        <v>17244917.300000001</v>
      </c>
      <c r="K10" s="199">
        <f>'Planta Central'!J10+Rastro!J10+QT!J10+FMC!J10+EPMTPQ!J10+EMASEO!J10+Conquito!J10</f>
        <v>4725949.0347238574</v>
      </c>
    </row>
    <row r="11" spans="1:11" ht="16.5" thickBot="1" x14ac:dyDescent="0.3">
      <c r="A11" s="8" t="s">
        <v>13</v>
      </c>
      <c r="B11" s="213">
        <v>2043</v>
      </c>
      <c r="C11" s="196">
        <f>'Planta Central'!B11+Rastro!B11+QT!B11+FMC!B11+EPMTPQ!B11+EMASEO!B11+Conquito!B11</f>
        <v>3293</v>
      </c>
      <c r="D11" s="197">
        <f>'Planta Central'!C11+Rastro!C11+QT!C11+FMC!C11+EPMTPQ!C11+EMASEO!C11+Conquito!C11</f>
        <v>10423855.539999999</v>
      </c>
      <c r="E11" s="198">
        <f>'Planta Central'!D11+Rastro!D11+QT!D11+FMC!D11+EPMTPQ!D11+EMASEO!D11+Conquito!D11</f>
        <v>11320615.949999999</v>
      </c>
      <c r="F11" s="198">
        <f>'Planta Central'!E11+Rastro!E11+QT!E11+FMC!E11+EPMTPQ!E11+EMASEO!E11+Conquito!E11</f>
        <v>13137434.07</v>
      </c>
      <c r="G11" s="198">
        <f>'Planta Central'!F11+Rastro!F11+QT!F11+FMC!F11+EPMTPQ!F11+EMASEO!F11+Conquito!F11</f>
        <v>14997666.859999999</v>
      </c>
      <c r="H11" s="198">
        <f>'Planta Central'!G11+Rastro!G11+QT!G11+FMC!G11+EPMTPQ!G11+EMASEO!G11+Conquito!G11</f>
        <v>16903790.039999999</v>
      </c>
      <c r="I11" s="198">
        <f>'Planta Central'!H11+Rastro!H11+QT!H11+FMC!H11+EPMTPQ!H11+EMASEO!H11+Conquito!H11</f>
        <v>18824626.359999999</v>
      </c>
      <c r="J11" s="198">
        <f>'Planta Central'!I11+Rastro!I11+QT!I11+FMC!I11+EPMTPQ!I11+EMASEO!I11+Conquito!I11</f>
        <v>20748891.300000001</v>
      </c>
      <c r="K11" s="199">
        <f>'Planta Central'!J11+Rastro!J11+QT!J11+FMC!J11+EPMTPQ!J11+EMASEO!J11+Conquito!J11</f>
        <v>5285607.26146005</v>
      </c>
    </row>
    <row r="12" spans="1:11" ht="16.5" thickBot="1" x14ac:dyDescent="0.3">
      <c r="A12" s="9" t="s">
        <v>14</v>
      </c>
      <c r="B12" s="213">
        <v>2048</v>
      </c>
      <c r="C12" s="200">
        <f>'Planta Central'!B12+Rastro!B12+QT!B12+FMC!B12+EPMTPQ!B12+EMASEO!B12+Conquito!B12</f>
        <v>3691</v>
      </c>
      <c r="D12" s="201">
        <f>'Planta Central'!C12+Rastro!C12+QT!C12+FMC!C12+EPMTPQ!C12+EMASEO!C12+Conquito!C12</f>
        <v>11705001.040000001</v>
      </c>
      <c r="E12" s="202">
        <f>'Planta Central'!D12+Rastro!D12+QT!D12+FMC!D12+EPMTPQ!D12+EMASEO!D12+Conquito!D12</f>
        <v>12717118.949999999</v>
      </c>
      <c r="F12" s="202">
        <f>'Planta Central'!E12+Rastro!E12+QT!E12+FMC!E12+EPMTPQ!E12+EMASEO!E12+Conquito!E12</f>
        <v>14764652.07</v>
      </c>
      <c r="G12" s="202">
        <f>'Planta Central'!F12+Rastro!F12+QT!F12+FMC!F12+EPMTPQ!F12+EMASEO!F12+Conquito!F12</f>
        <v>16855599.859999999</v>
      </c>
      <c r="H12" s="202">
        <f>'Planta Central'!G12+Rastro!G12+QT!G12+FMC!G12+EPMTPQ!G12+EMASEO!G12+Conquito!G12</f>
        <v>18992438.039999999</v>
      </c>
      <c r="I12" s="202">
        <f>'Planta Central'!H12+Rastro!H12+QT!H12+FMC!H12+EPMTPQ!H12+EMASEO!H12+Conquito!H12</f>
        <v>21143989.359999999</v>
      </c>
      <c r="J12" s="202">
        <f>'Planta Central'!I12+Rastro!I12+QT!I12+FMC!I12+EPMTPQ!I12+EMASEO!I12+Conquito!I12</f>
        <v>23298969.300000001</v>
      </c>
      <c r="K12" s="203">
        <f>'Planta Central'!J12+Rastro!J12+QT!J12+FMC!J12+EPMTPQ!J12+EMASEO!J12+Conquito!J12</f>
        <v>6595301.8695330527</v>
      </c>
    </row>
    <row r="13" spans="1:11" ht="18" x14ac:dyDescent="0.25">
      <c r="A13" s="39" t="s">
        <v>17</v>
      </c>
      <c r="B13" s="39"/>
    </row>
    <row r="14" spans="1:11" ht="65.25" customHeight="1" x14ac:dyDescent="0.25">
      <c r="A14" s="96" t="s">
        <v>20</v>
      </c>
      <c r="B14" s="96"/>
      <c r="C14" s="96"/>
      <c r="D14" s="96"/>
      <c r="E14" s="96"/>
      <c r="F14" s="96"/>
      <c r="G14" s="96"/>
      <c r="H14" s="96"/>
      <c r="I14" s="96"/>
      <c r="J14" s="96"/>
      <c r="K14" s="96"/>
    </row>
    <row r="15" spans="1:11" ht="18" x14ac:dyDescent="0.25">
      <c r="A15" s="97" t="s">
        <v>21</v>
      </c>
      <c r="B15" s="97"/>
      <c r="C15" s="97"/>
      <c r="D15" s="97"/>
      <c r="E15" s="97"/>
      <c r="F15" s="97"/>
      <c r="G15" s="97"/>
      <c r="H15" s="97"/>
      <c r="I15" s="97"/>
      <c r="J15" s="97"/>
      <c r="K15" s="97"/>
    </row>
    <row r="16" spans="1:11" ht="18" x14ac:dyDescent="0.25">
      <c r="A16" s="97" t="s">
        <v>22</v>
      </c>
      <c r="B16" s="97"/>
      <c r="C16" s="97"/>
      <c r="D16" s="97"/>
      <c r="E16" s="97"/>
      <c r="F16" s="97"/>
      <c r="G16" s="97"/>
      <c r="H16" s="97"/>
      <c r="I16" s="97"/>
      <c r="J16" s="97"/>
      <c r="K16" s="97"/>
    </row>
    <row r="17" spans="1:11" ht="36.75" customHeight="1" x14ac:dyDescent="0.25">
      <c r="A17" s="98" t="s">
        <v>23</v>
      </c>
      <c r="B17" s="98"/>
      <c r="C17" s="98"/>
      <c r="D17" s="98"/>
      <c r="E17" s="98"/>
      <c r="F17" s="98"/>
      <c r="G17" s="98"/>
      <c r="H17" s="98"/>
      <c r="I17" s="98"/>
      <c r="J17" s="98"/>
      <c r="K17" s="98"/>
    </row>
    <row r="18" spans="1:11" ht="18" x14ac:dyDescent="0.25">
      <c r="A18" s="99" t="s">
        <v>24</v>
      </c>
      <c r="B18" s="99"/>
      <c r="C18" s="99"/>
      <c r="D18" s="99"/>
      <c r="E18" s="99"/>
      <c r="F18" s="99"/>
      <c r="G18" s="99"/>
      <c r="H18" s="99"/>
      <c r="I18" s="99"/>
      <c r="J18" s="99"/>
      <c r="K18" s="99"/>
    </row>
    <row r="19" spans="1:11" ht="37.5" customHeight="1" x14ac:dyDescent="0.25">
      <c r="A19" s="98" t="s">
        <v>25</v>
      </c>
      <c r="B19" s="98"/>
      <c r="C19" s="98"/>
      <c r="D19" s="98"/>
      <c r="E19" s="98"/>
      <c r="F19" s="98"/>
      <c r="G19" s="98"/>
      <c r="H19" s="98"/>
      <c r="I19" s="98"/>
      <c r="J19" s="98"/>
      <c r="K19" s="98"/>
    </row>
  </sheetData>
  <mergeCells count="12">
    <mergeCell ref="A19:K19"/>
    <mergeCell ref="A18:K18"/>
    <mergeCell ref="K4:K5"/>
    <mergeCell ref="A4:A5"/>
    <mergeCell ref="C4:C5"/>
    <mergeCell ref="A17:K17"/>
    <mergeCell ref="B4:B5"/>
    <mergeCell ref="A1:C1"/>
    <mergeCell ref="A14:K14"/>
    <mergeCell ref="A15:K15"/>
    <mergeCell ref="A16:K16"/>
    <mergeCell ref="E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0" zoomScaleNormal="80" workbookViewId="0">
      <selection activeCell="B6" sqref="B6:B12"/>
    </sheetView>
  </sheetViews>
  <sheetFormatPr baseColWidth="10" defaultRowHeight="15" x14ac:dyDescent="0.25"/>
  <cols>
    <col min="1" max="1" width="70.85546875" customWidth="1"/>
    <col min="2" max="2" width="5.85546875" customWidth="1"/>
    <col min="3" max="3" width="14.5703125" bestFit="1" customWidth="1"/>
    <col min="4" max="7" width="15.42578125" bestFit="1" customWidth="1"/>
    <col min="8" max="8" width="15.42578125" customWidth="1"/>
    <col min="9" max="9" width="17" bestFit="1" customWidth="1"/>
    <col min="10" max="10" width="17.140625" customWidth="1"/>
  </cols>
  <sheetData>
    <row r="1" spans="1:10" ht="32.25" customHeight="1" x14ac:dyDescent="0.25">
      <c r="A1" s="92" t="s">
        <v>3</v>
      </c>
      <c r="B1" s="92"/>
      <c r="C1" s="30">
        <v>0</v>
      </c>
    </row>
    <row r="2" spans="1:10" ht="18.75" thickBot="1" x14ac:dyDescent="0.3">
      <c r="A2" s="32"/>
      <c r="B2" s="32"/>
      <c r="C2" s="31"/>
    </row>
    <row r="3" spans="1:10" ht="32.25" customHeight="1" thickBot="1" x14ac:dyDescent="0.3">
      <c r="A3" s="32"/>
      <c r="B3" s="32"/>
      <c r="C3" s="31"/>
      <c r="D3" s="93" t="s">
        <v>2</v>
      </c>
      <c r="E3" s="94"/>
      <c r="F3" s="94"/>
      <c r="G3" s="94"/>
      <c r="H3" s="94"/>
      <c r="I3" s="94"/>
      <c r="J3" s="95"/>
    </row>
    <row r="4" spans="1:10" ht="34.5" x14ac:dyDescent="0.25">
      <c r="A4" s="102" t="s">
        <v>0</v>
      </c>
      <c r="B4" s="104" t="s">
        <v>1</v>
      </c>
      <c r="C4" s="55" t="s">
        <v>36</v>
      </c>
      <c r="D4" s="35" t="s">
        <v>6</v>
      </c>
      <c r="E4" s="25" t="s">
        <v>7</v>
      </c>
      <c r="F4" s="25" t="s">
        <v>8</v>
      </c>
      <c r="G4" s="25" t="s">
        <v>9</v>
      </c>
      <c r="H4" s="25" t="s">
        <v>18</v>
      </c>
      <c r="I4" s="26" t="s">
        <v>10</v>
      </c>
      <c r="J4" s="100" t="s">
        <v>19</v>
      </c>
    </row>
    <row r="5" spans="1:10" ht="15.75" thickBot="1" x14ac:dyDescent="0.3">
      <c r="A5" s="103"/>
      <c r="B5" s="105"/>
      <c r="C5" s="56">
        <v>202.5</v>
      </c>
      <c r="D5" s="10">
        <v>225</v>
      </c>
      <c r="E5" s="2">
        <v>270</v>
      </c>
      <c r="F5" s="2">
        <v>315</v>
      </c>
      <c r="G5" s="2">
        <v>360</v>
      </c>
      <c r="H5" s="2">
        <v>405</v>
      </c>
      <c r="I5" s="17">
        <v>450</v>
      </c>
      <c r="J5" s="101"/>
    </row>
    <row r="6" spans="1:10" ht="15.75" x14ac:dyDescent="0.25">
      <c r="A6" s="7" t="s">
        <v>5</v>
      </c>
      <c r="B6" s="57">
        <v>738</v>
      </c>
      <c r="C6" s="14">
        <f t="shared" ref="C6:C12" si="0">((B6*$C$5)*12+C15+C24)</f>
        <v>2274885</v>
      </c>
      <c r="D6" s="11">
        <f>((+B6*$D$5)*12)+D15+D24</f>
        <v>2490750</v>
      </c>
      <c r="E6" s="5">
        <f t="shared" ref="E6:E12" si="1">((+B6*$E$5)*12)+E15+E24</f>
        <v>2922480</v>
      </c>
      <c r="F6" s="6">
        <f>((+B6*$F$5)*12)+F15+F24</f>
        <v>3354210</v>
      </c>
      <c r="G6" s="6">
        <f t="shared" ref="G6:G12" si="2">((+B6*$G$5)*12)+G15+G24</f>
        <v>3785940</v>
      </c>
      <c r="H6" s="27">
        <f>((+B6*$H$5)*12)+H15+H24</f>
        <v>4217670</v>
      </c>
      <c r="I6" s="18">
        <f t="shared" ref="I6:I12" si="3">((+B6*$I$5)*12)+I15+I24</f>
        <v>4649400</v>
      </c>
      <c r="J6" s="22"/>
    </row>
    <row r="7" spans="1:10" ht="15.75" x14ac:dyDescent="0.25">
      <c r="A7" s="7" t="s">
        <v>11</v>
      </c>
      <c r="B7" s="57">
        <v>753</v>
      </c>
      <c r="C7" s="14">
        <f t="shared" si="0"/>
        <v>2321122.5</v>
      </c>
      <c r="D7" s="12">
        <f t="shared" ref="D7:D12" si="4">((+B7*$D$5)*12)+D16+D25</f>
        <v>2541375</v>
      </c>
      <c r="E7" s="3">
        <f t="shared" si="1"/>
        <v>2981880</v>
      </c>
      <c r="F7" s="4">
        <f t="shared" ref="F7:F12" si="5">((+B7*$F$5)*12)+F16+F25</f>
        <v>3422385</v>
      </c>
      <c r="G7" s="4">
        <f t="shared" si="2"/>
        <v>3862890</v>
      </c>
      <c r="H7" s="28">
        <f t="shared" ref="H7:H11" si="6">((+B7*$H$5)*12)+H16+H25</f>
        <v>4303395</v>
      </c>
      <c r="I7" s="19">
        <f t="shared" si="3"/>
        <v>4743900</v>
      </c>
      <c r="J7" s="23"/>
    </row>
    <row r="8" spans="1:10" ht="15.75" x14ac:dyDescent="0.25">
      <c r="A8" s="8" t="s">
        <v>15</v>
      </c>
      <c r="B8" s="57">
        <v>828</v>
      </c>
      <c r="C8" s="15">
        <f t="shared" si="0"/>
        <v>2552310</v>
      </c>
      <c r="D8" s="13">
        <f t="shared" si="4"/>
        <v>2794500</v>
      </c>
      <c r="E8" s="4">
        <f t="shared" si="1"/>
        <v>3278880</v>
      </c>
      <c r="F8" s="4">
        <f t="shared" si="5"/>
        <v>3763260</v>
      </c>
      <c r="G8" s="4">
        <f t="shared" si="2"/>
        <v>4247640</v>
      </c>
      <c r="H8" s="28">
        <f t="shared" si="6"/>
        <v>4732020</v>
      </c>
      <c r="I8" s="19">
        <f t="shared" si="3"/>
        <v>5216400</v>
      </c>
      <c r="J8" s="23"/>
    </row>
    <row r="9" spans="1:10" ht="15.75" x14ac:dyDescent="0.25">
      <c r="A9" s="8" t="s">
        <v>12</v>
      </c>
      <c r="B9" s="57">
        <v>911</v>
      </c>
      <c r="C9" s="15">
        <f t="shared" si="0"/>
        <v>2808157.5</v>
      </c>
      <c r="D9" s="13">
        <f t="shared" si="4"/>
        <v>3074625</v>
      </c>
      <c r="E9" s="4">
        <f t="shared" si="1"/>
        <v>3607560</v>
      </c>
      <c r="F9" s="4">
        <f t="shared" si="5"/>
        <v>4140495</v>
      </c>
      <c r="G9" s="4">
        <f t="shared" si="2"/>
        <v>4673430</v>
      </c>
      <c r="H9" s="28">
        <f t="shared" si="6"/>
        <v>5206365</v>
      </c>
      <c r="I9" s="19">
        <f t="shared" si="3"/>
        <v>5739300</v>
      </c>
      <c r="J9" s="23"/>
    </row>
    <row r="10" spans="1:10" ht="15.75" x14ac:dyDescent="0.25">
      <c r="A10" s="8" t="s">
        <v>16</v>
      </c>
      <c r="B10" s="57">
        <v>1002</v>
      </c>
      <c r="C10" s="15">
        <f t="shared" si="0"/>
        <v>3088665</v>
      </c>
      <c r="D10" s="13">
        <f t="shared" si="4"/>
        <v>3381750</v>
      </c>
      <c r="E10" s="4">
        <f t="shared" si="1"/>
        <v>3967920</v>
      </c>
      <c r="F10" s="4">
        <f t="shared" si="5"/>
        <v>4554090</v>
      </c>
      <c r="G10" s="4">
        <f t="shared" si="2"/>
        <v>5140260</v>
      </c>
      <c r="H10" s="28">
        <f t="shared" si="6"/>
        <v>5726430</v>
      </c>
      <c r="I10" s="19">
        <f t="shared" si="3"/>
        <v>6312600</v>
      </c>
      <c r="J10" s="23"/>
    </row>
    <row r="11" spans="1:10" ht="15.75" x14ac:dyDescent="0.25">
      <c r="A11" s="8" t="s">
        <v>13</v>
      </c>
      <c r="B11" s="57">
        <v>1102</v>
      </c>
      <c r="C11" s="15">
        <f t="shared" si="0"/>
        <v>3396915</v>
      </c>
      <c r="D11" s="13">
        <f t="shared" si="4"/>
        <v>3719250</v>
      </c>
      <c r="E11" s="4">
        <f t="shared" si="1"/>
        <v>4363920</v>
      </c>
      <c r="F11" s="4">
        <f t="shared" si="5"/>
        <v>5008590</v>
      </c>
      <c r="G11" s="4">
        <f t="shared" si="2"/>
        <v>5653260</v>
      </c>
      <c r="H11" s="28">
        <f t="shared" si="6"/>
        <v>6297930</v>
      </c>
      <c r="I11" s="19">
        <f t="shared" si="3"/>
        <v>6942600</v>
      </c>
      <c r="J11" s="23"/>
    </row>
    <row r="12" spans="1:10" ht="16.5" thickBot="1" x14ac:dyDescent="0.3">
      <c r="A12" s="9" t="s">
        <v>14</v>
      </c>
      <c r="B12" s="58">
        <v>1212</v>
      </c>
      <c r="C12" s="16">
        <f t="shared" si="0"/>
        <v>3735990</v>
      </c>
      <c r="D12" s="36">
        <f t="shared" si="4"/>
        <v>4090500</v>
      </c>
      <c r="E12" s="20">
        <f t="shared" si="1"/>
        <v>4799520</v>
      </c>
      <c r="F12" s="20">
        <f t="shared" si="5"/>
        <v>5508540</v>
      </c>
      <c r="G12" s="20">
        <f t="shared" si="2"/>
        <v>6217560</v>
      </c>
      <c r="H12" s="29">
        <f>((+B12*$H$5)*12)+H21+H30</f>
        <v>6926580</v>
      </c>
      <c r="I12" s="21">
        <f t="shared" si="3"/>
        <v>7635600</v>
      </c>
      <c r="J12" s="24"/>
    </row>
    <row r="14" spans="1:10" ht="15.75" x14ac:dyDescent="0.25">
      <c r="A14" s="59" t="s">
        <v>37</v>
      </c>
      <c r="C14" s="60">
        <v>450</v>
      </c>
      <c r="D14" s="60">
        <v>450</v>
      </c>
      <c r="E14" s="60">
        <v>450</v>
      </c>
      <c r="F14" s="60">
        <v>450</v>
      </c>
      <c r="G14" s="60">
        <v>450</v>
      </c>
      <c r="H14" s="60">
        <v>450</v>
      </c>
      <c r="I14" s="60">
        <v>450</v>
      </c>
      <c r="J14" s="60"/>
    </row>
    <row r="15" spans="1:10" ht="15.75" x14ac:dyDescent="0.25">
      <c r="A15" s="61" t="s">
        <v>61</v>
      </c>
      <c r="C15" s="62">
        <f t="shared" ref="C15:C21" si="7">+B6*$C$14</f>
        <v>332100</v>
      </c>
      <c r="D15" s="62">
        <v>332100</v>
      </c>
      <c r="E15" s="62">
        <v>332100</v>
      </c>
      <c r="F15" s="62">
        <v>332100</v>
      </c>
      <c r="G15" s="62">
        <v>332100</v>
      </c>
      <c r="H15" s="62">
        <v>332100</v>
      </c>
      <c r="I15" s="62">
        <v>332100</v>
      </c>
      <c r="J15" s="62"/>
    </row>
    <row r="16" spans="1:10" ht="15.75" x14ac:dyDescent="0.25">
      <c r="A16" s="61" t="s">
        <v>62</v>
      </c>
      <c r="C16" s="62">
        <f t="shared" si="7"/>
        <v>338850</v>
      </c>
      <c r="D16" s="62">
        <v>338850</v>
      </c>
      <c r="E16" s="62">
        <v>338850</v>
      </c>
      <c r="F16" s="62">
        <v>338850</v>
      </c>
      <c r="G16" s="62">
        <v>338850</v>
      </c>
      <c r="H16" s="62">
        <v>338850</v>
      </c>
      <c r="I16" s="62">
        <v>338850</v>
      </c>
      <c r="J16" s="62"/>
    </row>
    <row r="17" spans="1:10" ht="15.75" x14ac:dyDescent="0.25">
      <c r="A17" s="61" t="s">
        <v>38</v>
      </c>
      <c r="C17" s="62">
        <f t="shared" si="7"/>
        <v>372600</v>
      </c>
      <c r="D17" s="62">
        <v>372600</v>
      </c>
      <c r="E17" s="62">
        <v>372600</v>
      </c>
      <c r="F17" s="62">
        <v>372600</v>
      </c>
      <c r="G17" s="62">
        <v>372600</v>
      </c>
      <c r="H17" s="62">
        <v>372600</v>
      </c>
      <c r="I17" s="62">
        <v>372600</v>
      </c>
      <c r="J17" s="62"/>
    </row>
    <row r="18" spans="1:10" ht="15.75" x14ac:dyDescent="0.25">
      <c r="A18" s="61" t="s">
        <v>39</v>
      </c>
      <c r="C18" s="62">
        <f t="shared" si="7"/>
        <v>409950</v>
      </c>
      <c r="D18" s="62">
        <v>409950</v>
      </c>
      <c r="E18" s="62">
        <v>409950</v>
      </c>
      <c r="F18" s="62">
        <v>409950</v>
      </c>
      <c r="G18" s="62">
        <v>409950</v>
      </c>
      <c r="H18" s="62">
        <v>409950</v>
      </c>
      <c r="I18" s="62">
        <v>409950</v>
      </c>
      <c r="J18" s="62"/>
    </row>
    <row r="19" spans="1:10" ht="15.75" x14ac:dyDescent="0.25">
      <c r="A19" s="61" t="s">
        <v>40</v>
      </c>
      <c r="C19" s="62">
        <f t="shared" si="7"/>
        <v>450900</v>
      </c>
      <c r="D19" s="62">
        <v>450900</v>
      </c>
      <c r="E19" s="62">
        <v>450900</v>
      </c>
      <c r="F19" s="62">
        <v>450900</v>
      </c>
      <c r="G19" s="62">
        <v>450900</v>
      </c>
      <c r="H19" s="62">
        <v>450900</v>
      </c>
      <c r="I19" s="62">
        <v>450900</v>
      </c>
      <c r="J19" s="62"/>
    </row>
    <row r="20" spans="1:10" ht="15.75" x14ac:dyDescent="0.25">
      <c r="A20" s="61" t="s">
        <v>41</v>
      </c>
      <c r="C20" s="62">
        <f t="shared" si="7"/>
        <v>495900</v>
      </c>
      <c r="D20" s="62">
        <v>495900</v>
      </c>
      <c r="E20" s="62">
        <v>495900</v>
      </c>
      <c r="F20" s="62">
        <v>495900</v>
      </c>
      <c r="G20" s="62">
        <v>495900</v>
      </c>
      <c r="H20" s="62">
        <v>495900</v>
      </c>
      <c r="I20" s="62">
        <v>495900</v>
      </c>
      <c r="J20" s="62"/>
    </row>
    <row r="21" spans="1:10" ht="15.75" x14ac:dyDescent="0.25">
      <c r="A21" s="61" t="s">
        <v>42</v>
      </c>
      <c r="C21" s="62">
        <f t="shared" si="7"/>
        <v>545400</v>
      </c>
      <c r="D21" s="62">
        <v>545400</v>
      </c>
      <c r="E21" s="62">
        <v>545400</v>
      </c>
      <c r="F21" s="62">
        <v>545400</v>
      </c>
      <c r="G21" s="62">
        <v>545400</v>
      </c>
      <c r="H21" s="62">
        <v>545400</v>
      </c>
      <c r="I21" s="62">
        <v>545400</v>
      </c>
      <c r="J21" s="62"/>
    </row>
    <row r="22" spans="1:10" ht="15.75" x14ac:dyDescent="0.25">
      <c r="A22" s="61"/>
      <c r="C22" s="62"/>
      <c r="D22" s="62"/>
      <c r="E22" s="62"/>
      <c r="F22" s="62"/>
      <c r="G22" s="62"/>
      <c r="H22" s="62"/>
      <c r="I22" s="62"/>
      <c r="J22" s="62"/>
    </row>
    <row r="23" spans="1:10" ht="15.75" x14ac:dyDescent="0.25">
      <c r="A23" s="59" t="s">
        <v>43</v>
      </c>
      <c r="C23" s="62"/>
      <c r="D23" s="62"/>
      <c r="E23" s="62"/>
      <c r="F23" s="62"/>
      <c r="G23" s="62"/>
      <c r="H23" s="62"/>
      <c r="I23" s="62"/>
      <c r="J23" s="62"/>
    </row>
    <row r="24" spans="1:10" ht="15.75" x14ac:dyDescent="0.25">
      <c r="A24" s="61" t="s">
        <v>61</v>
      </c>
      <c r="C24" s="62">
        <v>149445</v>
      </c>
      <c r="D24" s="62">
        <v>166050</v>
      </c>
      <c r="E24" s="62">
        <v>199260</v>
      </c>
      <c r="F24" s="62">
        <v>232470</v>
      </c>
      <c r="G24" s="62">
        <v>265680</v>
      </c>
      <c r="H24" s="62">
        <v>298890</v>
      </c>
      <c r="I24" s="62">
        <v>332100</v>
      </c>
      <c r="J24" s="62"/>
    </row>
    <row r="25" spans="1:10" ht="15.75" x14ac:dyDescent="0.25">
      <c r="A25" s="61" t="s">
        <v>62</v>
      </c>
      <c r="C25" s="62">
        <v>152482.5</v>
      </c>
      <c r="D25" s="62">
        <v>169425</v>
      </c>
      <c r="E25" s="62">
        <v>203310</v>
      </c>
      <c r="F25" s="62">
        <v>237195</v>
      </c>
      <c r="G25" s="62">
        <v>271080</v>
      </c>
      <c r="H25" s="62">
        <v>304965</v>
      </c>
      <c r="I25" s="62">
        <v>338850</v>
      </c>
      <c r="J25" s="62"/>
    </row>
    <row r="26" spans="1:10" ht="15.75" x14ac:dyDescent="0.25">
      <c r="A26" s="61" t="s">
        <v>38</v>
      </c>
      <c r="C26" s="62">
        <v>167670</v>
      </c>
      <c r="D26" s="62">
        <v>186300</v>
      </c>
      <c r="E26" s="62">
        <v>223560</v>
      </c>
      <c r="F26" s="62">
        <v>260820</v>
      </c>
      <c r="G26" s="62">
        <v>298080</v>
      </c>
      <c r="H26" s="62">
        <v>335340</v>
      </c>
      <c r="I26" s="62">
        <v>372600</v>
      </c>
      <c r="J26" s="62"/>
    </row>
    <row r="27" spans="1:10" ht="15.75" x14ac:dyDescent="0.25">
      <c r="A27" s="61" t="s">
        <v>39</v>
      </c>
      <c r="C27" s="62">
        <v>184477.5</v>
      </c>
      <c r="D27" s="62">
        <v>204975</v>
      </c>
      <c r="E27" s="62">
        <v>245970</v>
      </c>
      <c r="F27" s="62">
        <v>286965</v>
      </c>
      <c r="G27" s="62">
        <v>327960</v>
      </c>
      <c r="H27" s="62">
        <v>368955</v>
      </c>
      <c r="I27" s="62">
        <v>409950</v>
      </c>
      <c r="J27" s="62"/>
    </row>
    <row r="28" spans="1:10" ht="15.75" x14ac:dyDescent="0.25">
      <c r="A28" s="61" t="s">
        <v>40</v>
      </c>
      <c r="C28" s="62">
        <v>202905</v>
      </c>
      <c r="D28" s="62">
        <v>225450</v>
      </c>
      <c r="E28" s="62">
        <v>270540</v>
      </c>
      <c r="F28" s="62">
        <v>315630</v>
      </c>
      <c r="G28" s="62">
        <v>360720</v>
      </c>
      <c r="H28" s="62">
        <v>405810</v>
      </c>
      <c r="I28" s="62">
        <v>450900</v>
      </c>
      <c r="J28" s="62"/>
    </row>
    <row r="29" spans="1:10" ht="15.75" x14ac:dyDescent="0.25">
      <c r="A29" s="61" t="s">
        <v>41</v>
      </c>
      <c r="C29" s="62">
        <v>223155</v>
      </c>
      <c r="D29" s="62">
        <v>247950</v>
      </c>
      <c r="E29" s="62">
        <v>297540</v>
      </c>
      <c r="F29" s="62">
        <v>347130</v>
      </c>
      <c r="G29" s="62">
        <v>396720</v>
      </c>
      <c r="H29" s="62">
        <v>446310</v>
      </c>
      <c r="I29" s="62">
        <v>495900</v>
      </c>
      <c r="J29" s="62"/>
    </row>
    <row r="30" spans="1:10" ht="15.75" x14ac:dyDescent="0.25">
      <c r="A30" s="61" t="s">
        <v>42</v>
      </c>
      <c r="C30" s="62">
        <v>245430</v>
      </c>
      <c r="D30" s="62">
        <v>272700</v>
      </c>
      <c r="E30" s="62">
        <v>327240</v>
      </c>
      <c r="F30" s="62">
        <v>381780</v>
      </c>
      <c r="G30" s="62">
        <v>436320</v>
      </c>
      <c r="H30" s="62">
        <v>490860</v>
      </c>
      <c r="I30" s="62">
        <v>545400</v>
      </c>
      <c r="J30" s="62"/>
    </row>
    <row r="31" spans="1:10" ht="15.75" x14ac:dyDescent="0.25">
      <c r="A31" s="61"/>
    </row>
    <row r="34" spans="1:10" ht="18" x14ac:dyDescent="0.25">
      <c r="A34" s="54" t="s">
        <v>29</v>
      </c>
      <c r="B34" s="1"/>
      <c r="C34" s="1"/>
      <c r="D34" s="1"/>
      <c r="E34" s="1"/>
    </row>
    <row r="35" spans="1:10" ht="68.25" customHeight="1" x14ac:dyDescent="0.25">
      <c r="A35" s="109" t="s">
        <v>30</v>
      </c>
      <c r="B35" s="109"/>
      <c r="C35" s="109"/>
      <c r="D35" s="109"/>
      <c r="E35" s="109"/>
      <c r="F35" s="109"/>
      <c r="G35" s="109"/>
      <c r="H35" s="109"/>
      <c r="I35" s="109"/>
      <c r="J35" s="109"/>
    </row>
    <row r="36" spans="1:10" ht="18" x14ac:dyDescent="0.25">
      <c r="A36" s="106" t="s">
        <v>31</v>
      </c>
      <c r="B36" s="106"/>
      <c r="C36" s="106"/>
      <c r="D36" s="106"/>
      <c r="E36" s="106"/>
      <c r="F36" s="106"/>
      <c r="G36" s="106"/>
      <c r="H36" s="106"/>
      <c r="I36" s="106"/>
      <c r="J36" s="106"/>
    </row>
    <row r="37" spans="1:10" ht="18" x14ac:dyDescent="0.25">
      <c r="A37" s="106" t="s">
        <v>32</v>
      </c>
      <c r="B37" s="106"/>
      <c r="C37" s="106"/>
      <c r="D37" s="106"/>
      <c r="E37" s="106"/>
      <c r="F37" s="106"/>
      <c r="G37" s="106"/>
      <c r="H37" s="106"/>
      <c r="I37" s="106"/>
      <c r="J37" s="106"/>
    </row>
    <row r="38" spans="1:10" ht="35.25" customHeight="1" x14ac:dyDescent="0.25">
      <c r="A38" s="107" t="s">
        <v>33</v>
      </c>
      <c r="B38" s="107"/>
      <c r="C38" s="107"/>
      <c r="D38" s="107"/>
      <c r="E38" s="107"/>
      <c r="F38" s="107"/>
      <c r="G38" s="107"/>
      <c r="H38" s="107"/>
      <c r="I38" s="107"/>
      <c r="J38" s="107"/>
    </row>
    <row r="39" spans="1:10" ht="18" x14ac:dyDescent="0.25">
      <c r="A39" s="108" t="s">
        <v>34</v>
      </c>
      <c r="B39" s="108"/>
      <c r="C39" s="108"/>
      <c r="D39" s="108"/>
      <c r="E39" s="108"/>
      <c r="F39" s="108"/>
      <c r="G39" s="108"/>
      <c r="H39" s="108"/>
      <c r="I39" s="108"/>
      <c r="J39" s="108"/>
    </row>
    <row r="40" spans="1:10" ht="36.75" customHeight="1" x14ac:dyDescent="0.25">
      <c r="A40" s="107" t="s">
        <v>35</v>
      </c>
      <c r="B40" s="107"/>
      <c r="C40" s="107"/>
      <c r="D40" s="107"/>
      <c r="E40" s="107"/>
      <c r="F40" s="107"/>
      <c r="G40" s="107"/>
      <c r="H40" s="107"/>
      <c r="I40" s="107"/>
      <c r="J40" s="107"/>
    </row>
  </sheetData>
  <mergeCells count="11">
    <mergeCell ref="A36:J36"/>
    <mergeCell ref="A37:J37"/>
    <mergeCell ref="A38:J38"/>
    <mergeCell ref="A39:J39"/>
    <mergeCell ref="A40:J40"/>
    <mergeCell ref="A1:B1"/>
    <mergeCell ref="D3:J3"/>
    <mergeCell ref="A4:A5"/>
    <mergeCell ref="B4:B5"/>
    <mergeCell ref="J4:J5"/>
    <mergeCell ref="A35:J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110" zoomScaleNormal="110" workbookViewId="0">
      <selection activeCell="E15" sqref="E15:F16"/>
    </sheetView>
  </sheetViews>
  <sheetFormatPr baseColWidth="10" defaultRowHeight="12.75" x14ac:dyDescent="0.2"/>
  <cols>
    <col min="1" max="1" width="50" style="64" customWidth="1"/>
    <col min="2" max="2" width="4.7109375" style="64" bestFit="1" customWidth="1"/>
    <col min="3" max="3" width="17.140625" style="64" customWidth="1"/>
    <col min="4" max="7" width="15.42578125" style="64" bestFit="1" customWidth="1"/>
    <col min="8" max="8" width="15.42578125" style="64" customWidth="1"/>
    <col min="9" max="9" width="17" style="64" bestFit="1" customWidth="1"/>
    <col min="10" max="10" width="18.5703125" style="64" customWidth="1"/>
    <col min="11" max="16384" width="11.42578125" style="64"/>
  </cols>
  <sheetData>
    <row r="1" spans="1:10" ht="37.5" customHeight="1" x14ac:dyDescent="0.2">
      <c r="A1" s="112" t="s">
        <v>3</v>
      </c>
      <c r="B1" s="112"/>
      <c r="C1" s="63">
        <v>145950</v>
      </c>
    </row>
    <row r="2" spans="1:10" ht="13.5" thickBot="1" x14ac:dyDescent="0.25">
      <c r="A2" s="65"/>
      <c r="B2" s="65"/>
      <c r="C2" s="66"/>
    </row>
    <row r="3" spans="1:10" ht="13.5" thickBot="1" x14ac:dyDescent="0.25">
      <c r="A3" s="65"/>
      <c r="B3" s="65"/>
      <c r="C3" s="66"/>
      <c r="D3" s="113" t="s">
        <v>2</v>
      </c>
      <c r="E3" s="114"/>
      <c r="F3" s="114"/>
      <c r="G3" s="114"/>
      <c r="H3" s="114"/>
      <c r="I3" s="114"/>
      <c r="J3" s="115"/>
    </row>
    <row r="4" spans="1:10" x14ac:dyDescent="0.2">
      <c r="A4" s="116" t="s">
        <v>0</v>
      </c>
      <c r="B4" s="118" t="s">
        <v>1</v>
      </c>
      <c r="C4" s="67" t="s">
        <v>4</v>
      </c>
      <c r="D4" s="68" t="s">
        <v>6</v>
      </c>
      <c r="E4" s="69" t="s">
        <v>7</v>
      </c>
      <c r="F4" s="69" t="s">
        <v>8</v>
      </c>
      <c r="G4" s="69" t="s">
        <v>9</v>
      </c>
      <c r="H4" s="69" t="s">
        <v>18</v>
      </c>
      <c r="I4" s="70" t="s">
        <v>10</v>
      </c>
      <c r="J4" s="120" t="s">
        <v>44</v>
      </c>
    </row>
    <row r="5" spans="1:10" ht="13.5" thickBot="1" x14ac:dyDescent="0.25">
      <c r="A5" s="117"/>
      <c r="B5" s="119"/>
      <c r="C5" s="71">
        <v>0.45</v>
      </c>
      <c r="D5" s="72">
        <v>225</v>
      </c>
      <c r="E5" s="73">
        <v>270</v>
      </c>
      <c r="F5" s="73">
        <v>315</v>
      </c>
      <c r="G5" s="73">
        <v>360</v>
      </c>
      <c r="H5" s="73">
        <v>405</v>
      </c>
      <c r="I5" s="74">
        <v>450</v>
      </c>
      <c r="J5" s="121"/>
    </row>
    <row r="6" spans="1:10" ht="25.5" x14ac:dyDescent="0.2">
      <c r="A6" s="75" t="s">
        <v>45</v>
      </c>
      <c r="B6" s="76">
        <v>47</v>
      </c>
      <c r="C6" s="77">
        <f>((450*0.45)*B6*13)+(450*B6)</f>
        <v>144877.5</v>
      </c>
      <c r="D6" s="78">
        <f>((450*0.5)*B6*13)+(450*B6)</f>
        <v>158625</v>
      </c>
      <c r="E6" s="79">
        <f>((450*0.6)*B6*13)+(450*B6)</f>
        <v>186120</v>
      </c>
      <c r="F6" s="80">
        <f>((450*0.7)*B6*13)+(450*B6)</f>
        <v>213615</v>
      </c>
      <c r="G6" s="80">
        <f>((450*0.8)*B6*13)+(450*B6)</f>
        <v>241110</v>
      </c>
      <c r="H6" s="81">
        <f>((450*0.9)*B6*13)+(450*B6)</f>
        <v>268605</v>
      </c>
      <c r="I6" s="82">
        <f>((450*1)*B6*13)+(450*B6)</f>
        <v>296100</v>
      </c>
      <c r="J6" s="83">
        <v>167347.17450000002</v>
      </c>
    </row>
    <row r="7" spans="1:10" ht="25.5" x14ac:dyDescent="0.2">
      <c r="A7" s="75" t="s">
        <v>46</v>
      </c>
      <c r="B7" s="76">
        <v>48</v>
      </c>
      <c r="C7" s="77">
        <f t="shared" ref="C7:C12" si="0">((450*0.45)*B7*13)+(450*B7)</f>
        <v>147960</v>
      </c>
      <c r="D7" s="78">
        <f t="shared" ref="D7:D12" si="1">((450*0.5)*B7*13)+(450*B7)</f>
        <v>162000</v>
      </c>
      <c r="E7" s="79">
        <f t="shared" ref="E7:E12" si="2">((450*0.6)*B7*13)+(450*B7)</f>
        <v>190080</v>
      </c>
      <c r="F7" s="80">
        <f t="shared" ref="F7:F12" si="3">((450*0.7)*B7*13)+(450*B7)</f>
        <v>218160</v>
      </c>
      <c r="G7" s="80">
        <f t="shared" ref="G7:G12" si="4">((450*0.8)*B7*13)+(450*B7)</f>
        <v>246240</v>
      </c>
      <c r="H7" s="81">
        <f t="shared" ref="H7:H12" si="5">((450*0.9)*B7*13)+(450*B7)</f>
        <v>274320</v>
      </c>
      <c r="I7" s="82">
        <f t="shared" ref="I7:I12" si="6">((450*1)*B7*13)+(450*B7)</f>
        <v>302400</v>
      </c>
      <c r="J7" s="83">
        <v>171178.47449999998</v>
      </c>
    </row>
    <row r="8" spans="1:10" ht="25.5" x14ac:dyDescent="0.2">
      <c r="A8" s="84" t="s">
        <v>47</v>
      </c>
      <c r="B8" s="76">
        <v>39</v>
      </c>
      <c r="C8" s="77">
        <f t="shared" si="0"/>
        <v>120217.5</v>
      </c>
      <c r="D8" s="78">
        <f t="shared" si="1"/>
        <v>131625</v>
      </c>
      <c r="E8" s="79">
        <f t="shared" si="2"/>
        <v>154440</v>
      </c>
      <c r="F8" s="80">
        <f t="shared" si="3"/>
        <v>177255</v>
      </c>
      <c r="G8" s="80">
        <f t="shared" si="4"/>
        <v>200070</v>
      </c>
      <c r="H8" s="81">
        <f t="shared" si="5"/>
        <v>222885</v>
      </c>
      <c r="I8" s="82">
        <f t="shared" si="6"/>
        <v>245700</v>
      </c>
      <c r="J8" s="83">
        <v>151820.019</v>
      </c>
    </row>
    <row r="9" spans="1:10" ht="25.5" x14ac:dyDescent="0.2">
      <c r="A9" s="84" t="s">
        <v>48</v>
      </c>
      <c r="B9" s="76">
        <v>43</v>
      </c>
      <c r="C9" s="77">
        <f t="shared" si="0"/>
        <v>132547.5</v>
      </c>
      <c r="D9" s="78">
        <f t="shared" si="1"/>
        <v>145125</v>
      </c>
      <c r="E9" s="79">
        <f t="shared" si="2"/>
        <v>170280</v>
      </c>
      <c r="F9" s="80">
        <f t="shared" si="3"/>
        <v>195435</v>
      </c>
      <c r="G9" s="80">
        <f t="shared" si="4"/>
        <v>220590</v>
      </c>
      <c r="H9" s="81">
        <f t="shared" si="5"/>
        <v>245745</v>
      </c>
      <c r="I9" s="82">
        <f t="shared" si="6"/>
        <v>270900</v>
      </c>
      <c r="J9" s="83">
        <v>170783.09999999998</v>
      </c>
    </row>
    <row r="10" spans="1:10" ht="25.5" x14ac:dyDescent="0.2">
      <c r="A10" s="84" t="s">
        <v>49</v>
      </c>
      <c r="B10" s="76">
        <v>54</v>
      </c>
      <c r="C10" s="77">
        <f t="shared" si="0"/>
        <v>166455</v>
      </c>
      <c r="D10" s="78">
        <f t="shared" si="1"/>
        <v>182250</v>
      </c>
      <c r="E10" s="79">
        <f t="shared" si="2"/>
        <v>213840</v>
      </c>
      <c r="F10" s="80">
        <f t="shared" si="3"/>
        <v>245430</v>
      </c>
      <c r="G10" s="80">
        <f t="shared" si="4"/>
        <v>277020</v>
      </c>
      <c r="H10" s="81">
        <f t="shared" si="5"/>
        <v>308610</v>
      </c>
      <c r="I10" s="82">
        <f t="shared" si="6"/>
        <v>340200</v>
      </c>
      <c r="J10" s="83">
        <v>218566.79999999987</v>
      </c>
    </row>
    <row r="11" spans="1:10" ht="25.5" x14ac:dyDescent="0.2">
      <c r="A11" s="84" t="s">
        <v>50</v>
      </c>
      <c r="B11" s="76">
        <v>60</v>
      </c>
      <c r="C11" s="77">
        <f t="shared" si="0"/>
        <v>184950</v>
      </c>
      <c r="D11" s="78">
        <f t="shared" si="1"/>
        <v>202500</v>
      </c>
      <c r="E11" s="79">
        <f t="shared" si="2"/>
        <v>237600</v>
      </c>
      <c r="F11" s="80">
        <f t="shared" si="3"/>
        <v>272700</v>
      </c>
      <c r="G11" s="80">
        <f t="shared" si="4"/>
        <v>307800</v>
      </c>
      <c r="H11" s="81">
        <f t="shared" si="5"/>
        <v>342900</v>
      </c>
      <c r="I11" s="82">
        <f t="shared" si="6"/>
        <v>378000</v>
      </c>
      <c r="J11" s="83">
        <v>240875.99999999977</v>
      </c>
    </row>
    <row r="12" spans="1:10" ht="26.25" thickBot="1" x14ac:dyDescent="0.25">
      <c r="A12" s="85" t="s">
        <v>51</v>
      </c>
      <c r="B12" s="86">
        <v>54</v>
      </c>
      <c r="C12" s="77">
        <f t="shared" si="0"/>
        <v>166455</v>
      </c>
      <c r="D12" s="78">
        <f t="shared" si="1"/>
        <v>182250</v>
      </c>
      <c r="E12" s="79">
        <f t="shared" si="2"/>
        <v>213840</v>
      </c>
      <c r="F12" s="80">
        <f t="shared" si="3"/>
        <v>245430</v>
      </c>
      <c r="G12" s="80">
        <f t="shared" si="4"/>
        <v>277020</v>
      </c>
      <c r="H12" s="81">
        <f t="shared" si="5"/>
        <v>308610</v>
      </c>
      <c r="I12" s="82">
        <f t="shared" si="6"/>
        <v>340200</v>
      </c>
      <c r="J12" s="87">
        <v>212909.8499999998</v>
      </c>
    </row>
    <row r="18" spans="1:10" ht="15" x14ac:dyDescent="0.2">
      <c r="C18" s="88" t="s">
        <v>52</v>
      </c>
    </row>
    <row r="19" spans="1:10" ht="15" x14ac:dyDescent="0.2">
      <c r="C19" s="88" t="s">
        <v>53</v>
      </c>
    </row>
    <row r="20" spans="1:10" x14ac:dyDescent="0.2">
      <c r="C20" s="89" t="s">
        <v>54</v>
      </c>
    </row>
    <row r="21" spans="1:10" ht="15" x14ac:dyDescent="0.2">
      <c r="C21" s="90" t="s">
        <v>55</v>
      </c>
    </row>
    <row r="22" spans="1:10" x14ac:dyDescent="0.2">
      <c r="A22" s="91" t="s">
        <v>29</v>
      </c>
    </row>
    <row r="23" spans="1:10" ht="54" customHeight="1" x14ac:dyDescent="0.2">
      <c r="A23" s="122" t="s">
        <v>56</v>
      </c>
      <c r="B23" s="122"/>
      <c r="C23" s="122"/>
      <c r="D23" s="122"/>
      <c r="E23" s="122"/>
      <c r="F23" s="122"/>
      <c r="G23" s="122"/>
      <c r="H23" s="122"/>
      <c r="I23" s="122"/>
      <c r="J23" s="122"/>
    </row>
    <row r="24" spans="1:10" x14ac:dyDescent="0.2">
      <c r="A24" s="110" t="s">
        <v>31</v>
      </c>
      <c r="B24" s="110"/>
      <c r="C24" s="110"/>
      <c r="D24" s="110"/>
      <c r="E24" s="110"/>
      <c r="F24" s="110"/>
      <c r="G24" s="110"/>
      <c r="H24" s="110"/>
      <c r="I24" s="110"/>
      <c r="J24" s="110"/>
    </row>
    <row r="25" spans="1:10" x14ac:dyDescent="0.2">
      <c r="A25" s="110" t="s">
        <v>32</v>
      </c>
      <c r="B25" s="110"/>
      <c r="C25" s="110"/>
      <c r="D25" s="110"/>
      <c r="E25" s="110"/>
      <c r="F25" s="110"/>
      <c r="G25" s="110"/>
      <c r="H25" s="110"/>
      <c r="I25" s="110"/>
      <c r="J25" s="110"/>
    </row>
    <row r="26" spans="1:10" x14ac:dyDescent="0.2">
      <c r="A26" s="111" t="s">
        <v>33</v>
      </c>
      <c r="B26" s="111"/>
      <c r="C26" s="111"/>
      <c r="D26" s="111"/>
      <c r="E26" s="111"/>
      <c r="F26" s="111"/>
      <c r="G26" s="111"/>
      <c r="H26" s="111"/>
      <c r="I26" s="111"/>
      <c r="J26" s="111"/>
    </row>
    <row r="27" spans="1:10" x14ac:dyDescent="0.2">
      <c r="A27" s="111" t="s">
        <v>34</v>
      </c>
      <c r="B27" s="111"/>
      <c r="C27" s="111"/>
      <c r="D27" s="111"/>
      <c r="E27" s="111"/>
      <c r="F27" s="111"/>
      <c r="G27" s="111"/>
      <c r="H27" s="111"/>
      <c r="I27" s="111"/>
      <c r="J27" s="111"/>
    </row>
    <row r="28" spans="1:10" ht="24.75" customHeight="1" x14ac:dyDescent="0.2">
      <c r="A28" s="111" t="s">
        <v>35</v>
      </c>
      <c r="B28" s="111"/>
      <c r="C28" s="111"/>
      <c r="D28" s="111"/>
      <c r="E28" s="111"/>
      <c r="F28" s="111"/>
      <c r="G28" s="111"/>
      <c r="H28" s="111"/>
      <c r="I28" s="111"/>
      <c r="J28" s="111"/>
    </row>
  </sheetData>
  <mergeCells count="11">
    <mergeCell ref="A23:J23"/>
    <mergeCell ref="A1:B1"/>
    <mergeCell ref="D3:J3"/>
    <mergeCell ref="A4:A5"/>
    <mergeCell ref="B4:B5"/>
    <mergeCell ref="J4:J5"/>
    <mergeCell ref="A24:J24"/>
    <mergeCell ref="A25:J25"/>
    <mergeCell ref="A26:J26"/>
    <mergeCell ref="A27:J27"/>
    <mergeCell ref="A28:J28"/>
  </mergeCells>
  <hyperlinks>
    <hyperlink ref="C21" r:id="rId1" display="mailto:catalina.arcos@epmrq.gob.ec"/>
  </hyperlinks>
  <pageMargins left="0.70866141732283472" right="0.70866141732283472" top="0.74803149606299213" bottom="0.74803149606299213" header="0.31496062992125984" footer="0.31496062992125984"/>
  <pageSetup paperSize="9"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zoomScaleNormal="85" workbookViewId="0">
      <selection activeCell="A25" sqref="A25"/>
    </sheetView>
  </sheetViews>
  <sheetFormatPr baseColWidth="10" defaultRowHeight="15" x14ac:dyDescent="0.25"/>
  <cols>
    <col min="1" max="1" width="77.42578125" customWidth="1"/>
    <col min="2" max="2" width="4.710937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x14ac:dyDescent="0.25">
      <c r="A1" s="131" t="s">
        <v>3</v>
      </c>
      <c r="B1" s="131"/>
      <c r="C1" s="40">
        <v>0</v>
      </c>
    </row>
    <row r="2" spans="1:10" ht="18.75" thickBot="1" x14ac:dyDescent="0.3">
      <c r="A2" s="41"/>
      <c r="B2" s="41"/>
      <c r="C2" s="42"/>
    </row>
    <row r="3" spans="1:10" ht="32.25" customHeight="1" thickBot="1" x14ac:dyDescent="0.3">
      <c r="A3" s="126" t="s">
        <v>26</v>
      </c>
      <c r="B3" s="126"/>
      <c r="C3" s="127"/>
      <c r="D3" s="93" t="s">
        <v>2</v>
      </c>
      <c r="E3" s="94"/>
      <c r="F3" s="94"/>
      <c r="G3" s="94"/>
      <c r="H3" s="94"/>
      <c r="I3" s="94"/>
      <c r="J3" s="95"/>
    </row>
    <row r="4" spans="1:10" ht="18.75" x14ac:dyDescent="0.25">
      <c r="A4" s="102" t="s">
        <v>0</v>
      </c>
      <c r="B4" s="104" t="s">
        <v>1</v>
      </c>
      <c r="C4" s="37" t="s">
        <v>4</v>
      </c>
      <c r="D4" s="43" t="s">
        <v>6</v>
      </c>
      <c r="E4" s="44" t="s">
        <v>7</v>
      </c>
      <c r="F4" s="44" t="s">
        <v>8</v>
      </c>
      <c r="G4" s="44" t="s">
        <v>9</v>
      </c>
      <c r="H4" s="44" t="s">
        <v>18</v>
      </c>
      <c r="I4" s="45" t="s">
        <v>10</v>
      </c>
      <c r="J4" s="124" t="s">
        <v>19</v>
      </c>
    </row>
    <row r="5" spans="1:10" ht="19.5" thickBot="1" x14ac:dyDescent="0.3">
      <c r="A5" s="103"/>
      <c r="B5" s="105"/>
      <c r="C5" s="38">
        <v>0.45</v>
      </c>
      <c r="D5" s="10">
        <v>225</v>
      </c>
      <c r="E5" s="2">
        <v>270</v>
      </c>
      <c r="F5" s="2">
        <v>315</v>
      </c>
      <c r="G5" s="2">
        <v>360</v>
      </c>
      <c r="H5" s="2">
        <v>405</v>
      </c>
      <c r="I5" s="17">
        <v>450</v>
      </c>
      <c r="J5" s="101"/>
    </row>
    <row r="6" spans="1:10" ht="15.75" x14ac:dyDescent="0.25">
      <c r="A6" s="7" t="s">
        <v>5</v>
      </c>
      <c r="B6" s="46">
        <v>0</v>
      </c>
      <c r="C6" s="14">
        <v>0</v>
      </c>
      <c r="D6" s="11">
        <v>0</v>
      </c>
      <c r="E6" s="5">
        <v>0</v>
      </c>
      <c r="F6" s="6">
        <v>0</v>
      </c>
      <c r="G6" s="6">
        <v>0</v>
      </c>
      <c r="H6" s="27">
        <v>0</v>
      </c>
      <c r="I6" s="18">
        <v>0</v>
      </c>
      <c r="J6" s="22">
        <v>0</v>
      </c>
    </row>
    <row r="7" spans="1:10" ht="15.75" x14ac:dyDescent="0.25">
      <c r="A7" s="7" t="s">
        <v>11</v>
      </c>
      <c r="B7" s="46">
        <v>0</v>
      </c>
      <c r="C7" s="14">
        <v>0</v>
      </c>
      <c r="D7" s="12">
        <v>0</v>
      </c>
      <c r="E7" s="3">
        <v>0</v>
      </c>
      <c r="F7" s="4">
        <v>0</v>
      </c>
      <c r="G7" s="4">
        <v>0</v>
      </c>
      <c r="H7" s="28">
        <v>0</v>
      </c>
      <c r="I7" s="19">
        <v>0</v>
      </c>
      <c r="J7" s="23">
        <v>0</v>
      </c>
    </row>
    <row r="8" spans="1:10" ht="15.75" x14ac:dyDescent="0.25">
      <c r="A8" s="8" t="s">
        <v>15</v>
      </c>
      <c r="B8" s="46">
        <v>0</v>
      </c>
      <c r="C8" s="15">
        <v>0</v>
      </c>
      <c r="D8" s="13">
        <v>0</v>
      </c>
      <c r="E8" s="4">
        <v>0</v>
      </c>
      <c r="F8" s="4">
        <v>0</v>
      </c>
      <c r="G8" s="4">
        <v>0</v>
      </c>
      <c r="H8" s="28">
        <v>0</v>
      </c>
      <c r="I8" s="19">
        <v>0</v>
      </c>
      <c r="J8" s="23">
        <v>0</v>
      </c>
    </row>
    <row r="9" spans="1:10" ht="15.75" x14ac:dyDescent="0.25">
      <c r="A9" s="8" t="s">
        <v>12</v>
      </c>
      <c r="B9" s="46">
        <v>2</v>
      </c>
      <c r="C9" s="15">
        <f>+'[1]BASE CT'!T7</f>
        <v>9347.4</v>
      </c>
      <c r="D9" s="13">
        <f>+'[1]BASE CT'!T14</f>
        <v>10286</v>
      </c>
      <c r="E9" s="13">
        <f>+'[1]BASE CT'!T21</f>
        <v>12163.199999999999</v>
      </c>
      <c r="F9" s="47">
        <f>+'[1]BASE CT'!T28</f>
        <v>14040.399999999998</v>
      </c>
      <c r="G9" s="4">
        <f>+'[1]BASE CT'!T35</f>
        <v>15917.600000000002</v>
      </c>
      <c r="H9" s="28">
        <f>+'[1]BASE CT'!T42</f>
        <v>17794.8</v>
      </c>
      <c r="I9" s="19">
        <f>+'[1]BASE CT'!T49</f>
        <v>19672</v>
      </c>
      <c r="J9" s="48">
        <f>+F9</f>
        <v>14040.399999999998</v>
      </c>
    </row>
    <row r="10" spans="1:10" ht="15.75" x14ac:dyDescent="0.25">
      <c r="A10" s="8" t="s">
        <v>16</v>
      </c>
      <c r="B10" s="46">
        <v>2</v>
      </c>
      <c r="C10" s="15">
        <f>+'[1]BASE CT'!AB7</f>
        <v>9347.4</v>
      </c>
      <c r="D10" s="13">
        <f>+'[1]BASE CT'!AB14</f>
        <v>10286</v>
      </c>
      <c r="E10" s="4">
        <f>+'[1]BASE CT'!AB21</f>
        <v>12163.199999999999</v>
      </c>
      <c r="F10" s="47">
        <f>+'[1]BASE CT'!AB28</f>
        <v>14040.399999999998</v>
      </c>
      <c r="G10" s="4">
        <f>+'[1]BASE CT'!AB35</f>
        <v>15917.600000000002</v>
      </c>
      <c r="H10" s="28">
        <f>+'[1]BASE CT'!AB42</f>
        <v>17794.8</v>
      </c>
      <c r="I10" s="19">
        <f>+'[1]BASE CT'!AB49</f>
        <v>19672</v>
      </c>
      <c r="J10" s="48">
        <f t="shared" ref="J10:J12" si="0">+F10</f>
        <v>14040.399999999998</v>
      </c>
    </row>
    <row r="11" spans="1:10" ht="15.75" x14ac:dyDescent="0.25">
      <c r="A11" s="8" t="s">
        <v>13</v>
      </c>
      <c r="B11" s="46">
        <v>4</v>
      </c>
      <c r="C11" s="15">
        <f>+'[1]BASE CT'!AJ7</f>
        <v>18694.8</v>
      </c>
      <c r="D11" s="13">
        <f>+'[1]BASE CT'!AJ14</f>
        <v>20572</v>
      </c>
      <c r="E11" s="4">
        <f>+'[1]BASE CT'!AJ21</f>
        <v>24326.399999999998</v>
      </c>
      <c r="F11" s="47">
        <f>+'[1]BASE CT'!AJ28</f>
        <v>28080.799999999996</v>
      </c>
      <c r="G11" s="4">
        <f>+'[1]BASE CT'!AJ35</f>
        <v>31835.200000000004</v>
      </c>
      <c r="H11" s="28">
        <f>+'[1]BASE CT'!AJ42</f>
        <v>35589.599999999999</v>
      </c>
      <c r="I11" s="19">
        <f>+'[1]BASE CT'!AJ49</f>
        <v>39344</v>
      </c>
      <c r="J11" s="48">
        <f t="shared" si="0"/>
        <v>28080.799999999996</v>
      </c>
    </row>
    <row r="12" spans="1:10" ht="16.5" thickBot="1" x14ac:dyDescent="0.3">
      <c r="A12" s="9" t="s">
        <v>14</v>
      </c>
      <c r="B12" s="49">
        <v>4</v>
      </c>
      <c r="C12" s="16">
        <f>+'[1]BASE CT'!AR7</f>
        <v>18694.8</v>
      </c>
      <c r="D12" s="36">
        <f>+'[1]BASE CT'!AR14</f>
        <v>20572</v>
      </c>
      <c r="E12" s="20">
        <f>+'[1]BASE CT'!AR21</f>
        <v>24326.399999999998</v>
      </c>
      <c r="F12" s="50">
        <f>+'[1]BASE CT'!AR28</f>
        <v>28080.799999999996</v>
      </c>
      <c r="G12" s="20">
        <f>+'[1]BASE CT'!AR35</f>
        <v>31835.200000000004</v>
      </c>
      <c r="H12" s="29">
        <f>+'[1]BASE CT'!AR42</f>
        <v>35589.599999999999</v>
      </c>
      <c r="I12" s="21">
        <f>+'[1]BASE CT'!AR49</f>
        <v>39344</v>
      </c>
      <c r="J12" s="51">
        <f t="shared" si="0"/>
        <v>28080.799999999996</v>
      </c>
    </row>
    <row r="14" spans="1:10" ht="15.75" thickBot="1" x14ac:dyDescent="0.3"/>
    <row r="15" spans="1:10" ht="26.25" thickBot="1" x14ac:dyDescent="0.3">
      <c r="A15" s="126" t="s">
        <v>27</v>
      </c>
      <c r="B15" s="126"/>
      <c r="C15" s="127"/>
      <c r="D15" s="93" t="s">
        <v>2</v>
      </c>
      <c r="E15" s="94"/>
      <c r="F15" s="94"/>
      <c r="G15" s="94"/>
      <c r="H15" s="94"/>
      <c r="I15" s="94"/>
      <c r="J15" s="95"/>
    </row>
    <row r="16" spans="1:10" ht="18.75" x14ac:dyDescent="0.25">
      <c r="A16" s="102" t="s">
        <v>0</v>
      </c>
      <c r="B16" s="104" t="s">
        <v>1</v>
      </c>
      <c r="C16" s="37" t="s">
        <v>4</v>
      </c>
      <c r="D16" s="43" t="s">
        <v>6</v>
      </c>
      <c r="E16" s="44" t="s">
        <v>7</v>
      </c>
      <c r="F16" s="44" t="s">
        <v>8</v>
      </c>
      <c r="G16" s="44" t="s">
        <v>9</v>
      </c>
      <c r="H16" s="44" t="s">
        <v>18</v>
      </c>
      <c r="I16" s="45" t="s">
        <v>10</v>
      </c>
      <c r="J16" s="124" t="s">
        <v>19</v>
      </c>
    </row>
    <row r="17" spans="1:10" ht="19.5" thickBot="1" x14ac:dyDescent="0.3">
      <c r="A17" s="103"/>
      <c r="B17" s="105"/>
      <c r="C17" s="38">
        <v>0.45</v>
      </c>
      <c r="D17" s="10">
        <v>225</v>
      </c>
      <c r="E17" s="2">
        <v>270</v>
      </c>
      <c r="F17" s="2">
        <v>315</v>
      </c>
      <c r="G17" s="2">
        <v>360</v>
      </c>
      <c r="H17" s="2">
        <v>405</v>
      </c>
      <c r="I17" s="17">
        <v>450</v>
      </c>
      <c r="J17" s="101"/>
    </row>
    <row r="18" spans="1:10" ht="15.75" x14ac:dyDescent="0.25">
      <c r="A18" s="7" t="s">
        <v>5</v>
      </c>
      <c r="B18" s="46">
        <v>0</v>
      </c>
      <c r="C18" s="14">
        <v>0</v>
      </c>
      <c r="D18" s="11">
        <v>0</v>
      </c>
      <c r="E18" s="5">
        <v>0</v>
      </c>
      <c r="F18" s="6">
        <v>0</v>
      </c>
      <c r="G18" s="6">
        <v>0</v>
      </c>
      <c r="H18" s="27">
        <v>0</v>
      </c>
      <c r="I18" s="18">
        <v>0</v>
      </c>
      <c r="J18" s="22">
        <v>0</v>
      </c>
    </row>
    <row r="19" spans="1:10" ht="15.75" x14ac:dyDescent="0.25">
      <c r="A19" s="7" t="s">
        <v>11</v>
      </c>
      <c r="B19" s="46">
        <v>0</v>
      </c>
      <c r="C19" s="14">
        <v>0</v>
      </c>
      <c r="D19" s="12">
        <v>0</v>
      </c>
      <c r="E19" s="3">
        <v>0</v>
      </c>
      <c r="F19" s="4">
        <v>0</v>
      </c>
      <c r="G19" s="4">
        <v>0</v>
      </c>
      <c r="H19" s="28">
        <v>0</v>
      </c>
      <c r="I19" s="19">
        <v>0</v>
      </c>
      <c r="J19" s="23">
        <v>0</v>
      </c>
    </row>
    <row r="20" spans="1:10" ht="15.75" x14ac:dyDescent="0.25">
      <c r="A20" s="8" t="s">
        <v>15</v>
      </c>
      <c r="B20" s="46">
        <v>0</v>
      </c>
      <c r="C20" s="15">
        <v>0</v>
      </c>
      <c r="D20" s="13">
        <v>0</v>
      </c>
      <c r="E20" s="4">
        <v>0</v>
      </c>
      <c r="F20" s="4">
        <v>0</v>
      </c>
      <c r="G20" s="4">
        <v>0</v>
      </c>
      <c r="H20" s="28">
        <v>0</v>
      </c>
      <c r="I20" s="19">
        <v>0</v>
      </c>
      <c r="J20" s="23">
        <v>0</v>
      </c>
    </row>
    <row r="21" spans="1:10" ht="15.75" x14ac:dyDescent="0.25">
      <c r="A21" s="8" t="s">
        <v>12</v>
      </c>
      <c r="B21" s="46">
        <v>14</v>
      </c>
      <c r="C21" s="15">
        <f>+'[1]BASE LOEP'!T17</f>
        <v>129565.34999999999</v>
      </c>
      <c r="D21" s="47">
        <f>+'[1]BASE LOEP'!T34</f>
        <v>143261.5</v>
      </c>
      <c r="E21" s="4">
        <f>+'[1]BASE LOEP'!T51</f>
        <v>170653.80000000005</v>
      </c>
      <c r="F21" s="4">
        <f>+'[1]BASE LOEP'!T68</f>
        <v>198046.10000000003</v>
      </c>
      <c r="G21" s="4">
        <f>+'[1]BASE LOEP'!T85</f>
        <v>225438.39999999997</v>
      </c>
      <c r="H21" s="28">
        <f>+'[1]BASE LOEP'!T102</f>
        <v>252830.69999999995</v>
      </c>
      <c r="I21" s="19">
        <f>+'[1]BASE LOEP'!T119</f>
        <v>280223</v>
      </c>
      <c r="J21" s="48">
        <f>+D21</f>
        <v>143261.5</v>
      </c>
    </row>
    <row r="22" spans="1:10" ht="15.75" x14ac:dyDescent="0.25">
      <c r="A22" s="8" t="s">
        <v>16</v>
      </c>
      <c r="B22" s="46">
        <v>14</v>
      </c>
      <c r="C22" s="15">
        <f>+'[1]BASE LOEP'!AB17</f>
        <v>129565.34999999999</v>
      </c>
      <c r="D22" s="47">
        <f>+'[1]BASE LOEP'!AB34</f>
        <v>143261.5</v>
      </c>
      <c r="E22" s="4">
        <f>+'[1]BASE LOEP'!AB51</f>
        <v>170653.80000000005</v>
      </c>
      <c r="F22" s="4">
        <f>+'[1]BASE LOEP'!AB68</f>
        <v>198046.10000000003</v>
      </c>
      <c r="G22" s="4">
        <f>+'[1]BASE LOEP'!AB85</f>
        <v>225438.39999999997</v>
      </c>
      <c r="H22" s="28">
        <f>+'[1]BASE LOEP'!AB102</f>
        <v>252830.69999999995</v>
      </c>
      <c r="I22" s="19">
        <f>+'[1]BASE LOEP'!AB119</f>
        <v>280223</v>
      </c>
      <c r="J22" s="48">
        <f t="shared" ref="J22:J24" si="1">+D22</f>
        <v>143261.5</v>
      </c>
    </row>
    <row r="23" spans="1:10" ht="15.75" x14ac:dyDescent="0.25">
      <c r="A23" s="8" t="s">
        <v>13</v>
      </c>
      <c r="B23" s="46">
        <v>14</v>
      </c>
      <c r="C23" s="15">
        <f>+'[1]BASE LOEP'!AJ17</f>
        <v>129565.34999999999</v>
      </c>
      <c r="D23" s="47">
        <f>+'[1]BASE LOEP'!AJ34</f>
        <v>143261.5</v>
      </c>
      <c r="E23" s="4">
        <f>+'[1]BASE LOEP'!AJ51</f>
        <v>170653.80000000005</v>
      </c>
      <c r="F23" s="4">
        <f>+'[1]BASE LOEP'!AJ68</f>
        <v>198046.10000000003</v>
      </c>
      <c r="G23" s="4">
        <f>+'[1]BASE LOEP'!AJ85</f>
        <v>225438.39999999997</v>
      </c>
      <c r="H23" s="28">
        <f>+'[1]BASE LOEP'!AJ102</f>
        <v>252830.69999999995</v>
      </c>
      <c r="I23" s="19">
        <f>+'[1]BASE LOEP'!AJ119</f>
        <v>280223</v>
      </c>
      <c r="J23" s="48">
        <f t="shared" si="1"/>
        <v>143261.5</v>
      </c>
    </row>
    <row r="24" spans="1:10" ht="16.5" thickBot="1" x14ac:dyDescent="0.3">
      <c r="A24" s="9" t="s">
        <v>14</v>
      </c>
      <c r="B24" s="49">
        <v>14</v>
      </c>
      <c r="C24" s="16">
        <f>+'[1]BASE LOEP'!AR17</f>
        <v>129565.34999999999</v>
      </c>
      <c r="D24" s="50">
        <f>+'[1]BASE LOEP'!AR34</f>
        <v>143261.5</v>
      </c>
      <c r="E24" s="20">
        <f>+'[1]BASE LOEP'!AR51</f>
        <v>170653.80000000005</v>
      </c>
      <c r="F24" s="20">
        <f>+'[1]BASE LOEP'!AR68</f>
        <v>198046.10000000003</v>
      </c>
      <c r="G24" s="20">
        <f>+'[1]BASE LOEP'!AR85</f>
        <v>225438.39999999997</v>
      </c>
      <c r="H24" s="29">
        <f>+'[1]BASE LOEP'!AR102</f>
        <v>252830.69999999995</v>
      </c>
      <c r="I24" s="21">
        <f>+'[1]BASE LOEP'!AR119</f>
        <v>280223</v>
      </c>
      <c r="J24" s="51">
        <f t="shared" si="1"/>
        <v>143261.5</v>
      </c>
    </row>
    <row r="26" spans="1:10" ht="15.75" thickBot="1" x14ac:dyDescent="0.3"/>
    <row r="27" spans="1:10" ht="26.25" thickBot="1" x14ac:dyDescent="0.3">
      <c r="A27" s="128" t="s">
        <v>28</v>
      </c>
      <c r="B27" s="129"/>
      <c r="C27" s="130"/>
      <c r="D27" s="93" t="s">
        <v>2</v>
      </c>
      <c r="E27" s="94"/>
      <c r="F27" s="94"/>
      <c r="G27" s="94"/>
      <c r="H27" s="94"/>
      <c r="I27" s="94"/>
      <c r="J27" s="95"/>
    </row>
    <row r="28" spans="1:10" ht="18.75" x14ac:dyDescent="0.25">
      <c r="A28" s="102" t="s">
        <v>0</v>
      </c>
      <c r="B28" s="104" t="s">
        <v>1</v>
      </c>
      <c r="C28" s="37" t="s">
        <v>4</v>
      </c>
      <c r="D28" s="43" t="s">
        <v>6</v>
      </c>
      <c r="E28" s="44" t="s">
        <v>7</v>
      </c>
      <c r="F28" s="44" t="s">
        <v>8</v>
      </c>
      <c r="G28" s="44" t="s">
        <v>9</v>
      </c>
      <c r="H28" s="44" t="s">
        <v>18</v>
      </c>
      <c r="I28" s="45" t="s">
        <v>10</v>
      </c>
      <c r="J28" s="124" t="s">
        <v>19</v>
      </c>
    </row>
    <row r="29" spans="1:10" ht="19.5" thickBot="1" x14ac:dyDescent="0.3">
      <c r="A29" s="103"/>
      <c r="B29" s="105"/>
      <c r="C29" s="38">
        <v>0.45</v>
      </c>
      <c r="D29" s="10">
        <v>225</v>
      </c>
      <c r="E29" s="2">
        <v>270</v>
      </c>
      <c r="F29" s="2">
        <v>315</v>
      </c>
      <c r="G29" s="2">
        <v>360</v>
      </c>
      <c r="H29" s="2">
        <v>405</v>
      </c>
      <c r="I29" s="17">
        <v>450</v>
      </c>
      <c r="J29" s="101"/>
    </row>
    <row r="30" spans="1:10" ht="15.75" x14ac:dyDescent="0.25">
      <c r="A30" s="7" t="s">
        <v>5</v>
      </c>
      <c r="B30" s="46">
        <v>0</v>
      </c>
      <c r="C30" s="14">
        <v>0</v>
      </c>
      <c r="D30" s="11">
        <v>0</v>
      </c>
      <c r="E30" s="5">
        <v>0</v>
      </c>
      <c r="F30" s="6">
        <v>0</v>
      </c>
      <c r="G30" s="6">
        <v>0</v>
      </c>
      <c r="H30" s="27">
        <v>0</v>
      </c>
      <c r="I30" s="18">
        <v>0</v>
      </c>
      <c r="J30" s="22">
        <v>0</v>
      </c>
    </row>
    <row r="31" spans="1:10" ht="15.75" x14ac:dyDescent="0.25">
      <c r="A31" s="7" t="s">
        <v>11</v>
      </c>
      <c r="B31" s="46">
        <v>0</v>
      </c>
      <c r="C31" s="14">
        <v>0</v>
      </c>
      <c r="D31" s="12">
        <v>0</v>
      </c>
      <c r="E31" s="3">
        <v>0</v>
      </c>
      <c r="F31" s="4">
        <v>0</v>
      </c>
      <c r="G31" s="4">
        <v>0</v>
      </c>
      <c r="H31" s="28">
        <v>0</v>
      </c>
      <c r="I31" s="19">
        <v>0</v>
      </c>
      <c r="J31" s="23">
        <v>0</v>
      </c>
    </row>
    <row r="32" spans="1:10" ht="15.75" x14ac:dyDescent="0.25">
      <c r="A32" s="8" t="s">
        <v>15</v>
      </c>
      <c r="B32" s="46">
        <v>0</v>
      </c>
      <c r="C32" s="15">
        <v>0</v>
      </c>
      <c r="D32" s="13">
        <v>0</v>
      </c>
      <c r="E32" s="4">
        <v>0</v>
      </c>
      <c r="F32" s="4">
        <v>0</v>
      </c>
      <c r="G32" s="4">
        <v>0</v>
      </c>
      <c r="H32" s="28">
        <v>0</v>
      </c>
      <c r="I32" s="19">
        <v>0</v>
      </c>
      <c r="J32" s="23">
        <v>0</v>
      </c>
    </row>
    <row r="33" spans="1:10" ht="15.75" x14ac:dyDescent="0.25">
      <c r="A33" s="8" t="s">
        <v>12</v>
      </c>
      <c r="B33" s="46">
        <f>14+2</f>
        <v>16</v>
      </c>
      <c r="C33" s="15">
        <f>+C9+C21</f>
        <v>138912.75</v>
      </c>
      <c r="D33" s="52">
        <f>+D9+D21</f>
        <v>153547.5</v>
      </c>
      <c r="E33" s="4">
        <f>+E9+E21</f>
        <v>182817.00000000006</v>
      </c>
      <c r="F33" s="47">
        <f t="shared" ref="F33:I33" si="2">+F9+F21</f>
        <v>212086.50000000003</v>
      </c>
      <c r="G33" s="4">
        <f t="shared" si="2"/>
        <v>241355.99999999997</v>
      </c>
      <c r="H33" s="4">
        <f t="shared" si="2"/>
        <v>270625.49999999994</v>
      </c>
      <c r="I33" s="4">
        <f t="shared" si="2"/>
        <v>299895</v>
      </c>
      <c r="J33" s="23">
        <f>+J9+J21</f>
        <v>157301.9</v>
      </c>
    </row>
    <row r="34" spans="1:10" ht="15.75" x14ac:dyDescent="0.25">
      <c r="A34" s="8" t="s">
        <v>16</v>
      </c>
      <c r="B34" s="46">
        <f>+B22+B10</f>
        <v>16</v>
      </c>
      <c r="C34" s="15">
        <f t="shared" ref="C34:J36" si="3">+C10+C22</f>
        <v>138912.75</v>
      </c>
      <c r="D34" s="52">
        <f t="shared" si="3"/>
        <v>153547.5</v>
      </c>
      <c r="E34" s="4">
        <f t="shared" si="3"/>
        <v>182817.00000000006</v>
      </c>
      <c r="F34" s="47">
        <f t="shared" si="3"/>
        <v>212086.50000000003</v>
      </c>
      <c r="G34" s="4">
        <f t="shared" si="3"/>
        <v>241355.99999999997</v>
      </c>
      <c r="H34" s="4">
        <f t="shared" si="3"/>
        <v>270625.49999999994</v>
      </c>
      <c r="I34" s="4">
        <f t="shared" si="3"/>
        <v>299895</v>
      </c>
      <c r="J34" s="23">
        <f t="shared" si="3"/>
        <v>157301.9</v>
      </c>
    </row>
    <row r="35" spans="1:10" ht="15.75" x14ac:dyDescent="0.25">
      <c r="A35" s="8" t="s">
        <v>13</v>
      </c>
      <c r="B35" s="46">
        <f>+B23+B11</f>
        <v>18</v>
      </c>
      <c r="C35" s="15">
        <f t="shared" si="3"/>
        <v>148260.15</v>
      </c>
      <c r="D35" s="52">
        <f t="shared" si="3"/>
        <v>163833.5</v>
      </c>
      <c r="E35" s="4">
        <f t="shared" si="3"/>
        <v>194980.20000000004</v>
      </c>
      <c r="F35" s="47">
        <f t="shared" si="3"/>
        <v>226126.90000000002</v>
      </c>
      <c r="G35" s="4">
        <f t="shared" si="3"/>
        <v>257273.59999999998</v>
      </c>
      <c r="H35" s="4">
        <f t="shared" si="3"/>
        <v>288420.29999999993</v>
      </c>
      <c r="I35" s="4">
        <f t="shared" si="3"/>
        <v>319567</v>
      </c>
      <c r="J35" s="23">
        <f t="shared" si="3"/>
        <v>171342.3</v>
      </c>
    </row>
    <row r="36" spans="1:10" ht="16.5" thickBot="1" x14ac:dyDescent="0.3">
      <c r="A36" s="9" t="s">
        <v>14</v>
      </c>
      <c r="B36" s="49">
        <f>+B24+B12</f>
        <v>18</v>
      </c>
      <c r="C36" s="16">
        <f t="shared" si="3"/>
        <v>148260.15</v>
      </c>
      <c r="D36" s="53">
        <f t="shared" si="3"/>
        <v>163833.5</v>
      </c>
      <c r="E36" s="20">
        <f t="shared" si="3"/>
        <v>194980.20000000004</v>
      </c>
      <c r="F36" s="50">
        <f t="shared" si="3"/>
        <v>226126.90000000002</v>
      </c>
      <c r="G36" s="20">
        <f t="shared" si="3"/>
        <v>257273.59999999998</v>
      </c>
      <c r="H36" s="20">
        <f t="shared" si="3"/>
        <v>288420.29999999993</v>
      </c>
      <c r="I36" s="20">
        <f t="shared" si="3"/>
        <v>319567</v>
      </c>
      <c r="J36" s="23">
        <f t="shared" si="3"/>
        <v>171342.3</v>
      </c>
    </row>
    <row r="39" spans="1:10" ht="18" x14ac:dyDescent="0.25">
      <c r="A39" s="54" t="s">
        <v>29</v>
      </c>
      <c r="B39" s="1"/>
      <c r="C39" s="1"/>
      <c r="D39" s="1"/>
      <c r="E39" s="1"/>
    </row>
    <row r="40" spans="1:10" ht="68.25" customHeight="1" x14ac:dyDescent="0.25">
      <c r="A40" s="125" t="s">
        <v>30</v>
      </c>
      <c r="B40" s="125"/>
      <c r="C40" s="125"/>
      <c r="D40" s="125"/>
      <c r="E40" s="125"/>
      <c r="F40" s="125"/>
      <c r="G40" s="125"/>
      <c r="H40" s="125"/>
      <c r="I40" s="125"/>
      <c r="J40" s="125"/>
    </row>
    <row r="41" spans="1:10" ht="18" x14ac:dyDescent="0.25">
      <c r="A41" s="106" t="s">
        <v>31</v>
      </c>
      <c r="B41" s="106"/>
      <c r="C41" s="106"/>
      <c r="D41" s="106"/>
      <c r="E41" s="106"/>
      <c r="F41" s="106"/>
      <c r="G41" s="106"/>
      <c r="H41" s="106"/>
      <c r="I41" s="106"/>
      <c r="J41" s="106"/>
    </row>
    <row r="42" spans="1:10" ht="18" x14ac:dyDescent="0.25">
      <c r="A42" s="106" t="s">
        <v>32</v>
      </c>
      <c r="B42" s="106"/>
      <c r="C42" s="106"/>
      <c r="D42" s="106"/>
      <c r="E42" s="106"/>
      <c r="F42" s="106"/>
      <c r="G42" s="106"/>
      <c r="H42" s="106"/>
      <c r="I42" s="106"/>
      <c r="J42" s="106"/>
    </row>
    <row r="43" spans="1:10" ht="35.25" customHeight="1" x14ac:dyDescent="0.25">
      <c r="A43" s="123" t="s">
        <v>33</v>
      </c>
      <c r="B43" s="123"/>
      <c r="C43" s="123"/>
      <c r="D43" s="123"/>
      <c r="E43" s="123"/>
      <c r="F43" s="123"/>
      <c r="G43" s="123"/>
      <c r="H43" s="123"/>
      <c r="I43" s="123"/>
      <c r="J43" s="123"/>
    </row>
    <row r="44" spans="1:10" ht="18" x14ac:dyDescent="0.25">
      <c r="A44" s="106" t="s">
        <v>34</v>
      </c>
      <c r="B44" s="106"/>
      <c r="C44" s="106"/>
      <c r="D44" s="106"/>
      <c r="E44" s="106"/>
      <c r="F44" s="106"/>
      <c r="G44" s="106"/>
      <c r="H44" s="106"/>
      <c r="I44" s="106"/>
      <c r="J44" s="106"/>
    </row>
    <row r="45" spans="1:10" ht="36.75" customHeight="1" x14ac:dyDescent="0.25">
      <c r="A45" s="123" t="s">
        <v>35</v>
      </c>
      <c r="B45" s="123"/>
      <c r="C45" s="123"/>
      <c r="D45" s="123"/>
      <c r="E45" s="123"/>
      <c r="F45" s="123"/>
      <c r="G45" s="123"/>
      <c r="H45" s="123"/>
      <c r="I45" s="123"/>
      <c r="J45" s="123"/>
    </row>
  </sheetData>
  <mergeCells count="22">
    <mergeCell ref="A27:C27"/>
    <mergeCell ref="D27:J27"/>
    <mergeCell ref="A1:B1"/>
    <mergeCell ref="A3:C3"/>
    <mergeCell ref="D3:J3"/>
    <mergeCell ref="A4:A5"/>
    <mergeCell ref="B4:B5"/>
    <mergeCell ref="J4:J5"/>
    <mergeCell ref="A15:C15"/>
    <mergeCell ref="D15:J15"/>
    <mergeCell ref="A16:A17"/>
    <mergeCell ref="B16:B17"/>
    <mergeCell ref="J16:J17"/>
    <mergeCell ref="A43:J43"/>
    <mergeCell ref="A44:J44"/>
    <mergeCell ref="A45:J45"/>
    <mergeCell ref="A28:A29"/>
    <mergeCell ref="B28:B29"/>
    <mergeCell ref="J28:J29"/>
    <mergeCell ref="A40:J40"/>
    <mergeCell ref="A41:J41"/>
    <mergeCell ref="A42:J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80" zoomScaleNormal="80" workbookViewId="0">
      <selection activeCell="A24" sqref="A24"/>
    </sheetView>
  </sheetViews>
  <sheetFormatPr baseColWidth="10" defaultRowHeight="15" x14ac:dyDescent="0.25"/>
  <cols>
    <col min="1" max="1" width="77.42578125" customWidth="1"/>
    <col min="2" max="2" width="5.5703125" bestFit="1" customWidth="1"/>
    <col min="3" max="3" width="17.140625" customWidth="1"/>
    <col min="4" max="7" width="15.42578125" bestFit="1" customWidth="1"/>
    <col min="8" max="8" width="15.42578125" customWidth="1"/>
    <col min="9" max="9" width="18.5703125" bestFit="1" customWidth="1"/>
    <col min="10" max="10" width="18.5703125" customWidth="1"/>
  </cols>
  <sheetData>
    <row r="1" spans="1:10" ht="32.25" customHeight="1" x14ac:dyDescent="0.25">
      <c r="A1" s="92" t="s">
        <v>3</v>
      </c>
      <c r="B1" s="92"/>
      <c r="C1" s="30">
        <v>0</v>
      </c>
    </row>
    <row r="2" spans="1:10" ht="18.75" thickBot="1" x14ac:dyDescent="0.3">
      <c r="A2" s="32"/>
      <c r="B2" s="32"/>
      <c r="C2" s="31"/>
    </row>
    <row r="3" spans="1:10" ht="32.25" customHeight="1" thickBot="1" x14ac:dyDescent="0.3">
      <c r="A3" s="32"/>
      <c r="B3" s="32"/>
      <c r="C3" s="31"/>
      <c r="D3" s="93" t="s">
        <v>2</v>
      </c>
      <c r="E3" s="94"/>
      <c r="F3" s="94"/>
      <c r="G3" s="94"/>
      <c r="H3" s="94"/>
      <c r="I3" s="94"/>
      <c r="J3" s="95"/>
    </row>
    <row r="4" spans="1:10" ht="18.75" x14ac:dyDescent="0.25">
      <c r="A4" s="102" t="s">
        <v>0</v>
      </c>
      <c r="B4" s="104" t="s">
        <v>1</v>
      </c>
      <c r="C4" s="37" t="s">
        <v>4</v>
      </c>
      <c r="D4" s="35" t="s">
        <v>6</v>
      </c>
      <c r="E4" s="25" t="s">
        <v>7</v>
      </c>
      <c r="F4" s="25" t="s">
        <v>8</v>
      </c>
      <c r="G4" s="25" t="s">
        <v>9</v>
      </c>
      <c r="H4" s="25" t="s">
        <v>18</v>
      </c>
      <c r="I4" s="26" t="s">
        <v>10</v>
      </c>
      <c r="J4" s="100" t="s">
        <v>19</v>
      </c>
    </row>
    <row r="5" spans="1:10" ht="19.5" thickBot="1" x14ac:dyDescent="0.3">
      <c r="A5" s="103"/>
      <c r="B5" s="105"/>
      <c r="C5" s="38">
        <v>0.45</v>
      </c>
      <c r="D5" s="10">
        <v>225</v>
      </c>
      <c r="E5" s="2">
        <v>270</v>
      </c>
      <c r="F5" s="2">
        <v>315</v>
      </c>
      <c r="G5" s="2">
        <v>360</v>
      </c>
      <c r="H5" s="2">
        <v>405</v>
      </c>
      <c r="I5" s="17">
        <v>450</v>
      </c>
      <c r="J5" s="101"/>
    </row>
    <row r="6" spans="1:10" ht="15.75" x14ac:dyDescent="0.25">
      <c r="A6" s="7" t="s">
        <v>5</v>
      </c>
      <c r="B6" s="33">
        <v>0</v>
      </c>
      <c r="C6" s="14">
        <v>0</v>
      </c>
      <c r="D6" s="11">
        <v>0</v>
      </c>
      <c r="E6" s="5">
        <v>0</v>
      </c>
      <c r="F6" s="6">
        <v>0</v>
      </c>
      <c r="G6" s="6">
        <v>0</v>
      </c>
      <c r="H6" s="27">
        <v>0</v>
      </c>
      <c r="I6" s="18">
        <v>0</v>
      </c>
      <c r="J6" s="22">
        <v>0</v>
      </c>
    </row>
    <row r="7" spans="1:10" ht="15.75" x14ac:dyDescent="0.25">
      <c r="A7" s="7" t="s">
        <v>11</v>
      </c>
      <c r="B7" s="33">
        <v>0</v>
      </c>
      <c r="C7" s="14">
        <v>0</v>
      </c>
      <c r="D7" s="12">
        <v>0</v>
      </c>
      <c r="E7" s="3">
        <v>0</v>
      </c>
      <c r="F7" s="4">
        <v>0</v>
      </c>
      <c r="G7" s="4">
        <v>0</v>
      </c>
      <c r="H7" s="28">
        <v>0</v>
      </c>
      <c r="I7" s="19">
        <v>0</v>
      </c>
      <c r="J7" s="23">
        <v>0</v>
      </c>
    </row>
    <row r="8" spans="1:10" ht="15.75" x14ac:dyDescent="0.25">
      <c r="A8" s="8" t="s">
        <v>15</v>
      </c>
      <c r="B8" s="33">
        <v>0</v>
      </c>
      <c r="C8" s="15">
        <v>0</v>
      </c>
      <c r="D8" s="13">
        <f>B8*225</f>
        <v>0</v>
      </c>
      <c r="E8" s="4">
        <v>0</v>
      </c>
      <c r="F8" s="4">
        <v>0</v>
      </c>
      <c r="G8" s="4">
        <v>0</v>
      </c>
      <c r="H8" s="28">
        <v>0</v>
      </c>
      <c r="I8" s="19">
        <v>0</v>
      </c>
      <c r="J8" s="23">
        <v>0</v>
      </c>
    </row>
    <row r="9" spans="1:10" ht="15.75" x14ac:dyDescent="0.25">
      <c r="A9" s="8" t="s">
        <v>12</v>
      </c>
      <c r="B9" s="33">
        <v>26</v>
      </c>
      <c r="C9" s="15">
        <f>+B9*202.5*12</f>
        <v>63180</v>
      </c>
      <c r="D9" s="13">
        <f>B9*$D$5*12</f>
        <v>70200</v>
      </c>
      <c r="E9" s="4">
        <f>B9*$E$5*12</f>
        <v>84240</v>
      </c>
      <c r="F9" s="4">
        <f>B9*$F$5*12</f>
        <v>98280</v>
      </c>
      <c r="G9" s="4">
        <f>B9*$G$5*12</f>
        <v>112320</v>
      </c>
      <c r="H9" s="28">
        <f>B9*$H$5*12</f>
        <v>126360</v>
      </c>
      <c r="I9" s="19">
        <f>B9*$I$5*12</f>
        <v>140400</v>
      </c>
      <c r="J9" s="23">
        <v>62526.22354653076</v>
      </c>
    </row>
    <row r="10" spans="1:10" ht="15.75" x14ac:dyDescent="0.25">
      <c r="A10" s="8" t="s">
        <v>16</v>
      </c>
      <c r="B10" s="33">
        <v>28</v>
      </c>
      <c r="C10" s="15">
        <f t="shared" ref="C10:C12" si="0">+B10*202.5*12</f>
        <v>68040</v>
      </c>
      <c r="D10" s="13">
        <f t="shared" ref="D10:D12" si="1">B10*$D$5*12</f>
        <v>75600</v>
      </c>
      <c r="E10" s="4">
        <f t="shared" ref="E10:E11" si="2">B10*$E$5*12</f>
        <v>90720</v>
      </c>
      <c r="F10" s="4">
        <f t="shared" ref="F10:F12" si="3">B10*$F$5*12</f>
        <v>105840</v>
      </c>
      <c r="G10" s="4">
        <f t="shared" ref="G10:G12" si="4">B10*$G$5*12</f>
        <v>120960</v>
      </c>
      <c r="H10" s="28">
        <f t="shared" ref="H10:H12" si="5">B10*$H$5*12</f>
        <v>136080</v>
      </c>
      <c r="I10" s="19">
        <f t="shared" ref="I10:I12" si="6">B10*$I$5*12</f>
        <v>151200</v>
      </c>
      <c r="J10" s="23">
        <f>J9*5%+J9</f>
        <v>65652.534723857301</v>
      </c>
    </row>
    <row r="11" spans="1:10" ht="15.75" x14ac:dyDescent="0.25">
      <c r="A11" s="8" t="s">
        <v>13</v>
      </c>
      <c r="B11" s="33">
        <v>30</v>
      </c>
      <c r="C11" s="15">
        <f t="shared" si="0"/>
        <v>72900</v>
      </c>
      <c r="D11" s="13">
        <f t="shared" si="1"/>
        <v>81000</v>
      </c>
      <c r="E11" s="4">
        <f t="shared" si="2"/>
        <v>97200</v>
      </c>
      <c r="F11" s="4">
        <f t="shared" si="3"/>
        <v>113400</v>
      </c>
      <c r="G11" s="4">
        <f t="shared" si="4"/>
        <v>129600</v>
      </c>
      <c r="H11" s="28">
        <f t="shared" si="5"/>
        <v>145800</v>
      </c>
      <c r="I11" s="19">
        <f t="shared" si="6"/>
        <v>162000</v>
      </c>
      <c r="J11" s="23">
        <f t="shared" ref="J11:J12" si="7">J10*5%+J10</f>
        <v>68935.161460050163</v>
      </c>
    </row>
    <row r="12" spans="1:10" ht="16.5" thickBot="1" x14ac:dyDescent="0.3">
      <c r="A12" s="9" t="s">
        <v>14</v>
      </c>
      <c r="B12" s="34">
        <v>32</v>
      </c>
      <c r="C12" s="15">
        <f t="shared" si="0"/>
        <v>77760</v>
      </c>
      <c r="D12" s="13">
        <f t="shared" si="1"/>
        <v>86400</v>
      </c>
      <c r="E12" s="4">
        <f>B12*$E$5*12</f>
        <v>103680</v>
      </c>
      <c r="F12" s="4">
        <f t="shared" si="3"/>
        <v>120960</v>
      </c>
      <c r="G12" s="4">
        <f t="shared" si="4"/>
        <v>138240</v>
      </c>
      <c r="H12" s="28">
        <f t="shared" si="5"/>
        <v>155520</v>
      </c>
      <c r="I12" s="19">
        <f t="shared" si="6"/>
        <v>172800</v>
      </c>
      <c r="J12" s="23">
        <f t="shared" si="7"/>
        <v>72381.919533052671</v>
      </c>
    </row>
    <row r="17" spans="1:10" ht="18" x14ac:dyDescent="0.25">
      <c r="A17" s="54" t="s">
        <v>29</v>
      </c>
      <c r="B17" s="1"/>
      <c r="C17" s="1"/>
      <c r="D17" s="1"/>
      <c r="E17" s="1"/>
    </row>
    <row r="18" spans="1:10" ht="68.25" customHeight="1" x14ac:dyDescent="0.25">
      <c r="A18" s="109" t="s">
        <v>30</v>
      </c>
      <c r="B18" s="109"/>
      <c r="C18" s="109"/>
      <c r="D18" s="109"/>
      <c r="E18" s="109"/>
      <c r="F18" s="109"/>
      <c r="G18" s="109"/>
      <c r="H18" s="109"/>
      <c r="I18" s="109"/>
      <c r="J18" s="109"/>
    </row>
    <row r="19" spans="1:10" ht="18" x14ac:dyDescent="0.25">
      <c r="A19" s="106" t="s">
        <v>31</v>
      </c>
      <c r="B19" s="106"/>
      <c r="C19" s="106"/>
      <c r="D19" s="106"/>
      <c r="E19" s="106"/>
      <c r="F19" s="106"/>
      <c r="G19" s="106"/>
      <c r="H19" s="106"/>
      <c r="I19" s="106"/>
      <c r="J19" s="106"/>
    </row>
    <row r="20" spans="1:10" ht="18" x14ac:dyDescent="0.25">
      <c r="A20" s="106" t="s">
        <v>32</v>
      </c>
      <c r="B20" s="106"/>
      <c r="C20" s="106"/>
      <c r="D20" s="106"/>
      <c r="E20" s="106"/>
      <c r="F20" s="106"/>
      <c r="G20" s="106"/>
      <c r="H20" s="106"/>
      <c r="I20" s="106"/>
      <c r="J20" s="106"/>
    </row>
    <row r="21" spans="1:10" ht="35.25" customHeight="1" x14ac:dyDescent="0.25">
      <c r="A21" s="107" t="s">
        <v>33</v>
      </c>
      <c r="B21" s="107"/>
      <c r="C21" s="107"/>
      <c r="D21" s="107"/>
      <c r="E21" s="107"/>
      <c r="F21" s="107"/>
      <c r="G21" s="107"/>
      <c r="H21" s="107"/>
      <c r="I21" s="107"/>
      <c r="J21" s="107"/>
    </row>
    <row r="22" spans="1:10" ht="18" x14ac:dyDescent="0.25">
      <c r="A22" s="108" t="s">
        <v>34</v>
      </c>
      <c r="B22" s="108"/>
      <c r="C22" s="108"/>
      <c r="D22" s="108"/>
      <c r="E22" s="108"/>
      <c r="F22" s="108"/>
      <c r="G22" s="108"/>
      <c r="H22" s="108"/>
      <c r="I22" s="108"/>
      <c r="J22" s="108"/>
    </row>
    <row r="23" spans="1:10" ht="36.75" customHeight="1" x14ac:dyDescent="0.25">
      <c r="A23" s="107" t="s">
        <v>35</v>
      </c>
      <c r="B23" s="107"/>
      <c r="C23" s="107"/>
      <c r="D23" s="107"/>
      <c r="E23" s="107"/>
      <c r="F23" s="107"/>
      <c r="G23" s="107"/>
      <c r="H23" s="107"/>
      <c r="I23" s="107"/>
      <c r="J23" s="107"/>
    </row>
  </sheetData>
  <mergeCells count="11">
    <mergeCell ref="A18:J18"/>
    <mergeCell ref="A1:B1"/>
    <mergeCell ref="D3:J3"/>
    <mergeCell ref="A4:A5"/>
    <mergeCell ref="B4:B5"/>
    <mergeCell ref="J4:J5"/>
    <mergeCell ref="A19:J19"/>
    <mergeCell ref="A20:J20"/>
    <mergeCell ref="A21:J21"/>
    <mergeCell ref="A22:J22"/>
    <mergeCell ref="A23:J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80" zoomScaleNormal="80" zoomScaleSheetLayoutView="80" workbookViewId="0">
      <selection activeCell="F16" sqref="F16"/>
    </sheetView>
  </sheetViews>
  <sheetFormatPr baseColWidth="10" defaultRowHeight="15" x14ac:dyDescent="0.25"/>
  <cols>
    <col min="1" max="1" width="77.42578125" customWidth="1"/>
    <col min="2" max="2" width="5.570312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x14ac:dyDescent="0.25">
      <c r="A1" s="131" t="s">
        <v>3</v>
      </c>
      <c r="B1" s="131"/>
      <c r="C1" s="40">
        <v>0</v>
      </c>
    </row>
    <row r="2" spans="1:10" ht="18.75" thickBot="1" x14ac:dyDescent="0.3">
      <c r="A2" s="41"/>
      <c r="B2" s="41"/>
      <c r="C2" s="42"/>
    </row>
    <row r="3" spans="1:10" ht="32.25" customHeight="1" thickBot="1" x14ac:dyDescent="0.3">
      <c r="A3" s="41"/>
      <c r="B3" s="41"/>
      <c r="C3" s="42"/>
      <c r="D3" s="93" t="s">
        <v>2</v>
      </c>
      <c r="E3" s="94"/>
      <c r="F3" s="94"/>
      <c r="G3" s="94"/>
      <c r="H3" s="94"/>
      <c r="I3" s="94"/>
      <c r="J3" s="95"/>
    </row>
    <row r="4" spans="1:10" ht="18.75" x14ac:dyDescent="0.25">
      <c r="A4" s="102" t="s">
        <v>0</v>
      </c>
      <c r="B4" s="104" t="s">
        <v>1</v>
      </c>
      <c r="C4" s="37" t="s">
        <v>4</v>
      </c>
      <c r="D4" s="35" t="s">
        <v>6</v>
      </c>
      <c r="E4" s="25" t="s">
        <v>7</v>
      </c>
      <c r="F4" s="25" t="s">
        <v>8</v>
      </c>
      <c r="G4" s="25" t="s">
        <v>9</v>
      </c>
      <c r="H4" s="25" t="s">
        <v>18</v>
      </c>
      <c r="I4" s="26" t="s">
        <v>10</v>
      </c>
      <c r="J4" s="100" t="s">
        <v>19</v>
      </c>
    </row>
    <row r="5" spans="1:10" ht="19.5" thickBot="1" x14ac:dyDescent="0.3">
      <c r="A5" s="103"/>
      <c r="B5" s="105"/>
      <c r="C5" s="38">
        <v>0.45</v>
      </c>
      <c r="D5" s="10">
        <v>225</v>
      </c>
      <c r="E5" s="2">
        <v>270</v>
      </c>
      <c r="F5" s="2">
        <v>315</v>
      </c>
      <c r="G5" s="2">
        <v>360</v>
      </c>
      <c r="H5" s="2">
        <v>405</v>
      </c>
      <c r="I5" s="17">
        <v>450</v>
      </c>
      <c r="J5" s="101"/>
    </row>
    <row r="6" spans="1:10" ht="15.75" x14ac:dyDescent="0.25">
      <c r="A6" s="7" t="s">
        <v>5</v>
      </c>
      <c r="B6" s="46">
        <v>35</v>
      </c>
      <c r="C6" s="14">
        <v>107887.5</v>
      </c>
      <c r="D6" s="11">
        <v>118125</v>
      </c>
      <c r="E6" s="5">
        <v>138600</v>
      </c>
      <c r="F6" s="6">
        <v>159075</v>
      </c>
      <c r="G6" s="6">
        <v>179550</v>
      </c>
      <c r="H6" s="27">
        <v>200025</v>
      </c>
      <c r="I6" s="18">
        <v>220500</v>
      </c>
      <c r="J6" s="22">
        <v>0</v>
      </c>
    </row>
    <row r="7" spans="1:10" ht="15.75" x14ac:dyDescent="0.25">
      <c r="A7" s="7" t="s">
        <v>11</v>
      </c>
      <c r="B7" s="46">
        <v>94</v>
      </c>
      <c r="C7" s="14">
        <v>289755</v>
      </c>
      <c r="D7" s="12">
        <v>317250</v>
      </c>
      <c r="E7" s="3">
        <v>372240</v>
      </c>
      <c r="F7" s="4">
        <v>427230</v>
      </c>
      <c r="G7" s="4">
        <v>482220</v>
      </c>
      <c r="H7" s="28">
        <v>537210</v>
      </c>
      <c r="I7" s="19">
        <v>592200</v>
      </c>
      <c r="J7" s="23">
        <v>0</v>
      </c>
    </row>
    <row r="8" spans="1:10" ht="15.75" x14ac:dyDescent="0.25">
      <c r="A8" s="8" t="s">
        <v>15</v>
      </c>
      <c r="B8" s="46">
        <v>263</v>
      </c>
      <c r="C8" s="15">
        <v>810697.5</v>
      </c>
      <c r="D8" s="13">
        <v>887625</v>
      </c>
      <c r="E8" s="4">
        <v>1041480</v>
      </c>
      <c r="F8" s="4">
        <v>1195335</v>
      </c>
      <c r="G8" s="4">
        <v>1349190</v>
      </c>
      <c r="H8" s="28">
        <v>1503045</v>
      </c>
      <c r="I8" s="19">
        <v>1656900</v>
      </c>
      <c r="J8" s="23">
        <v>0</v>
      </c>
    </row>
    <row r="9" spans="1:10" ht="15.75" x14ac:dyDescent="0.25">
      <c r="A9" s="8" t="s">
        <v>12</v>
      </c>
      <c r="B9" s="46">
        <v>418</v>
      </c>
      <c r="C9" s="15">
        <v>1288485</v>
      </c>
      <c r="D9" s="13">
        <v>1410750</v>
      </c>
      <c r="E9" s="4">
        <v>1655280</v>
      </c>
      <c r="F9" s="4">
        <v>1899810</v>
      </c>
      <c r="G9" s="4">
        <v>2144340</v>
      </c>
      <c r="H9" s="28">
        <v>2388870</v>
      </c>
      <c r="I9" s="19">
        <v>2633400</v>
      </c>
      <c r="J9" s="23">
        <v>0</v>
      </c>
    </row>
    <row r="10" spans="1:10" ht="15.75" x14ac:dyDescent="0.25">
      <c r="A10" s="8" t="s">
        <v>16</v>
      </c>
      <c r="B10" s="46">
        <v>977</v>
      </c>
      <c r="C10" s="15">
        <v>3011602.5</v>
      </c>
      <c r="D10" s="13">
        <v>3297375</v>
      </c>
      <c r="E10" s="4">
        <v>3868920</v>
      </c>
      <c r="F10" s="4">
        <v>4440465</v>
      </c>
      <c r="G10" s="4">
        <v>5012010</v>
      </c>
      <c r="H10" s="28">
        <v>5583555</v>
      </c>
      <c r="I10" s="19">
        <v>6155100</v>
      </c>
      <c r="J10" s="23">
        <v>0</v>
      </c>
    </row>
    <row r="11" spans="1:10" ht="15.75" x14ac:dyDescent="0.25">
      <c r="A11" s="8" t="s">
        <v>13</v>
      </c>
      <c r="B11" s="46">
        <v>1344</v>
      </c>
      <c r="C11" s="15">
        <v>4142880</v>
      </c>
      <c r="D11" s="13">
        <v>4536000</v>
      </c>
      <c r="E11" s="4">
        <v>5322240</v>
      </c>
      <c r="F11" s="4">
        <v>6108480</v>
      </c>
      <c r="G11" s="4">
        <v>6894720</v>
      </c>
      <c r="H11" s="28">
        <v>7680960</v>
      </c>
      <c r="I11" s="19">
        <v>8467200</v>
      </c>
      <c r="J11" s="23">
        <v>0</v>
      </c>
    </row>
    <row r="12" spans="1:10" ht="16.5" thickBot="1" x14ac:dyDescent="0.3">
      <c r="A12" s="9" t="s">
        <v>14</v>
      </c>
      <c r="B12" s="49">
        <v>1516</v>
      </c>
      <c r="C12" s="16">
        <v>4673070</v>
      </c>
      <c r="D12" s="36">
        <v>5116500</v>
      </c>
      <c r="E12" s="20">
        <v>6003360</v>
      </c>
      <c r="F12" s="20">
        <v>6890220</v>
      </c>
      <c r="G12" s="20">
        <v>7777080</v>
      </c>
      <c r="H12" s="29">
        <v>8663940</v>
      </c>
      <c r="I12" s="21">
        <v>9550800</v>
      </c>
      <c r="J12" s="24">
        <v>0</v>
      </c>
    </row>
    <row r="17" spans="1:10" ht="18" x14ac:dyDescent="0.25">
      <c r="A17" s="54" t="s">
        <v>29</v>
      </c>
      <c r="B17" s="1"/>
      <c r="C17" s="1"/>
      <c r="D17" s="1"/>
      <c r="E17" s="1"/>
    </row>
    <row r="18" spans="1:10" ht="68.25" customHeight="1" x14ac:dyDescent="0.25">
      <c r="A18" s="125" t="s">
        <v>30</v>
      </c>
      <c r="B18" s="125"/>
      <c r="C18" s="125"/>
      <c r="D18" s="125"/>
      <c r="E18" s="125"/>
      <c r="F18" s="125"/>
      <c r="G18" s="125"/>
      <c r="H18" s="125"/>
      <c r="I18" s="125"/>
      <c r="J18" s="125"/>
    </row>
    <row r="19" spans="1:10" ht="18" x14ac:dyDescent="0.25">
      <c r="A19" s="106" t="s">
        <v>31</v>
      </c>
      <c r="B19" s="106"/>
      <c r="C19" s="106"/>
      <c r="D19" s="106"/>
      <c r="E19" s="106"/>
      <c r="F19" s="106"/>
      <c r="G19" s="106"/>
      <c r="H19" s="106"/>
      <c r="I19" s="106"/>
      <c r="J19" s="106"/>
    </row>
    <row r="20" spans="1:10" ht="18" x14ac:dyDescent="0.25">
      <c r="A20" s="106" t="s">
        <v>32</v>
      </c>
      <c r="B20" s="106"/>
      <c r="C20" s="106"/>
      <c r="D20" s="106"/>
      <c r="E20" s="106"/>
      <c r="F20" s="106"/>
      <c r="G20" s="106"/>
      <c r="H20" s="106"/>
      <c r="I20" s="106"/>
      <c r="J20" s="106"/>
    </row>
    <row r="21" spans="1:10" ht="35.25" customHeight="1" x14ac:dyDescent="0.25">
      <c r="A21" s="123" t="s">
        <v>33</v>
      </c>
      <c r="B21" s="123"/>
      <c r="C21" s="123"/>
      <c r="D21" s="123"/>
      <c r="E21" s="123"/>
      <c r="F21" s="123"/>
      <c r="G21" s="123"/>
      <c r="H21" s="123"/>
      <c r="I21" s="123"/>
      <c r="J21" s="123"/>
    </row>
    <row r="22" spans="1:10" ht="18" x14ac:dyDescent="0.25">
      <c r="A22" s="106" t="s">
        <v>34</v>
      </c>
      <c r="B22" s="106"/>
      <c r="C22" s="106"/>
      <c r="D22" s="106"/>
      <c r="E22" s="106"/>
      <c r="F22" s="106"/>
      <c r="G22" s="106"/>
      <c r="H22" s="106"/>
      <c r="I22" s="106"/>
      <c r="J22" s="106"/>
    </row>
    <row r="23" spans="1:10" ht="36.75" customHeight="1" x14ac:dyDescent="0.25">
      <c r="A23" s="123" t="s">
        <v>35</v>
      </c>
      <c r="B23" s="123"/>
      <c r="C23" s="123"/>
      <c r="D23" s="123"/>
      <c r="E23" s="123"/>
      <c r="F23" s="123"/>
      <c r="G23" s="123"/>
      <c r="H23" s="123"/>
      <c r="I23" s="123"/>
      <c r="J23" s="123"/>
    </row>
    <row r="30" spans="1:10" x14ac:dyDescent="0.25">
      <c r="D30" s="134" t="s">
        <v>57</v>
      </c>
      <c r="E30" s="134"/>
      <c r="G30" s="135" t="s">
        <v>58</v>
      </c>
      <c r="H30" s="135"/>
    </row>
    <row r="32" spans="1:10" ht="36" customHeight="1" x14ac:dyDescent="0.25"/>
    <row r="33" spans="4:10" ht="48.75" customHeight="1" x14ac:dyDescent="0.25"/>
    <row r="34" spans="4:10" ht="42.75" customHeight="1" x14ac:dyDescent="0.25"/>
    <row r="35" spans="4:10" ht="29.25" customHeight="1" x14ac:dyDescent="0.25">
      <c r="D35" s="132" t="s">
        <v>59</v>
      </c>
      <c r="E35" s="133"/>
      <c r="F35" s="133"/>
      <c r="H35" s="132" t="s">
        <v>60</v>
      </c>
      <c r="I35" s="133"/>
      <c r="J35" s="133"/>
    </row>
  </sheetData>
  <mergeCells count="15">
    <mergeCell ref="A18:J18"/>
    <mergeCell ref="A1:B1"/>
    <mergeCell ref="D3:J3"/>
    <mergeCell ref="A4:A5"/>
    <mergeCell ref="B4:B5"/>
    <mergeCell ref="J4:J5"/>
    <mergeCell ref="D35:F35"/>
    <mergeCell ref="H35:J35"/>
    <mergeCell ref="A19:J19"/>
    <mergeCell ref="A20:J20"/>
    <mergeCell ref="A21:J21"/>
    <mergeCell ref="A22:J22"/>
    <mergeCell ref="A23:J23"/>
    <mergeCell ref="D30:E30"/>
    <mergeCell ref="G30:H30"/>
  </mergeCells>
  <pageMargins left="0.70866141732283472" right="0.70866141732283472" top="0.74803149606299213" bottom="0.74803149606299213" header="0.31496062992125984" footer="0.31496062992125984"/>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85" zoomScaleNormal="85" workbookViewId="0">
      <selection activeCell="G15" sqref="G15"/>
    </sheetView>
  </sheetViews>
  <sheetFormatPr baseColWidth="10" defaultRowHeight="12.75" x14ac:dyDescent="0.2"/>
  <cols>
    <col min="1" max="1" width="42" style="138" customWidth="1"/>
    <col min="2" max="2" width="6.5703125" style="138" customWidth="1"/>
    <col min="3" max="3" width="17.140625" style="138" customWidth="1"/>
    <col min="4" max="7" width="15.42578125" style="138" bestFit="1" customWidth="1"/>
    <col min="8" max="8" width="15.42578125" style="138" customWidth="1"/>
    <col min="9" max="9" width="17" style="138" bestFit="1" customWidth="1"/>
    <col min="10" max="10" width="18.5703125" style="138" customWidth="1"/>
    <col min="11" max="256" width="11.42578125" style="138"/>
    <col min="257" max="257" width="42" style="138" customWidth="1"/>
    <col min="258" max="258" width="6.5703125" style="138" customWidth="1"/>
    <col min="259" max="259" width="17.140625" style="138" customWidth="1"/>
    <col min="260" max="263" width="15.42578125" style="138" bestFit="1" customWidth="1"/>
    <col min="264" max="264" width="15.42578125" style="138" customWidth="1"/>
    <col min="265" max="265" width="17" style="138" bestFit="1" customWidth="1"/>
    <col min="266" max="266" width="18.5703125" style="138" customWidth="1"/>
    <col min="267" max="512" width="11.42578125" style="138"/>
    <col min="513" max="513" width="42" style="138" customWidth="1"/>
    <col min="514" max="514" width="6.5703125" style="138" customWidth="1"/>
    <col min="515" max="515" width="17.140625" style="138" customWidth="1"/>
    <col min="516" max="519" width="15.42578125" style="138" bestFit="1" customWidth="1"/>
    <col min="520" max="520" width="15.42578125" style="138" customWidth="1"/>
    <col min="521" max="521" width="17" style="138" bestFit="1" customWidth="1"/>
    <col min="522" max="522" width="18.5703125" style="138" customWidth="1"/>
    <col min="523" max="768" width="11.42578125" style="138"/>
    <col min="769" max="769" width="42" style="138" customWidth="1"/>
    <col min="770" max="770" width="6.5703125" style="138" customWidth="1"/>
    <col min="771" max="771" width="17.140625" style="138" customWidth="1"/>
    <col min="772" max="775" width="15.42578125" style="138" bestFit="1" customWidth="1"/>
    <col min="776" max="776" width="15.42578125" style="138" customWidth="1"/>
    <col min="777" max="777" width="17" style="138" bestFit="1" customWidth="1"/>
    <col min="778" max="778" width="18.5703125" style="138" customWidth="1"/>
    <col min="779" max="1024" width="11.42578125" style="138"/>
    <col min="1025" max="1025" width="42" style="138" customWidth="1"/>
    <col min="1026" max="1026" width="6.5703125" style="138" customWidth="1"/>
    <col min="1027" max="1027" width="17.140625" style="138" customWidth="1"/>
    <col min="1028" max="1031" width="15.42578125" style="138" bestFit="1" customWidth="1"/>
    <col min="1032" max="1032" width="15.42578125" style="138" customWidth="1"/>
    <col min="1033" max="1033" width="17" style="138" bestFit="1" customWidth="1"/>
    <col min="1034" max="1034" width="18.5703125" style="138" customWidth="1"/>
    <col min="1035" max="1280" width="11.42578125" style="138"/>
    <col min="1281" max="1281" width="42" style="138" customWidth="1"/>
    <col min="1282" max="1282" width="6.5703125" style="138" customWidth="1"/>
    <col min="1283" max="1283" width="17.140625" style="138" customWidth="1"/>
    <col min="1284" max="1287" width="15.42578125" style="138" bestFit="1" customWidth="1"/>
    <col min="1288" max="1288" width="15.42578125" style="138" customWidth="1"/>
    <col min="1289" max="1289" width="17" style="138" bestFit="1" customWidth="1"/>
    <col min="1290" max="1290" width="18.5703125" style="138" customWidth="1"/>
    <col min="1291" max="1536" width="11.42578125" style="138"/>
    <col min="1537" max="1537" width="42" style="138" customWidth="1"/>
    <col min="1538" max="1538" width="6.5703125" style="138" customWidth="1"/>
    <col min="1539" max="1539" width="17.140625" style="138" customWidth="1"/>
    <col min="1540" max="1543" width="15.42578125" style="138" bestFit="1" customWidth="1"/>
    <col min="1544" max="1544" width="15.42578125" style="138" customWidth="1"/>
    <col min="1545" max="1545" width="17" style="138" bestFit="1" customWidth="1"/>
    <col min="1546" max="1546" width="18.5703125" style="138" customWidth="1"/>
    <col min="1547" max="1792" width="11.42578125" style="138"/>
    <col min="1793" max="1793" width="42" style="138" customWidth="1"/>
    <col min="1794" max="1794" width="6.5703125" style="138" customWidth="1"/>
    <col min="1795" max="1795" width="17.140625" style="138" customWidth="1"/>
    <col min="1796" max="1799" width="15.42578125" style="138" bestFit="1" customWidth="1"/>
    <col min="1800" max="1800" width="15.42578125" style="138" customWidth="1"/>
    <col min="1801" max="1801" width="17" style="138" bestFit="1" customWidth="1"/>
    <col min="1802" max="1802" width="18.5703125" style="138" customWidth="1"/>
    <col min="1803" max="2048" width="11.42578125" style="138"/>
    <col min="2049" max="2049" width="42" style="138" customWidth="1"/>
    <col min="2050" max="2050" width="6.5703125" style="138" customWidth="1"/>
    <col min="2051" max="2051" width="17.140625" style="138" customWidth="1"/>
    <col min="2052" max="2055" width="15.42578125" style="138" bestFit="1" customWidth="1"/>
    <col min="2056" max="2056" width="15.42578125" style="138" customWidth="1"/>
    <col min="2057" max="2057" width="17" style="138" bestFit="1" customWidth="1"/>
    <col min="2058" max="2058" width="18.5703125" style="138" customWidth="1"/>
    <col min="2059" max="2304" width="11.42578125" style="138"/>
    <col min="2305" max="2305" width="42" style="138" customWidth="1"/>
    <col min="2306" max="2306" width="6.5703125" style="138" customWidth="1"/>
    <col min="2307" max="2307" width="17.140625" style="138" customWidth="1"/>
    <col min="2308" max="2311" width="15.42578125" style="138" bestFit="1" customWidth="1"/>
    <col min="2312" max="2312" width="15.42578125" style="138" customWidth="1"/>
    <col min="2313" max="2313" width="17" style="138" bestFit="1" customWidth="1"/>
    <col min="2314" max="2314" width="18.5703125" style="138" customWidth="1"/>
    <col min="2315" max="2560" width="11.42578125" style="138"/>
    <col min="2561" max="2561" width="42" style="138" customWidth="1"/>
    <col min="2562" max="2562" width="6.5703125" style="138" customWidth="1"/>
    <col min="2563" max="2563" width="17.140625" style="138" customWidth="1"/>
    <col min="2564" max="2567" width="15.42578125" style="138" bestFit="1" customWidth="1"/>
    <col min="2568" max="2568" width="15.42578125" style="138" customWidth="1"/>
    <col min="2569" max="2569" width="17" style="138" bestFit="1" customWidth="1"/>
    <col min="2570" max="2570" width="18.5703125" style="138" customWidth="1"/>
    <col min="2571" max="2816" width="11.42578125" style="138"/>
    <col min="2817" max="2817" width="42" style="138" customWidth="1"/>
    <col min="2818" max="2818" width="6.5703125" style="138" customWidth="1"/>
    <col min="2819" max="2819" width="17.140625" style="138" customWidth="1"/>
    <col min="2820" max="2823" width="15.42578125" style="138" bestFit="1" customWidth="1"/>
    <col min="2824" max="2824" width="15.42578125" style="138" customWidth="1"/>
    <col min="2825" max="2825" width="17" style="138" bestFit="1" customWidth="1"/>
    <col min="2826" max="2826" width="18.5703125" style="138" customWidth="1"/>
    <col min="2827" max="3072" width="11.42578125" style="138"/>
    <col min="3073" max="3073" width="42" style="138" customWidth="1"/>
    <col min="3074" max="3074" width="6.5703125" style="138" customWidth="1"/>
    <col min="3075" max="3075" width="17.140625" style="138" customWidth="1"/>
    <col min="3076" max="3079" width="15.42578125" style="138" bestFit="1" customWidth="1"/>
    <col min="3080" max="3080" width="15.42578125" style="138" customWidth="1"/>
    <col min="3081" max="3081" width="17" style="138" bestFit="1" customWidth="1"/>
    <col min="3082" max="3082" width="18.5703125" style="138" customWidth="1"/>
    <col min="3083" max="3328" width="11.42578125" style="138"/>
    <col min="3329" max="3329" width="42" style="138" customWidth="1"/>
    <col min="3330" max="3330" width="6.5703125" style="138" customWidth="1"/>
    <col min="3331" max="3331" width="17.140625" style="138" customWidth="1"/>
    <col min="3332" max="3335" width="15.42578125" style="138" bestFit="1" customWidth="1"/>
    <col min="3336" max="3336" width="15.42578125" style="138" customWidth="1"/>
    <col min="3337" max="3337" width="17" style="138" bestFit="1" customWidth="1"/>
    <col min="3338" max="3338" width="18.5703125" style="138" customWidth="1"/>
    <col min="3339" max="3584" width="11.42578125" style="138"/>
    <col min="3585" max="3585" width="42" style="138" customWidth="1"/>
    <col min="3586" max="3586" width="6.5703125" style="138" customWidth="1"/>
    <col min="3587" max="3587" width="17.140625" style="138" customWidth="1"/>
    <col min="3588" max="3591" width="15.42578125" style="138" bestFit="1" customWidth="1"/>
    <col min="3592" max="3592" width="15.42578125" style="138" customWidth="1"/>
    <col min="3593" max="3593" width="17" style="138" bestFit="1" customWidth="1"/>
    <col min="3594" max="3594" width="18.5703125" style="138" customWidth="1"/>
    <col min="3595" max="3840" width="11.42578125" style="138"/>
    <col min="3841" max="3841" width="42" style="138" customWidth="1"/>
    <col min="3842" max="3842" width="6.5703125" style="138" customWidth="1"/>
    <col min="3843" max="3843" width="17.140625" style="138" customWidth="1"/>
    <col min="3844" max="3847" width="15.42578125" style="138" bestFit="1" customWidth="1"/>
    <col min="3848" max="3848" width="15.42578125" style="138" customWidth="1"/>
    <col min="3849" max="3849" width="17" style="138" bestFit="1" customWidth="1"/>
    <col min="3850" max="3850" width="18.5703125" style="138" customWidth="1"/>
    <col min="3851" max="4096" width="11.42578125" style="138"/>
    <col min="4097" max="4097" width="42" style="138" customWidth="1"/>
    <col min="4098" max="4098" width="6.5703125" style="138" customWidth="1"/>
    <col min="4099" max="4099" width="17.140625" style="138" customWidth="1"/>
    <col min="4100" max="4103" width="15.42578125" style="138" bestFit="1" customWidth="1"/>
    <col min="4104" max="4104" width="15.42578125" style="138" customWidth="1"/>
    <col min="4105" max="4105" width="17" style="138" bestFit="1" customWidth="1"/>
    <col min="4106" max="4106" width="18.5703125" style="138" customWidth="1"/>
    <col min="4107" max="4352" width="11.42578125" style="138"/>
    <col min="4353" max="4353" width="42" style="138" customWidth="1"/>
    <col min="4354" max="4354" width="6.5703125" style="138" customWidth="1"/>
    <col min="4355" max="4355" width="17.140625" style="138" customWidth="1"/>
    <col min="4356" max="4359" width="15.42578125" style="138" bestFit="1" customWidth="1"/>
    <col min="4360" max="4360" width="15.42578125" style="138" customWidth="1"/>
    <col min="4361" max="4361" width="17" style="138" bestFit="1" customWidth="1"/>
    <col min="4362" max="4362" width="18.5703125" style="138" customWidth="1"/>
    <col min="4363" max="4608" width="11.42578125" style="138"/>
    <col min="4609" max="4609" width="42" style="138" customWidth="1"/>
    <col min="4610" max="4610" width="6.5703125" style="138" customWidth="1"/>
    <col min="4611" max="4611" width="17.140625" style="138" customWidth="1"/>
    <col min="4612" max="4615" width="15.42578125" style="138" bestFit="1" customWidth="1"/>
    <col min="4616" max="4616" width="15.42578125" style="138" customWidth="1"/>
    <col min="4617" max="4617" width="17" style="138" bestFit="1" customWidth="1"/>
    <col min="4618" max="4618" width="18.5703125" style="138" customWidth="1"/>
    <col min="4619" max="4864" width="11.42578125" style="138"/>
    <col min="4865" max="4865" width="42" style="138" customWidth="1"/>
    <col min="4866" max="4866" width="6.5703125" style="138" customWidth="1"/>
    <col min="4867" max="4867" width="17.140625" style="138" customWidth="1"/>
    <col min="4868" max="4871" width="15.42578125" style="138" bestFit="1" customWidth="1"/>
    <col min="4872" max="4872" width="15.42578125" style="138" customWidth="1"/>
    <col min="4873" max="4873" width="17" style="138" bestFit="1" customWidth="1"/>
    <col min="4874" max="4874" width="18.5703125" style="138" customWidth="1"/>
    <col min="4875" max="5120" width="11.42578125" style="138"/>
    <col min="5121" max="5121" width="42" style="138" customWidth="1"/>
    <col min="5122" max="5122" width="6.5703125" style="138" customWidth="1"/>
    <col min="5123" max="5123" width="17.140625" style="138" customWidth="1"/>
    <col min="5124" max="5127" width="15.42578125" style="138" bestFit="1" customWidth="1"/>
    <col min="5128" max="5128" width="15.42578125" style="138" customWidth="1"/>
    <col min="5129" max="5129" width="17" style="138" bestFit="1" customWidth="1"/>
    <col min="5130" max="5130" width="18.5703125" style="138" customWidth="1"/>
    <col min="5131" max="5376" width="11.42578125" style="138"/>
    <col min="5377" max="5377" width="42" style="138" customWidth="1"/>
    <col min="5378" max="5378" width="6.5703125" style="138" customWidth="1"/>
    <col min="5379" max="5379" width="17.140625" style="138" customWidth="1"/>
    <col min="5380" max="5383" width="15.42578125" style="138" bestFit="1" customWidth="1"/>
    <col min="5384" max="5384" width="15.42578125" style="138" customWidth="1"/>
    <col min="5385" max="5385" width="17" style="138" bestFit="1" customWidth="1"/>
    <col min="5386" max="5386" width="18.5703125" style="138" customWidth="1"/>
    <col min="5387" max="5632" width="11.42578125" style="138"/>
    <col min="5633" max="5633" width="42" style="138" customWidth="1"/>
    <col min="5634" max="5634" width="6.5703125" style="138" customWidth="1"/>
    <col min="5635" max="5635" width="17.140625" style="138" customWidth="1"/>
    <col min="5636" max="5639" width="15.42578125" style="138" bestFit="1" customWidth="1"/>
    <col min="5640" max="5640" width="15.42578125" style="138" customWidth="1"/>
    <col min="5641" max="5641" width="17" style="138" bestFit="1" customWidth="1"/>
    <col min="5642" max="5642" width="18.5703125" style="138" customWidth="1"/>
    <col min="5643" max="5888" width="11.42578125" style="138"/>
    <col min="5889" max="5889" width="42" style="138" customWidth="1"/>
    <col min="5890" max="5890" width="6.5703125" style="138" customWidth="1"/>
    <col min="5891" max="5891" width="17.140625" style="138" customWidth="1"/>
    <col min="5892" max="5895" width="15.42578125" style="138" bestFit="1" customWidth="1"/>
    <col min="5896" max="5896" width="15.42578125" style="138" customWidth="1"/>
    <col min="5897" max="5897" width="17" style="138" bestFit="1" customWidth="1"/>
    <col min="5898" max="5898" width="18.5703125" style="138" customWidth="1"/>
    <col min="5899" max="6144" width="11.42578125" style="138"/>
    <col min="6145" max="6145" width="42" style="138" customWidth="1"/>
    <col min="6146" max="6146" width="6.5703125" style="138" customWidth="1"/>
    <col min="6147" max="6147" width="17.140625" style="138" customWidth="1"/>
    <col min="6148" max="6151" width="15.42578125" style="138" bestFit="1" customWidth="1"/>
    <col min="6152" max="6152" width="15.42578125" style="138" customWidth="1"/>
    <col min="6153" max="6153" width="17" style="138" bestFit="1" customWidth="1"/>
    <col min="6154" max="6154" width="18.5703125" style="138" customWidth="1"/>
    <col min="6155" max="6400" width="11.42578125" style="138"/>
    <col min="6401" max="6401" width="42" style="138" customWidth="1"/>
    <col min="6402" max="6402" width="6.5703125" style="138" customWidth="1"/>
    <col min="6403" max="6403" width="17.140625" style="138" customWidth="1"/>
    <col min="6404" max="6407" width="15.42578125" style="138" bestFit="1" customWidth="1"/>
    <col min="6408" max="6408" width="15.42578125" style="138" customWidth="1"/>
    <col min="6409" max="6409" width="17" style="138" bestFit="1" customWidth="1"/>
    <col min="6410" max="6410" width="18.5703125" style="138" customWidth="1"/>
    <col min="6411" max="6656" width="11.42578125" style="138"/>
    <col min="6657" max="6657" width="42" style="138" customWidth="1"/>
    <col min="6658" max="6658" width="6.5703125" style="138" customWidth="1"/>
    <col min="6659" max="6659" width="17.140625" style="138" customWidth="1"/>
    <col min="6660" max="6663" width="15.42578125" style="138" bestFit="1" customWidth="1"/>
    <col min="6664" max="6664" width="15.42578125" style="138" customWidth="1"/>
    <col min="6665" max="6665" width="17" style="138" bestFit="1" customWidth="1"/>
    <col min="6666" max="6666" width="18.5703125" style="138" customWidth="1"/>
    <col min="6667" max="6912" width="11.42578125" style="138"/>
    <col min="6913" max="6913" width="42" style="138" customWidth="1"/>
    <col min="6914" max="6914" width="6.5703125" style="138" customWidth="1"/>
    <col min="6915" max="6915" width="17.140625" style="138" customWidth="1"/>
    <col min="6916" max="6919" width="15.42578125" style="138" bestFit="1" customWidth="1"/>
    <col min="6920" max="6920" width="15.42578125" style="138" customWidth="1"/>
    <col min="6921" max="6921" width="17" style="138" bestFit="1" customWidth="1"/>
    <col min="6922" max="6922" width="18.5703125" style="138" customWidth="1"/>
    <col min="6923" max="7168" width="11.42578125" style="138"/>
    <col min="7169" max="7169" width="42" style="138" customWidth="1"/>
    <col min="7170" max="7170" width="6.5703125" style="138" customWidth="1"/>
    <col min="7171" max="7171" width="17.140625" style="138" customWidth="1"/>
    <col min="7172" max="7175" width="15.42578125" style="138" bestFit="1" customWidth="1"/>
    <col min="7176" max="7176" width="15.42578125" style="138" customWidth="1"/>
    <col min="7177" max="7177" width="17" style="138" bestFit="1" customWidth="1"/>
    <col min="7178" max="7178" width="18.5703125" style="138" customWidth="1"/>
    <col min="7179" max="7424" width="11.42578125" style="138"/>
    <col min="7425" max="7425" width="42" style="138" customWidth="1"/>
    <col min="7426" max="7426" width="6.5703125" style="138" customWidth="1"/>
    <col min="7427" max="7427" width="17.140625" style="138" customWidth="1"/>
    <col min="7428" max="7431" width="15.42578125" style="138" bestFit="1" customWidth="1"/>
    <col min="7432" max="7432" width="15.42578125" style="138" customWidth="1"/>
    <col min="7433" max="7433" width="17" style="138" bestFit="1" customWidth="1"/>
    <col min="7434" max="7434" width="18.5703125" style="138" customWidth="1"/>
    <col min="7435" max="7680" width="11.42578125" style="138"/>
    <col min="7681" max="7681" width="42" style="138" customWidth="1"/>
    <col min="7682" max="7682" width="6.5703125" style="138" customWidth="1"/>
    <col min="7683" max="7683" width="17.140625" style="138" customWidth="1"/>
    <col min="7684" max="7687" width="15.42578125" style="138" bestFit="1" customWidth="1"/>
    <col min="7688" max="7688" width="15.42578125" style="138" customWidth="1"/>
    <col min="7689" max="7689" width="17" style="138" bestFit="1" customWidth="1"/>
    <col min="7690" max="7690" width="18.5703125" style="138" customWidth="1"/>
    <col min="7691" max="7936" width="11.42578125" style="138"/>
    <col min="7937" max="7937" width="42" style="138" customWidth="1"/>
    <col min="7938" max="7938" width="6.5703125" style="138" customWidth="1"/>
    <col min="7939" max="7939" width="17.140625" style="138" customWidth="1"/>
    <col min="7940" max="7943" width="15.42578125" style="138" bestFit="1" customWidth="1"/>
    <col min="7944" max="7944" width="15.42578125" style="138" customWidth="1"/>
    <col min="7945" max="7945" width="17" style="138" bestFit="1" customWidth="1"/>
    <col min="7946" max="7946" width="18.5703125" style="138" customWidth="1"/>
    <col min="7947" max="8192" width="11.42578125" style="138"/>
    <col min="8193" max="8193" width="42" style="138" customWidth="1"/>
    <col min="8194" max="8194" width="6.5703125" style="138" customWidth="1"/>
    <col min="8195" max="8195" width="17.140625" style="138" customWidth="1"/>
    <col min="8196" max="8199" width="15.42578125" style="138" bestFit="1" customWidth="1"/>
    <col min="8200" max="8200" width="15.42578125" style="138" customWidth="1"/>
    <col min="8201" max="8201" width="17" style="138" bestFit="1" customWidth="1"/>
    <col min="8202" max="8202" width="18.5703125" style="138" customWidth="1"/>
    <col min="8203" max="8448" width="11.42578125" style="138"/>
    <col min="8449" max="8449" width="42" style="138" customWidth="1"/>
    <col min="8450" max="8450" width="6.5703125" style="138" customWidth="1"/>
    <col min="8451" max="8451" width="17.140625" style="138" customWidth="1"/>
    <col min="8452" max="8455" width="15.42578125" style="138" bestFit="1" customWidth="1"/>
    <col min="8456" max="8456" width="15.42578125" style="138" customWidth="1"/>
    <col min="8457" max="8457" width="17" style="138" bestFit="1" customWidth="1"/>
    <col min="8458" max="8458" width="18.5703125" style="138" customWidth="1"/>
    <col min="8459" max="8704" width="11.42578125" style="138"/>
    <col min="8705" max="8705" width="42" style="138" customWidth="1"/>
    <col min="8706" max="8706" width="6.5703125" style="138" customWidth="1"/>
    <col min="8707" max="8707" width="17.140625" style="138" customWidth="1"/>
    <col min="8708" max="8711" width="15.42578125" style="138" bestFit="1" customWidth="1"/>
    <col min="8712" max="8712" width="15.42578125" style="138" customWidth="1"/>
    <col min="8713" max="8713" width="17" style="138" bestFit="1" customWidth="1"/>
    <col min="8714" max="8714" width="18.5703125" style="138" customWidth="1"/>
    <col min="8715" max="8960" width="11.42578125" style="138"/>
    <col min="8961" max="8961" width="42" style="138" customWidth="1"/>
    <col min="8962" max="8962" width="6.5703125" style="138" customWidth="1"/>
    <col min="8963" max="8963" width="17.140625" style="138" customWidth="1"/>
    <col min="8964" max="8967" width="15.42578125" style="138" bestFit="1" customWidth="1"/>
    <col min="8968" max="8968" width="15.42578125" style="138" customWidth="1"/>
    <col min="8969" max="8969" width="17" style="138" bestFit="1" customWidth="1"/>
    <col min="8970" max="8970" width="18.5703125" style="138" customWidth="1"/>
    <col min="8971" max="9216" width="11.42578125" style="138"/>
    <col min="9217" max="9217" width="42" style="138" customWidth="1"/>
    <col min="9218" max="9218" width="6.5703125" style="138" customWidth="1"/>
    <col min="9219" max="9219" width="17.140625" style="138" customWidth="1"/>
    <col min="9220" max="9223" width="15.42578125" style="138" bestFit="1" customWidth="1"/>
    <col min="9224" max="9224" width="15.42578125" style="138" customWidth="1"/>
    <col min="9225" max="9225" width="17" style="138" bestFit="1" customWidth="1"/>
    <col min="9226" max="9226" width="18.5703125" style="138" customWidth="1"/>
    <col min="9227" max="9472" width="11.42578125" style="138"/>
    <col min="9473" max="9473" width="42" style="138" customWidth="1"/>
    <col min="9474" max="9474" width="6.5703125" style="138" customWidth="1"/>
    <col min="9475" max="9475" width="17.140625" style="138" customWidth="1"/>
    <col min="9476" max="9479" width="15.42578125" style="138" bestFit="1" customWidth="1"/>
    <col min="9480" max="9480" width="15.42578125" style="138" customWidth="1"/>
    <col min="9481" max="9481" width="17" style="138" bestFit="1" customWidth="1"/>
    <col min="9482" max="9482" width="18.5703125" style="138" customWidth="1"/>
    <col min="9483" max="9728" width="11.42578125" style="138"/>
    <col min="9729" max="9729" width="42" style="138" customWidth="1"/>
    <col min="9730" max="9730" width="6.5703125" style="138" customWidth="1"/>
    <col min="9731" max="9731" width="17.140625" style="138" customWidth="1"/>
    <col min="9732" max="9735" width="15.42578125" style="138" bestFit="1" customWidth="1"/>
    <col min="9736" max="9736" width="15.42578125" style="138" customWidth="1"/>
    <col min="9737" max="9737" width="17" style="138" bestFit="1" customWidth="1"/>
    <col min="9738" max="9738" width="18.5703125" style="138" customWidth="1"/>
    <col min="9739" max="9984" width="11.42578125" style="138"/>
    <col min="9985" max="9985" width="42" style="138" customWidth="1"/>
    <col min="9986" max="9986" width="6.5703125" style="138" customWidth="1"/>
    <col min="9987" max="9987" width="17.140625" style="138" customWidth="1"/>
    <col min="9988" max="9991" width="15.42578125" style="138" bestFit="1" customWidth="1"/>
    <col min="9992" max="9992" width="15.42578125" style="138" customWidth="1"/>
    <col min="9993" max="9993" width="17" style="138" bestFit="1" customWidth="1"/>
    <col min="9994" max="9994" width="18.5703125" style="138" customWidth="1"/>
    <col min="9995" max="10240" width="11.42578125" style="138"/>
    <col min="10241" max="10241" width="42" style="138" customWidth="1"/>
    <col min="10242" max="10242" width="6.5703125" style="138" customWidth="1"/>
    <col min="10243" max="10243" width="17.140625" style="138" customWidth="1"/>
    <col min="10244" max="10247" width="15.42578125" style="138" bestFit="1" customWidth="1"/>
    <col min="10248" max="10248" width="15.42578125" style="138" customWidth="1"/>
    <col min="10249" max="10249" width="17" style="138" bestFit="1" customWidth="1"/>
    <col min="10250" max="10250" width="18.5703125" style="138" customWidth="1"/>
    <col min="10251" max="10496" width="11.42578125" style="138"/>
    <col min="10497" max="10497" width="42" style="138" customWidth="1"/>
    <col min="10498" max="10498" width="6.5703125" style="138" customWidth="1"/>
    <col min="10499" max="10499" width="17.140625" style="138" customWidth="1"/>
    <col min="10500" max="10503" width="15.42578125" style="138" bestFit="1" customWidth="1"/>
    <col min="10504" max="10504" width="15.42578125" style="138" customWidth="1"/>
    <col min="10505" max="10505" width="17" style="138" bestFit="1" customWidth="1"/>
    <col min="10506" max="10506" width="18.5703125" style="138" customWidth="1"/>
    <col min="10507" max="10752" width="11.42578125" style="138"/>
    <col min="10753" max="10753" width="42" style="138" customWidth="1"/>
    <col min="10754" max="10754" width="6.5703125" style="138" customWidth="1"/>
    <col min="10755" max="10755" width="17.140625" style="138" customWidth="1"/>
    <col min="10756" max="10759" width="15.42578125" style="138" bestFit="1" customWidth="1"/>
    <col min="10760" max="10760" width="15.42578125" style="138" customWidth="1"/>
    <col min="10761" max="10761" width="17" style="138" bestFit="1" customWidth="1"/>
    <col min="10762" max="10762" width="18.5703125" style="138" customWidth="1"/>
    <col min="10763" max="11008" width="11.42578125" style="138"/>
    <col min="11009" max="11009" width="42" style="138" customWidth="1"/>
    <col min="11010" max="11010" width="6.5703125" style="138" customWidth="1"/>
    <col min="11011" max="11011" width="17.140625" style="138" customWidth="1"/>
    <col min="11012" max="11015" width="15.42578125" style="138" bestFit="1" customWidth="1"/>
    <col min="11016" max="11016" width="15.42578125" style="138" customWidth="1"/>
    <col min="11017" max="11017" width="17" style="138" bestFit="1" customWidth="1"/>
    <col min="11018" max="11018" width="18.5703125" style="138" customWidth="1"/>
    <col min="11019" max="11264" width="11.42578125" style="138"/>
    <col min="11265" max="11265" width="42" style="138" customWidth="1"/>
    <col min="11266" max="11266" width="6.5703125" style="138" customWidth="1"/>
    <col min="11267" max="11267" width="17.140625" style="138" customWidth="1"/>
    <col min="11268" max="11271" width="15.42578125" style="138" bestFit="1" customWidth="1"/>
    <col min="11272" max="11272" width="15.42578125" style="138" customWidth="1"/>
    <col min="11273" max="11273" width="17" style="138" bestFit="1" customWidth="1"/>
    <col min="11274" max="11274" width="18.5703125" style="138" customWidth="1"/>
    <col min="11275" max="11520" width="11.42578125" style="138"/>
    <col min="11521" max="11521" width="42" style="138" customWidth="1"/>
    <col min="11522" max="11522" width="6.5703125" style="138" customWidth="1"/>
    <col min="11523" max="11523" width="17.140625" style="138" customWidth="1"/>
    <col min="11524" max="11527" width="15.42578125" style="138" bestFit="1" customWidth="1"/>
    <col min="11528" max="11528" width="15.42578125" style="138" customWidth="1"/>
    <col min="11529" max="11529" width="17" style="138" bestFit="1" customWidth="1"/>
    <col min="11530" max="11530" width="18.5703125" style="138" customWidth="1"/>
    <col min="11531" max="11776" width="11.42578125" style="138"/>
    <col min="11777" max="11777" width="42" style="138" customWidth="1"/>
    <col min="11778" max="11778" width="6.5703125" style="138" customWidth="1"/>
    <col min="11779" max="11779" width="17.140625" style="138" customWidth="1"/>
    <col min="11780" max="11783" width="15.42578125" style="138" bestFit="1" customWidth="1"/>
    <col min="11784" max="11784" width="15.42578125" style="138" customWidth="1"/>
    <col min="11785" max="11785" width="17" style="138" bestFit="1" customWidth="1"/>
    <col min="11786" max="11786" width="18.5703125" style="138" customWidth="1"/>
    <col min="11787" max="12032" width="11.42578125" style="138"/>
    <col min="12033" max="12033" width="42" style="138" customWidth="1"/>
    <col min="12034" max="12034" width="6.5703125" style="138" customWidth="1"/>
    <col min="12035" max="12035" width="17.140625" style="138" customWidth="1"/>
    <col min="12036" max="12039" width="15.42578125" style="138" bestFit="1" customWidth="1"/>
    <col min="12040" max="12040" width="15.42578125" style="138" customWidth="1"/>
    <col min="12041" max="12041" width="17" style="138" bestFit="1" customWidth="1"/>
    <col min="12042" max="12042" width="18.5703125" style="138" customWidth="1"/>
    <col min="12043" max="12288" width="11.42578125" style="138"/>
    <col min="12289" max="12289" width="42" style="138" customWidth="1"/>
    <col min="12290" max="12290" width="6.5703125" style="138" customWidth="1"/>
    <col min="12291" max="12291" width="17.140625" style="138" customWidth="1"/>
    <col min="12292" max="12295" width="15.42578125" style="138" bestFit="1" customWidth="1"/>
    <col min="12296" max="12296" width="15.42578125" style="138" customWidth="1"/>
    <col min="12297" max="12297" width="17" style="138" bestFit="1" customWidth="1"/>
    <col min="12298" max="12298" width="18.5703125" style="138" customWidth="1"/>
    <col min="12299" max="12544" width="11.42578125" style="138"/>
    <col min="12545" max="12545" width="42" style="138" customWidth="1"/>
    <col min="12546" max="12546" width="6.5703125" style="138" customWidth="1"/>
    <col min="12547" max="12547" width="17.140625" style="138" customWidth="1"/>
    <col min="12548" max="12551" width="15.42578125" style="138" bestFit="1" customWidth="1"/>
    <col min="12552" max="12552" width="15.42578125" style="138" customWidth="1"/>
    <col min="12553" max="12553" width="17" style="138" bestFit="1" customWidth="1"/>
    <col min="12554" max="12554" width="18.5703125" style="138" customWidth="1"/>
    <col min="12555" max="12800" width="11.42578125" style="138"/>
    <col min="12801" max="12801" width="42" style="138" customWidth="1"/>
    <col min="12802" max="12802" width="6.5703125" style="138" customWidth="1"/>
    <col min="12803" max="12803" width="17.140625" style="138" customWidth="1"/>
    <col min="12804" max="12807" width="15.42578125" style="138" bestFit="1" customWidth="1"/>
    <col min="12808" max="12808" width="15.42578125" style="138" customWidth="1"/>
    <col min="12809" max="12809" width="17" style="138" bestFit="1" customWidth="1"/>
    <col min="12810" max="12810" width="18.5703125" style="138" customWidth="1"/>
    <col min="12811" max="13056" width="11.42578125" style="138"/>
    <col min="13057" max="13057" width="42" style="138" customWidth="1"/>
    <col min="13058" max="13058" width="6.5703125" style="138" customWidth="1"/>
    <col min="13059" max="13059" width="17.140625" style="138" customWidth="1"/>
    <col min="13060" max="13063" width="15.42578125" style="138" bestFit="1" customWidth="1"/>
    <col min="13064" max="13064" width="15.42578125" style="138" customWidth="1"/>
    <col min="13065" max="13065" width="17" style="138" bestFit="1" customWidth="1"/>
    <col min="13066" max="13066" width="18.5703125" style="138" customWidth="1"/>
    <col min="13067" max="13312" width="11.42578125" style="138"/>
    <col min="13313" max="13313" width="42" style="138" customWidth="1"/>
    <col min="13314" max="13314" width="6.5703125" style="138" customWidth="1"/>
    <col min="13315" max="13315" width="17.140625" style="138" customWidth="1"/>
    <col min="13316" max="13319" width="15.42578125" style="138" bestFit="1" customWidth="1"/>
    <col min="13320" max="13320" width="15.42578125" style="138" customWidth="1"/>
    <col min="13321" max="13321" width="17" style="138" bestFit="1" customWidth="1"/>
    <col min="13322" max="13322" width="18.5703125" style="138" customWidth="1"/>
    <col min="13323" max="13568" width="11.42578125" style="138"/>
    <col min="13569" max="13569" width="42" style="138" customWidth="1"/>
    <col min="13570" max="13570" width="6.5703125" style="138" customWidth="1"/>
    <col min="13571" max="13571" width="17.140625" style="138" customWidth="1"/>
    <col min="13572" max="13575" width="15.42578125" style="138" bestFit="1" customWidth="1"/>
    <col min="13576" max="13576" width="15.42578125" style="138" customWidth="1"/>
    <col min="13577" max="13577" width="17" style="138" bestFit="1" customWidth="1"/>
    <col min="13578" max="13578" width="18.5703125" style="138" customWidth="1"/>
    <col min="13579" max="13824" width="11.42578125" style="138"/>
    <col min="13825" max="13825" width="42" style="138" customWidth="1"/>
    <col min="13826" max="13826" width="6.5703125" style="138" customWidth="1"/>
    <col min="13827" max="13827" width="17.140625" style="138" customWidth="1"/>
    <col min="13828" max="13831" width="15.42578125" style="138" bestFit="1" customWidth="1"/>
    <col min="13832" max="13832" width="15.42578125" style="138" customWidth="1"/>
    <col min="13833" max="13833" width="17" style="138" bestFit="1" customWidth="1"/>
    <col min="13834" max="13834" width="18.5703125" style="138" customWidth="1"/>
    <col min="13835" max="14080" width="11.42578125" style="138"/>
    <col min="14081" max="14081" width="42" style="138" customWidth="1"/>
    <col min="14082" max="14082" width="6.5703125" style="138" customWidth="1"/>
    <col min="14083" max="14083" width="17.140625" style="138" customWidth="1"/>
    <col min="14084" max="14087" width="15.42578125" style="138" bestFit="1" customWidth="1"/>
    <col min="14088" max="14088" width="15.42578125" style="138" customWidth="1"/>
    <col min="14089" max="14089" width="17" style="138" bestFit="1" customWidth="1"/>
    <col min="14090" max="14090" width="18.5703125" style="138" customWidth="1"/>
    <col min="14091" max="14336" width="11.42578125" style="138"/>
    <col min="14337" max="14337" width="42" style="138" customWidth="1"/>
    <col min="14338" max="14338" width="6.5703125" style="138" customWidth="1"/>
    <col min="14339" max="14339" width="17.140625" style="138" customWidth="1"/>
    <col min="14340" max="14343" width="15.42578125" style="138" bestFit="1" customWidth="1"/>
    <col min="14344" max="14344" width="15.42578125" style="138" customWidth="1"/>
    <col min="14345" max="14345" width="17" style="138" bestFit="1" customWidth="1"/>
    <col min="14346" max="14346" width="18.5703125" style="138" customWidth="1"/>
    <col min="14347" max="14592" width="11.42578125" style="138"/>
    <col min="14593" max="14593" width="42" style="138" customWidth="1"/>
    <col min="14594" max="14594" width="6.5703125" style="138" customWidth="1"/>
    <col min="14595" max="14595" width="17.140625" style="138" customWidth="1"/>
    <col min="14596" max="14599" width="15.42578125" style="138" bestFit="1" customWidth="1"/>
    <col min="14600" max="14600" width="15.42578125" style="138" customWidth="1"/>
    <col min="14601" max="14601" width="17" style="138" bestFit="1" customWidth="1"/>
    <col min="14602" max="14602" width="18.5703125" style="138" customWidth="1"/>
    <col min="14603" max="14848" width="11.42578125" style="138"/>
    <col min="14849" max="14849" width="42" style="138" customWidth="1"/>
    <col min="14850" max="14850" width="6.5703125" style="138" customWidth="1"/>
    <col min="14851" max="14851" width="17.140625" style="138" customWidth="1"/>
    <col min="14852" max="14855" width="15.42578125" style="138" bestFit="1" customWidth="1"/>
    <col min="14856" max="14856" width="15.42578125" style="138" customWidth="1"/>
    <col min="14857" max="14857" width="17" style="138" bestFit="1" customWidth="1"/>
    <col min="14858" max="14858" width="18.5703125" style="138" customWidth="1"/>
    <col min="14859" max="15104" width="11.42578125" style="138"/>
    <col min="15105" max="15105" width="42" style="138" customWidth="1"/>
    <col min="15106" max="15106" width="6.5703125" style="138" customWidth="1"/>
    <col min="15107" max="15107" width="17.140625" style="138" customWidth="1"/>
    <col min="15108" max="15111" width="15.42578125" style="138" bestFit="1" customWidth="1"/>
    <col min="15112" max="15112" width="15.42578125" style="138" customWidth="1"/>
    <col min="15113" max="15113" width="17" style="138" bestFit="1" customWidth="1"/>
    <col min="15114" max="15114" width="18.5703125" style="138" customWidth="1"/>
    <col min="15115" max="15360" width="11.42578125" style="138"/>
    <col min="15361" max="15361" width="42" style="138" customWidth="1"/>
    <col min="15362" max="15362" width="6.5703125" style="138" customWidth="1"/>
    <col min="15363" max="15363" width="17.140625" style="138" customWidth="1"/>
    <col min="15364" max="15367" width="15.42578125" style="138" bestFit="1" customWidth="1"/>
    <col min="15368" max="15368" width="15.42578125" style="138" customWidth="1"/>
    <col min="15369" max="15369" width="17" style="138" bestFit="1" customWidth="1"/>
    <col min="15370" max="15370" width="18.5703125" style="138" customWidth="1"/>
    <col min="15371" max="15616" width="11.42578125" style="138"/>
    <col min="15617" max="15617" width="42" style="138" customWidth="1"/>
    <col min="15618" max="15618" width="6.5703125" style="138" customWidth="1"/>
    <col min="15619" max="15619" width="17.140625" style="138" customWidth="1"/>
    <col min="15620" max="15623" width="15.42578125" style="138" bestFit="1" customWidth="1"/>
    <col min="15624" max="15624" width="15.42578125" style="138" customWidth="1"/>
    <col min="15625" max="15625" width="17" style="138" bestFit="1" customWidth="1"/>
    <col min="15626" max="15626" width="18.5703125" style="138" customWidth="1"/>
    <col min="15627" max="15872" width="11.42578125" style="138"/>
    <col min="15873" max="15873" width="42" style="138" customWidth="1"/>
    <col min="15874" max="15874" width="6.5703125" style="138" customWidth="1"/>
    <col min="15875" max="15875" width="17.140625" style="138" customWidth="1"/>
    <col min="15876" max="15879" width="15.42578125" style="138" bestFit="1" customWidth="1"/>
    <col min="15880" max="15880" width="15.42578125" style="138" customWidth="1"/>
    <col min="15881" max="15881" width="17" style="138" bestFit="1" customWidth="1"/>
    <col min="15882" max="15882" width="18.5703125" style="138" customWidth="1"/>
    <col min="15883" max="16128" width="11.42578125" style="138"/>
    <col min="16129" max="16129" width="42" style="138" customWidth="1"/>
    <col min="16130" max="16130" width="6.5703125" style="138" customWidth="1"/>
    <col min="16131" max="16131" width="17.140625" style="138" customWidth="1"/>
    <col min="16132" max="16135" width="15.42578125" style="138" bestFit="1" customWidth="1"/>
    <col min="16136" max="16136" width="15.42578125" style="138" customWidth="1"/>
    <col min="16137" max="16137" width="17" style="138" bestFit="1" customWidth="1"/>
    <col min="16138" max="16138" width="18.5703125" style="138" customWidth="1"/>
    <col min="16139" max="16384" width="11.42578125" style="138"/>
  </cols>
  <sheetData>
    <row r="1" spans="1:18" ht="58.5" customHeight="1" x14ac:dyDescent="0.2">
      <c r="A1" s="136" t="s">
        <v>3</v>
      </c>
      <c r="B1" s="136"/>
      <c r="C1" s="137">
        <v>1612035.15</v>
      </c>
    </row>
    <row r="2" spans="1:18" ht="18.75" thickBot="1" x14ac:dyDescent="0.25">
      <c r="A2" s="139"/>
      <c r="B2" s="139"/>
      <c r="C2" s="140"/>
    </row>
    <row r="3" spans="1:18" ht="32.25" customHeight="1" thickBot="1" x14ac:dyDescent="0.25">
      <c r="A3" s="139"/>
      <c r="B3" s="139"/>
      <c r="C3" s="140"/>
      <c r="D3" s="141" t="s">
        <v>2</v>
      </c>
      <c r="E3" s="142"/>
      <c r="F3" s="142"/>
      <c r="G3" s="142"/>
      <c r="H3" s="142"/>
      <c r="I3" s="142"/>
      <c r="J3" s="143"/>
    </row>
    <row r="4" spans="1:18" ht="18.75" x14ac:dyDescent="0.2">
      <c r="A4" s="144" t="s">
        <v>0</v>
      </c>
      <c r="B4" s="145" t="s">
        <v>1</v>
      </c>
      <c r="C4" s="146" t="s">
        <v>4</v>
      </c>
      <c r="D4" s="147" t="s">
        <v>6</v>
      </c>
      <c r="E4" s="147" t="s">
        <v>7</v>
      </c>
      <c r="F4" s="147" t="s">
        <v>8</v>
      </c>
      <c r="G4" s="147" t="s">
        <v>9</v>
      </c>
      <c r="H4" s="147" t="s">
        <v>18</v>
      </c>
      <c r="I4" s="147" t="s">
        <v>10</v>
      </c>
      <c r="J4" s="148" t="s">
        <v>63</v>
      </c>
    </row>
    <row r="5" spans="1:18" ht="19.5" thickBot="1" x14ac:dyDescent="0.25">
      <c r="A5" s="149"/>
      <c r="B5" s="150"/>
      <c r="C5" s="151">
        <v>0.45</v>
      </c>
      <c r="D5" s="152">
        <v>225</v>
      </c>
      <c r="E5" s="152">
        <v>270</v>
      </c>
      <c r="F5" s="152">
        <v>315</v>
      </c>
      <c r="G5" s="152">
        <v>360</v>
      </c>
      <c r="H5" s="152">
        <v>405</v>
      </c>
      <c r="I5" s="152">
        <v>450</v>
      </c>
      <c r="J5" s="153"/>
    </row>
    <row r="6" spans="1:18" ht="31.5" x14ac:dyDescent="0.2">
      <c r="A6" s="154" t="s">
        <v>64</v>
      </c>
      <c r="B6" s="155">
        <v>414</v>
      </c>
      <c r="C6" s="156">
        <v>1526723.6300000001</v>
      </c>
      <c r="D6" s="157">
        <v>1586497.4999999998</v>
      </c>
      <c r="E6" s="157">
        <v>1726210.4499999997</v>
      </c>
      <c r="F6" s="158">
        <v>1905461.5999999999</v>
      </c>
      <c r="G6" s="158">
        <v>2129539.7399999998</v>
      </c>
      <c r="H6" s="158">
        <v>2367407.7599999998</v>
      </c>
      <c r="I6" s="158">
        <v>2608383.2999999998</v>
      </c>
      <c r="J6" s="159">
        <v>2608200</v>
      </c>
    </row>
    <row r="7" spans="1:18" ht="31.5" x14ac:dyDescent="0.2">
      <c r="A7" s="154" t="s">
        <v>65</v>
      </c>
      <c r="B7" s="155">
        <f>B6+17</f>
        <v>431</v>
      </c>
      <c r="C7" s="156">
        <f>C6+67118.11</f>
        <v>1593841.7400000002</v>
      </c>
      <c r="D7" s="157">
        <f>D6+67432.45</f>
        <v>1653929.9499999997</v>
      </c>
      <c r="E7" s="157">
        <f>E6+71193.22</f>
        <v>1797403.6699999997</v>
      </c>
      <c r="F7" s="158">
        <f>F6+78830.46</f>
        <v>1984292.0599999998</v>
      </c>
      <c r="G7" s="158">
        <f>G6+87531.1</f>
        <v>2217070.84</v>
      </c>
      <c r="H7" s="158">
        <f>H6+97155</f>
        <v>2464562.7599999998</v>
      </c>
      <c r="I7" s="158">
        <f>I6+107100</f>
        <v>2715483.3</v>
      </c>
      <c r="J7" s="160">
        <f t="shared" ref="J7:J12" si="0">I7</f>
        <v>2715483.3</v>
      </c>
    </row>
    <row r="8" spans="1:18" ht="31.5" x14ac:dyDescent="0.2">
      <c r="A8" s="154" t="s">
        <v>66</v>
      </c>
      <c r="B8" s="155">
        <f>B7+75</f>
        <v>506</v>
      </c>
      <c r="C8" s="156">
        <f>(C7+202.5*75*12+75*202.5+75*450)</f>
        <v>1825029.2400000002</v>
      </c>
      <c r="D8" s="157">
        <f>D7+(75*225*12+75*225+75*450)</f>
        <v>1907054.9499999997</v>
      </c>
      <c r="E8" s="157">
        <f>E7+(75*270*12+75*270+75*450)</f>
        <v>2094403.6699999997</v>
      </c>
      <c r="F8" s="157">
        <f>F7+(75*315*12+75*315+75*450)</f>
        <v>2325167.0599999996</v>
      </c>
      <c r="G8" s="157">
        <f>G7+(75*360*12+75*360+75*450)</f>
        <v>2601820.84</v>
      </c>
      <c r="H8" s="157">
        <f>H7+(75*405*12+75*405+75*450)</f>
        <v>2893187.76</v>
      </c>
      <c r="I8" s="157">
        <f>I7+(75*450*12+75*450+75*450)</f>
        <v>3187983.3</v>
      </c>
      <c r="J8" s="160">
        <f t="shared" si="0"/>
        <v>3187983.3</v>
      </c>
    </row>
    <row r="9" spans="1:18" ht="31.5" x14ac:dyDescent="0.2">
      <c r="A9" s="154" t="s">
        <v>67</v>
      </c>
      <c r="B9" s="155">
        <f>B8+75</f>
        <v>581</v>
      </c>
      <c r="C9" s="156">
        <f>(C8+202.5*75*12+75*202.5+75*450)</f>
        <v>2056216.7400000002</v>
      </c>
      <c r="D9" s="157">
        <f>D8+(75*225*12+75*225+75*450)</f>
        <v>2160179.9499999997</v>
      </c>
      <c r="E9" s="157">
        <f>E8+(75*270*12+75*270+75*450)</f>
        <v>2391403.67</v>
      </c>
      <c r="F9" s="157">
        <f>F8+(75*315*12+75*315+75*450)</f>
        <v>2666042.0599999996</v>
      </c>
      <c r="G9" s="157">
        <f>G8+(75*360*12+75*360+75*450)</f>
        <v>2986570.84</v>
      </c>
      <c r="H9" s="157">
        <f>H8+(75*405*12+75*405+75*450)</f>
        <v>3321812.76</v>
      </c>
      <c r="I9" s="157">
        <f>I8+(75*450*12+75*450+75*450)</f>
        <v>3660483.3</v>
      </c>
      <c r="J9" s="160">
        <f t="shared" si="0"/>
        <v>3660483.3</v>
      </c>
    </row>
    <row r="10" spans="1:18" ht="31.5" x14ac:dyDescent="0.2">
      <c r="A10" s="154" t="s">
        <v>68</v>
      </c>
      <c r="B10" s="155">
        <f>B9+75</f>
        <v>656</v>
      </c>
      <c r="C10" s="156">
        <f>(C9+202.5*75*12+75*202.5+75*450)</f>
        <v>2287404.2400000002</v>
      </c>
      <c r="D10" s="157">
        <f>D9+(75*225*12+75*225+75*450)</f>
        <v>2413304.9499999997</v>
      </c>
      <c r="E10" s="157">
        <f>E9+(75*270*12+75*270+75*450)</f>
        <v>2688403.67</v>
      </c>
      <c r="F10" s="157">
        <f>F9+(75*315*12+75*315+75*450)</f>
        <v>3006917.0599999996</v>
      </c>
      <c r="G10" s="157">
        <f>G9+(75*360*12+75*360+75*450)</f>
        <v>3371320.84</v>
      </c>
      <c r="H10" s="157">
        <f>H9+(75*405*12+75*405+75*450)</f>
        <v>3750437.76</v>
      </c>
      <c r="I10" s="157">
        <f>I9+(75*450*12+75*450+75*450)</f>
        <v>4132983.3</v>
      </c>
      <c r="J10" s="160">
        <f t="shared" si="0"/>
        <v>4132983.3</v>
      </c>
    </row>
    <row r="11" spans="1:18" ht="31.5" x14ac:dyDescent="0.2">
      <c r="A11" s="154" t="s">
        <v>69</v>
      </c>
      <c r="B11" s="155">
        <f>B10+75</f>
        <v>731</v>
      </c>
      <c r="C11" s="156">
        <f>(C10+202.5*75*12+75*202.5+75*450)</f>
        <v>2518591.7400000002</v>
      </c>
      <c r="D11" s="157">
        <f>D10+(75*225*12+75*225+75*450)</f>
        <v>2666429.9499999997</v>
      </c>
      <c r="E11" s="157">
        <f>E10+(75*270*12+75*270+75*450)</f>
        <v>2985403.67</v>
      </c>
      <c r="F11" s="157">
        <f>F10+(75*315*12+75*315+75*450)</f>
        <v>3347792.0599999996</v>
      </c>
      <c r="G11" s="157">
        <f>G10+(75*360*12+75*360+75*450)</f>
        <v>3756070.84</v>
      </c>
      <c r="H11" s="157">
        <f>H10+(75*405*12+75*405+75*450)</f>
        <v>4179062.76</v>
      </c>
      <c r="I11" s="157">
        <f>I10+(75*450*12+75*450+75*450)</f>
        <v>4605483.3</v>
      </c>
      <c r="J11" s="160">
        <f t="shared" si="0"/>
        <v>4605483.3</v>
      </c>
    </row>
    <row r="12" spans="1:18" ht="32.25" thickBot="1" x14ac:dyDescent="0.25">
      <c r="A12" s="161" t="s">
        <v>70</v>
      </c>
      <c r="B12" s="155">
        <f>B11+75</f>
        <v>806</v>
      </c>
      <c r="C12" s="156">
        <f>(C11+202.5*75*12+75*202.5+75*450)</f>
        <v>2749779.24</v>
      </c>
      <c r="D12" s="157">
        <f>D11+(75*225*12+75*225+75*450)</f>
        <v>2919554.9499999997</v>
      </c>
      <c r="E12" s="157">
        <f>E11+(75*270*12+75*270+75*450)</f>
        <v>3282403.67</v>
      </c>
      <c r="F12" s="157">
        <f>F11+(75*315*12+75*315+75*450)</f>
        <v>3688667.0599999996</v>
      </c>
      <c r="G12" s="157">
        <f>G11+(75*360*12+75*360+75*450)</f>
        <v>4140820.84</v>
      </c>
      <c r="H12" s="157">
        <f>H11+(75*405*12+75*405+75*450)</f>
        <v>4607687.76</v>
      </c>
      <c r="I12" s="157">
        <f>I11+(75*450*12+75*450+75*450)</f>
        <v>5077983.3</v>
      </c>
      <c r="J12" s="160">
        <f t="shared" si="0"/>
        <v>5077983.3</v>
      </c>
    </row>
    <row r="14" spans="1:18" s="168" customFormat="1" ht="15.75" x14ac:dyDescent="0.25">
      <c r="A14" s="162" t="s">
        <v>71</v>
      </c>
      <c r="B14" s="163"/>
      <c r="C14" s="163"/>
      <c r="D14" s="164"/>
      <c r="E14" s="165" t="s">
        <v>72</v>
      </c>
      <c r="F14" s="165"/>
      <c r="G14" s="162"/>
      <c r="H14" s="164"/>
      <c r="I14" s="165" t="s">
        <v>73</v>
      </c>
      <c r="J14" s="165"/>
      <c r="K14" s="166"/>
      <c r="L14" s="167"/>
      <c r="M14" s="167"/>
      <c r="N14" s="167"/>
      <c r="O14" s="167"/>
      <c r="Q14" s="166"/>
      <c r="R14" s="166"/>
    </row>
    <row r="15" spans="1:18" s="168" customFormat="1" ht="15.75" x14ac:dyDescent="0.2">
      <c r="A15" s="162"/>
      <c r="B15" s="162"/>
      <c r="C15" s="162"/>
      <c r="D15" s="162"/>
      <c r="E15" s="162"/>
      <c r="F15" s="162"/>
      <c r="G15" s="162"/>
      <c r="H15" s="169"/>
      <c r="I15" s="162"/>
      <c r="J15" s="162"/>
      <c r="K15" s="167"/>
      <c r="L15" s="167"/>
      <c r="M15" s="167"/>
      <c r="N15" s="167"/>
      <c r="O15" s="167"/>
      <c r="Q15" s="167"/>
      <c r="R15" s="167"/>
    </row>
    <row r="16" spans="1:18" s="168" customFormat="1" ht="15.75" x14ac:dyDescent="0.2">
      <c r="A16" s="162"/>
      <c r="B16" s="162"/>
      <c r="C16" s="162"/>
      <c r="D16" s="162"/>
      <c r="E16" s="162"/>
      <c r="F16" s="162"/>
      <c r="G16" s="162"/>
      <c r="H16" s="169"/>
      <c r="I16" s="162"/>
      <c r="J16" s="162"/>
      <c r="K16" s="167"/>
      <c r="L16" s="167"/>
      <c r="M16" s="167"/>
      <c r="N16" s="167"/>
      <c r="O16" s="167"/>
      <c r="Q16" s="167"/>
      <c r="R16" s="167"/>
    </row>
    <row r="17" spans="1:18" s="168" customFormat="1" ht="15.75" x14ac:dyDescent="0.2">
      <c r="A17" s="162"/>
      <c r="B17" s="162"/>
      <c r="C17" s="162"/>
      <c r="D17" s="162"/>
      <c r="E17" s="162"/>
      <c r="F17" s="162"/>
      <c r="G17" s="162"/>
      <c r="H17" s="169"/>
      <c r="I17" s="162"/>
      <c r="J17" s="162"/>
      <c r="K17" s="167"/>
      <c r="L17" s="167"/>
      <c r="M17" s="167"/>
      <c r="N17" s="167"/>
      <c r="O17" s="167"/>
      <c r="Q17" s="167"/>
      <c r="R17" s="167"/>
    </row>
    <row r="18" spans="1:18" s="168" customFormat="1" ht="15.75" x14ac:dyDescent="0.2">
      <c r="A18" s="162"/>
      <c r="B18" s="162"/>
      <c r="C18" s="162"/>
      <c r="D18" s="162"/>
      <c r="E18" s="162"/>
      <c r="F18" s="162"/>
      <c r="G18" s="162"/>
      <c r="H18" s="169"/>
      <c r="I18" s="162"/>
      <c r="J18" s="162"/>
      <c r="K18" s="167"/>
      <c r="L18" s="167"/>
      <c r="M18" s="167"/>
      <c r="N18" s="167"/>
      <c r="O18" s="167"/>
      <c r="Q18" s="167"/>
      <c r="R18" s="167"/>
    </row>
    <row r="19" spans="1:18" s="168" customFormat="1" ht="15.75" x14ac:dyDescent="0.25">
      <c r="A19" s="162" t="s">
        <v>74</v>
      </c>
      <c r="B19" s="162"/>
      <c r="C19" s="162"/>
      <c r="D19" s="164"/>
      <c r="E19" s="170" t="s">
        <v>75</v>
      </c>
      <c r="F19" s="170"/>
      <c r="G19" s="162"/>
      <c r="H19" s="164"/>
      <c r="I19" s="165" t="s">
        <v>76</v>
      </c>
      <c r="J19" s="165"/>
      <c r="L19" s="167"/>
      <c r="M19" s="167"/>
      <c r="N19" s="167"/>
      <c r="O19" s="167"/>
      <c r="R19" s="167"/>
    </row>
    <row r="20" spans="1:18" s="168" customFormat="1" ht="15.75" x14ac:dyDescent="0.25">
      <c r="A20" s="171" t="s">
        <v>77</v>
      </c>
      <c r="B20" s="172"/>
      <c r="C20" s="172"/>
      <c r="D20" s="164"/>
      <c r="E20" s="165" t="s">
        <v>78</v>
      </c>
      <c r="F20" s="165"/>
      <c r="G20" s="162"/>
      <c r="H20" s="164"/>
      <c r="I20" s="173" t="s">
        <v>79</v>
      </c>
      <c r="J20" s="173"/>
      <c r="K20" s="166"/>
      <c r="L20" s="167"/>
      <c r="M20" s="167"/>
      <c r="N20" s="167"/>
      <c r="O20" s="167"/>
      <c r="Q20" s="174"/>
      <c r="R20" s="174"/>
    </row>
    <row r="21" spans="1:18" s="168" customFormat="1" ht="31.5" x14ac:dyDescent="0.25">
      <c r="A21" s="175" t="s">
        <v>80</v>
      </c>
      <c r="B21" s="176"/>
      <c r="C21" s="176"/>
      <c r="D21" s="164"/>
      <c r="E21" s="177" t="s">
        <v>81</v>
      </c>
      <c r="F21" s="177"/>
      <c r="G21" s="162"/>
      <c r="H21" s="164"/>
      <c r="I21" s="178" t="s">
        <v>82</v>
      </c>
      <c r="J21" s="178"/>
      <c r="K21" s="179"/>
      <c r="L21" s="167"/>
      <c r="M21" s="167"/>
      <c r="N21" s="167"/>
      <c r="O21" s="167"/>
      <c r="Q21" s="180"/>
      <c r="R21" s="180"/>
    </row>
    <row r="22" spans="1:18" s="168" customFormat="1" x14ac:dyDescent="0.2"/>
    <row r="23" spans="1:18" s="183" customFormat="1" x14ac:dyDescent="0.2">
      <c r="A23" s="181" t="s">
        <v>29</v>
      </c>
      <c r="B23" s="182"/>
      <c r="C23" s="182"/>
      <c r="D23" s="182"/>
      <c r="E23" s="182"/>
    </row>
    <row r="24" spans="1:18" s="183" customFormat="1" ht="55.5" customHeight="1" x14ac:dyDescent="0.2">
      <c r="A24" s="184" t="s">
        <v>83</v>
      </c>
      <c r="B24" s="184"/>
      <c r="C24" s="184"/>
      <c r="D24" s="184"/>
      <c r="E24" s="184"/>
      <c r="F24" s="184"/>
      <c r="G24" s="184"/>
      <c r="H24" s="184"/>
      <c r="I24" s="184"/>
      <c r="J24" s="184"/>
    </row>
    <row r="25" spans="1:18" s="183" customFormat="1" ht="12.75" customHeight="1" x14ac:dyDescent="0.2">
      <c r="A25" s="185" t="s">
        <v>31</v>
      </c>
      <c r="B25" s="185"/>
      <c r="C25" s="185"/>
      <c r="D25" s="185"/>
      <c r="E25" s="185"/>
      <c r="F25" s="185"/>
      <c r="G25" s="185"/>
      <c r="H25" s="185"/>
      <c r="I25" s="185"/>
      <c r="J25" s="185"/>
    </row>
    <row r="26" spans="1:18" s="183" customFormat="1" x14ac:dyDescent="0.2">
      <c r="A26" s="185" t="s">
        <v>32</v>
      </c>
      <c r="B26" s="185"/>
      <c r="C26" s="185"/>
      <c r="D26" s="185"/>
      <c r="E26" s="185"/>
      <c r="F26" s="185"/>
      <c r="G26" s="185"/>
      <c r="H26" s="185"/>
      <c r="I26" s="185"/>
      <c r="J26" s="185"/>
    </row>
    <row r="27" spans="1:18" s="183" customFormat="1" x14ac:dyDescent="0.2">
      <c r="A27" s="186" t="s">
        <v>33</v>
      </c>
      <c r="B27" s="186"/>
      <c r="C27" s="186"/>
      <c r="D27" s="186"/>
      <c r="E27" s="186"/>
      <c r="F27" s="186"/>
      <c r="G27" s="186"/>
      <c r="H27" s="186"/>
      <c r="I27" s="186"/>
      <c r="J27" s="186"/>
    </row>
    <row r="28" spans="1:18" s="183" customFormat="1" x14ac:dyDescent="0.2">
      <c r="A28" s="187" t="s">
        <v>34</v>
      </c>
      <c r="B28" s="187"/>
      <c r="C28" s="187"/>
      <c r="D28" s="187"/>
      <c r="E28" s="187"/>
      <c r="F28" s="187"/>
      <c r="G28" s="187"/>
      <c r="H28" s="187"/>
      <c r="I28" s="187"/>
      <c r="J28" s="187"/>
    </row>
    <row r="29" spans="1:18" s="183" customFormat="1" x14ac:dyDescent="0.2">
      <c r="A29" s="186" t="s">
        <v>35</v>
      </c>
      <c r="B29" s="186"/>
      <c r="C29" s="186"/>
      <c r="D29" s="186"/>
      <c r="E29" s="186"/>
      <c r="F29" s="186"/>
      <c r="G29" s="186"/>
      <c r="H29" s="186"/>
      <c r="I29" s="186"/>
      <c r="J29" s="186"/>
    </row>
  </sheetData>
  <mergeCells count="19">
    <mergeCell ref="A24:J24"/>
    <mergeCell ref="A25:J25"/>
    <mergeCell ref="A26:J26"/>
    <mergeCell ref="A27:J27"/>
    <mergeCell ref="A28:J28"/>
    <mergeCell ref="A29:J29"/>
    <mergeCell ref="E19:F19"/>
    <mergeCell ref="I19:J19"/>
    <mergeCell ref="E20:F20"/>
    <mergeCell ref="I20:J20"/>
    <mergeCell ref="E21:F21"/>
    <mergeCell ref="I21:J21"/>
    <mergeCell ref="A1:B1"/>
    <mergeCell ref="D3:J3"/>
    <mergeCell ref="A4:A5"/>
    <mergeCell ref="B4:B5"/>
    <mergeCell ref="J4:J5"/>
    <mergeCell ref="E14:F14"/>
    <mergeCell ref="I14:J14"/>
  </mergeCells>
  <pageMargins left="0.51181102362204722" right="0.51181102362204722" top="0.74803149606299213" bottom="0.15748031496062992" header="0.31496062992125984" footer="0.31496062992125984"/>
  <pageSetup paperSize="9" scale="7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80" zoomScaleNormal="80" workbookViewId="0">
      <selection activeCell="D10" sqref="D10"/>
    </sheetView>
  </sheetViews>
  <sheetFormatPr baseColWidth="10" defaultRowHeight="15" x14ac:dyDescent="0.25"/>
  <cols>
    <col min="1" max="1" width="77.42578125" customWidth="1"/>
    <col min="2" max="2" width="4.710937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x14ac:dyDescent="0.25">
      <c r="A1" s="131" t="s">
        <v>3</v>
      </c>
      <c r="B1" s="131"/>
      <c r="C1" s="40">
        <v>0</v>
      </c>
    </row>
    <row r="2" spans="1:10" ht="18.75" thickBot="1" x14ac:dyDescent="0.3">
      <c r="A2" s="41"/>
      <c r="B2" s="41"/>
      <c r="C2" s="42"/>
    </row>
    <row r="3" spans="1:10" ht="32.25" customHeight="1" thickBot="1" x14ac:dyDescent="0.3">
      <c r="A3" s="41"/>
      <c r="B3" s="41"/>
      <c r="C3" s="42"/>
      <c r="D3" s="93" t="s">
        <v>2</v>
      </c>
      <c r="E3" s="94"/>
      <c r="F3" s="94"/>
      <c r="G3" s="94"/>
      <c r="H3" s="94"/>
      <c r="I3" s="94"/>
      <c r="J3" s="95"/>
    </row>
    <row r="4" spans="1:10" ht="18.75" x14ac:dyDescent="0.25">
      <c r="A4" s="102" t="s">
        <v>0</v>
      </c>
      <c r="B4" s="104" t="s">
        <v>1</v>
      </c>
      <c r="C4" s="37" t="s">
        <v>4</v>
      </c>
      <c r="D4" s="35" t="s">
        <v>6</v>
      </c>
      <c r="E4" s="25" t="s">
        <v>7</v>
      </c>
      <c r="F4" s="25" t="s">
        <v>8</v>
      </c>
      <c r="G4" s="25" t="s">
        <v>9</v>
      </c>
      <c r="H4" s="25" t="s">
        <v>18</v>
      </c>
      <c r="I4" s="26" t="s">
        <v>10</v>
      </c>
      <c r="J4" s="100" t="s">
        <v>19</v>
      </c>
    </row>
    <row r="5" spans="1:10" ht="19.5" thickBot="1" x14ac:dyDescent="0.3">
      <c r="A5" s="103"/>
      <c r="B5" s="105"/>
      <c r="C5" s="38">
        <v>0.45</v>
      </c>
      <c r="D5" s="10">
        <v>225</v>
      </c>
      <c r="E5" s="2">
        <v>270</v>
      </c>
      <c r="F5" s="2">
        <v>315</v>
      </c>
      <c r="G5" s="2">
        <v>360</v>
      </c>
      <c r="H5" s="2">
        <v>405</v>
      </c>
      <c r="I5" s="17">
        <v>450</v>
      </c>
      <c r="J5" s="101"/>
    </row>
    <row r="6" spans="1:10" ht="15.75" x14ac:dyDescent="0.25">
      <c r="A6" s="7" t="s">
        <v>5</v>
      </c>
      <c r="B6" s="46">
        <v>0</v>
      </c>
      <c r="C6" s="14">
        <v>0</v>
      </c>
      <c r="D6" s="11">
        <v>0</v>
      </c>
      <c r="E6" s="5">
        <v>0</v>
      </c>
      <c r="F6" s="6">
        <v>0</v>
      </c>
      <c r="G6" s="6">
        <v>0</v>
      </c>
      <c r="H6" s="27">
        <v>0</v>
      </c>
      <c r="I6" s="18">
        <v>0</v>
      </c>
      <c r="J6" s="22">
        <v>0</v>
      </c>
    </row>
    <row r="7" spans="1:10" ht="15.75" x14ac:dyDescent="0.25">
      <c r="A7" s="7" t="s">
        <v>11</v>
      </c>
      <c r="B7" s="46">
        <v>0</v>
      </c>
      <c r="C7" s="14">
        <v>0</v>
      </c>
      <c r="D7" s="12">
        <v>0</v>
      </c>
      <c r="E7" s="3">
        <v>0</v>
      </c>
      <c r="F7" s="4">
        <v>0</v>
      </c>
      <c r="G7" s="4">
        <v>0</v>
      </c>
      <c r="H7" s="28">
        <v>0</v>
      </c>
      <c r="I7" s="19">
        <v>0</v>
      </c>
      <c r="J7" s="23">
        <v>0</v>
      </c>
    </row>
    <row r="8" spans="1:10" ht="15.75" x14ac:dyDescent="0.25">
      <c r="A8" s="8" t="s">
        <v>15</v>
      </c>
      <c r="B8" s="46">
        <v>0</v>
      </c>
      <c r="C8" s="15">
        <v>0</v>
      </c>
      <c r="D8" s="13">
        <v>0</v>
      </c>
      <c r="E8" s="4">
        <v>0</v>
      </c>
      <c r="F8" s="4">
        <v>0</v>
      </c>
      <c r="G8" s="4">
        <v>0</v>
      </c>
      <c r="H8" s="28">
        <v>0</v>
      </c>
      <c r="I8" s="19">
        <v>0</v>
      </c>
      <c r="J8" s="23">
        <v>0</v>
      </c>
    </row>
    <row r="9" spans="1:10" ht="15.75" x14ac:dyDescent="0.25">
      <c r="A9" s="8" t="s">
        <v>12</v>
      </c>
      <c r="B9" s="46">
        <v>7</v>
      </c>
      <c r="C9" s="15">
        <f>(((450*45%)*$B9)*12)+11560</f>
        <v>28570</v>
      </c>
      <c r="D9" s="13">
        <f>(((450*50%)*$B9)*12)+11560</f>
        <v>30460</v>
      </c>
      <c r="E9" s="4">
        <f>(((450*60%)*$B9)*12)+11560</f>
        <v>34240</v>
      </c>
      <c r="F9" s="4">
        <f>(((450*70%)*$B9)*12)+11560</f>
        <v>38020</v>
      </c>
      <c r="G9" s="4">
        <f>(((450*80%)*$B9)*12)+11560</f>
        <v>41800</v>
      </c>
      <c r="H9" s="4">
        <f>(((450*90%)*$B9)*12)+11560</f>
        <v>45580</v>
      </c>
      <c r="I9" s="19">
        <f>(((450*100%)*$B9)*12)+11560</f>
        <v>49360</v>
      </c>
      <c r="J9" s="23">
        <f>(8410*12)+11560</f>
        <v>112480</v>
      </c>
    </row>
    <row r="10" spans="1:10" ht="15.75" x14ac:dyDescent="0.25">
      <c r="A10" s="8" t="s">
        <v>16</v>
      </c>
      <c r="B10" s="46">
        <v>19</v>
      </c>
      <c r="C10" s="15">
        <f>(((450*45%)*$B10)*12)+30562</f>
        <v>76732</v>
      </c>
      <c r="D10" s="13">
        <f>(((450*50%)*$B10)*12)+30562</f>
        <v>81862</v>
      </c>
      <c r="E10" s="4">
        <f>(((450*60%)*$B10)*12)+30562</f>
        <v>92122</v>
      </c>
      <c r="F10" s="4">
        <f>(((450*70%)*$B10)*12)+30562</f>
        <v>102382</v>
      </c>
      <c r="G10" s="4">
        <f>(((450*80%)*$B10)*12)+30562</f>
        <v>112642</v>
      </c>
      <c r="H10" s="28">
        <f>(((450*90%)*$B10)*12)+30562</f>
        <v>122902</v>
      </c>
      <c r="I10" s="19">
        <f>(((450*100%)*$B10)*12)+30562</f>
        <v>133162</v>
      </c>
      <c r="J10" s="23">
        <f>(22012*12)+30562</f>
        <v>294706</v>
      </c>
    </row>
    <row r="11" spans="1:10" ht="15.75" x14ac:dyDescent="0.25">
      <c r="A11" s="8" t="s">
        <v>13</v>
      </c>
      <c r="B11" s="46">
        <v>22</v>
      </c>
      <c r="C11" s="15">
        <f>(((450*45%)*$B11)*12)+35464</f>
        <v>88924</v>
      </c>
      <c r="D11" s="13">
        <f>(((450*50%)*$B11)*12)+35464</f>
        <v>94864</v>
      </c>
      <c r="E11" s="4">
        <f>(((450*60%)*$B11)*12)+35464</f>
        <v>106744</v>
      </c>
      <c r="F11" s="4">
        <f>(((450*70%)*$B11)*12)+35464</f>
        <v>118624</v>
      </c>
      <c r="G11" s="4">
        <f>(((450*80%)*$B11)*12)+35464</f>
        <v>130504</v>
      </c>
      <c r="H11" s="28">
        <f>(((450*90%)*$B11)*12)+35464</f>
        <v>142384</v>
      </c>
      <c r="I11" s="19">
        <f>(((450*100%)*$B11)*12)+35464</f>
        <v>154264</v>
      </c>
      <c r="J11" s="23">
        <f>(25564*12)+35464</f>
        <v>342232</v>
      </c>
    </row>
    <row r="12" spans="1:10" ht="16.5" thickBot="1" x14ac:dyDescent="0.3">
      <c r="A12" s="9" t="s">
        <v>14</v>
      </c>
      <c r="B12" s="49">
        <v>67</v>
      </c>
      <c r="C12" s="16">
        <f>(((450*45%)*$B12)*12)+120442</f>
        <v>283252</v>
      </c>
      <c r="D12" s="36">
        <f>(((450*50%)*$B12)*12)+120442</f>
        <v>301342</v>
      </c>
      <c r="E12" s="20">
        <f>(((450*60%)*$B12)*12)+120442</f>
        <v>337522</v>
      </c>
      <c r="F12" s="20">
        <f>(((450*70%)*$B12)*12)+120442</f>
        <v>373702</v>
      </c>
      <c r="G12" s="20">
        <f>(((450*80%)*$B12)*12)+120442</f>
        <v>409882</v>
      </c>
      <c r="H12" s="29">
        <f>(((450*90%)*$B12)*12)+120442</f>
        <v>446062</v>
      </c>
      <c r="I12" s="21">
        <f>(((450*100%)*$B12)*12)+120442</f>
        <v>482242</v>
      </c>
      <c r="J12" s="24">
        <f>(90292*12)+120442</f>
        <v>1203946</v>
      </c>
    </row>
    <row r="17" spans="1:10" ht="18" x14ac:dyDescent="0.25">
      <c r="A17" s="54" t="s">
        <v>29</v>
      </c>
      <c r="B17" s="1"/>
      <c r="C17" s="1"/>
      <c r="D17" s="1"/>
      <c r="E17" s="1"/>
    </row>
    <row r="18" spans="1:10" ht="68.25" customHeight="1" x14ac:dyDescent="0.25">
      <c r="A18" s="125" t="s">
        <v>30</v>
      </c>
      <c r="B18" s="125"/>
      <c r="C18" s="125"/>
      <c r="D18" s="125"/>
      <c r="E18" s="125"/>
      <c r="F18" s="125"/>
      <c r="G18" s="125"/>
      <c r="H18" s="125"/>
      <c r="I18" s="125"/>
      <c r="J18" s="125"/>
    </row>
    <row r="19" spans="1:10" ht="18" x14ac:dyDescent="0.25">
      <c r="A19" s="106" t="s">
        <v>31</v>
      </c>
      <c r="B19" s="106"/>
      <c r="C19" s="106"/>
      <c r="D19" s="106"/>
      <c r="E19" s="106"/>
      <c r="F19" s="106"/>
      <c r="G19" s="106"/>
      <c r="H19" s="106"/>
      <c r="I19" s="106"/>
      <c r="J19" s="106"/>
    </row>
    <row r="20" spans="1:10" ht="18" x14ac:dyDescent="0.25">
      <c r="A20" s="106" t="s">
        <v>32</v>
      </c>
      <c r="B20" s="106"/>
      <c r="C20" s="106"/>
      <c r="D20" s="106"/>
      <c r="E20" s="106"/>
      <c r="F20" s="106"/>
      <c r="G20" s="106"/>
      <c r="H20" s="106"/>
      <c r="I20" s="106"/>
      <c r="J20" s="106"/>
    </row>
    <row r="21" spans="1:10" ht="35.25" customHeight="1" x14ac:dyDescent="0.25">
      <c r="A21" s="123" t="s">
        <v>33</v>
      </c>
      <c r="B21" s="123"/>
      <c r="C21" s="123"/>
      <c r="D21" s="123"/>
      <c r="E21" s="123"/>
      <c r="F21" s="123"/>
      <c r="G21" s="123"/>
      <c r="H21" s="123"/>
      <c r="I21" s="123"/>
      <c r="J21" s="123"/>
    </row>
    <row r="22" spans="1:10" ht="18" x14ac:dyDescent="0.25">
      <c r="A22" s="106" t="s">
        <v>34</v>
      </c>
      <c r="B22" s="106"/>
      <c r="C22" s="106"/>
      <c r="D22" s="106"/>
      <c r="E22" s="106"/>
      <c r="F22" s="106"/>
      <c r="G22" s="106"/>
      <c r="H22" s="106"/>
      <c r="I22" s="106"/>
      <c r="J22" s="106"/>
    </row>
    <row r="23" spans="1:10" ht="36.75" customHeight="1" x14ac:dyDescent="0.25">
      <c r="A23" s="123" t="s">
        <v>35</v>
      </c>
      <c r="B23" s="123"/>
      <c r="C23" s="123"/>
      <c r="D23" s="123"/>
      <c r="E23" s="123"/>
      <c r="F23" s="123"/>
      <c r="G23" s="123"/>
      <c r="H23" s="123"/>
      <c r="I23" s="123"/>
      <c r="J23" s="123"/>
    </row>
  </sheetData>
  <mergeCells count="11">
    <mergeCell ref="A19:J19"/>
    <mergeCell ref="A20:J20"/>
    <mergeCell ref="A21:J21"/>
    <mergeCell ref="A22:J22"/>
    <mergeCell ref="A23:J23"/>
    <mergeCell ref="A1:B1"/>
    <mergeCell ref="D3:J3"/>
    <mergeCell ref="A4:A5"/>
    <mergeCell ref="B4:B5"/>
    <mergeCell ref="J4:J5"/>
    <mergeCell ref="A18:J18"/>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topLeftCell="A19" workbookViewId="0">
      <selection activeCell="B34" sqref="B34"/>
    </sheetView>
  </sheetViews>
  <sheetFormatPr baseColWidth="10" defaultRowHeight="15" x14ac:dyDescent="0.25"/>
  <cols>
    <col min="1" max="1" width="16.42578125" bestFit="1" customWidth="1"/>
    <col min="2" max="2" width="11.85546875" bestFit="1" customWidth="1"/>
    <col min="3" max="3" width="16.42578125" bestFit="1" customWidth="1"/>
    <col min="4" max="10" width="14.5703125" bestFit="1" customWidth="1"/>
  </cols>
  <sheetData>
    <row r="2" spans="1:9" x14ac:dyDescent="0.25">
      <c r="A2" t="s">
        <v>84</v>
      </c>
      <c r="B2">
        <v>2023</v>
      </c>
      <c r="C2">
        <v>2028</v>
      </c>
      <c r="D2">
        <v>2033</v>
      </c>
      <c r="E2">
        <v>2038</v>
      </c>
      <c r="F2">
        <v>2043</v>
      </c>
      <c r="G2">
        <v>2048</v>
      </c>
    </row>
    <row r="3" spans="1:9" x14ac:dyDescent="0.25">
      <c r="A3" t="s">
        <v>85</v>
      </c>
      <c r="B3">
        <v>1326</v>
      </c>
      <c r="C3">
        <v>1636</v>
      </c>
      <c r="D3">
        <v>1988</v>
      </c>
      <c r="E3">
        <v>2738</v>
      </c>
      <c r="F3">
        <v>3293</v>
      </c>
      <c r="G3">
        <v>3691</v>
      </c>
    </row>
    <row r="4" spans="1:9" x14ac:dyDescent="0.25">
      <c r="A4" t="s">
        <v>86</v>
      </c>
      <c r="B4">
        <v>0</v>
      </c>
      <c r="C4" s="207">
        <f>(1-(B3/C3))</f>
        <v>0.18948655256723712</v>
      </c>
      <c r="D4" s="207">
        <f>(1-(C3/D3))</f>
        <v>0.17706237424547289</v>
      </c>
      <c r="E4" s="207">
        <f>(1-(D3/E3))</f>
        <v>0.27392257121986852</v>
      </c>
      <c r="F4" s="207">
        <f>(1-(E3/F3))</f>
        <v>0.1685393258426966</v>
      </c>
      <c r="G4" s="207">
        <f>(1-(F3/G3))</f>
        <v>0.10782985640747766</v>
      </c>
    </row>
    <row r="5" spans="1:9" x14ac:dyDescent="0.25">
      <c r="A5" t="s">
        <v>87</v>
      </c>
      <c r="B5" s="206">
        <f>AVERAGE(C4:G4)</f>
        <v>0.18336813605655056</v>
      </c>
      <c r="C5" s="206"/>
      <c r="D5" s="206"/>
      <c r="E5" s="206"/>
      <c r="F5" s="206"/>
    </row>
    <row r="16" spans="1:9" x14ac:dyDescent="0.25">
      <c r="A16" t="s">
        <v>84</v>
      </c>
      <c r="B16" t="s">
        <v>1</v>
      </c>
      <c r="C16" t="s">
        <v>4</v>
      </c>
      <c r="D16" s="217" t="s">
        <v>6</v>
      </c>
      <c r="E16" s="217" t="s">
        <v>7</v>
      </c>
      <c r="F16" s="217" t="s">
        <v>8</v>
      </c>
      <c r="G16" s="217" t="s">
        <v>9</v>
      </c>
      <c r="H16" s="217" t="s">
        <v>18</v>
      </c>
      <c r="I16" s="217" t="s">
        <v>10</v>
      </c>
    </row>
    <row r="17" spans="1:9" x14ac:dyDescent="0.25">
      <c r="C17" s="217">
        <v>0.45</v>
      </c>
      <c r="D17" s="218">
        <v>225</v>
      </c>
      <c r="E17" s="218">
        <v>270</v>
      </c>
      <c r="F17" s="218">
        <v>315</v>
      </c>
      <c r="G17" s="218">
        <v>360</v>
      </c>
      <c r="H17" s="218">
        <v>405</v>
      </c>
      <c r="I17" s="218">
        <v>450</v>
      </c>
    </row>
    <row r="18" spans="1:9" x14ac:dyDescent="0.25">
      <c r="A18" s="219">
        <v>45261</v>
      </c>
      <c r="B18">
        <v>1234</v>
      </c>
      <c r="C18" s="62">
        <v>4054373.63</v>
      </c>
      <c r="D18" s="62">
        <v>4353997.5</v>
      </c>
      <c r="E18" s="62">
        <v>4973410.4499999993</v>
      </c>
      <c r="F18" s="62">
        <v>5632361.5999999996</v>
      </c>
      <c r="G18" s="62">
        <v>6336139.7400000002</v>
      </c>
      <c r="H18" s="62">
        <v>7053707.7599999998</v>
      </c>
      <c r="I18" s="62">
        <v>7774383.2999999998</v>
      </c>
    </row>
    <row r="19" spans="1:9" x14ac:dyDescent="0.25">
      <c r="A19" s="219">
        <v>45261</v>
      </c>
      <c r="B19">
        <v>1326</v>
      </c>
      <c r="C19" s="62">
        <v>4352679.24</v>
      </c>
      <c r="D19" s="62">
        <v>4674554.9499999993</v>
      </c>
      <c r="E19" s="62">
        <v>5341603.67</v>
      </c>
      <c r="F19" s="62">
        <v>6052067.0599999996</v>
      </c>
      <c r="G19" s="62">
        <v>6808420.8399999999</v>
      </c>
      <c r="H19" s="62">
        <v>7579487.7599999998</v>
      </c>
      <c r="I19" s="62">
        <v>8353983.2999999998</v>
      </c>
    </row>
    <row r="20" spans="1:9" x14ac:dyDescent="0.25">
      <c r="A20">
        <v>2028</v>
      </c>
      <c r="B20">
        <v>1636</v>
      </c>
      <c r="C20" s="62">
        <v>5308254.24</v>
      </c>
      <c r="D20" s="62">
        <v>5720804.9499999993</v>
      </c>
      <c r="E20" s="62">
        <v>6569203.6699999999</v>
      </c>
      <c r="F20" s="62">
        <v>7461017.0599999996</v>
      </c>
      <c r="G20" s="62">
        <v>8398720.8399999999</v>
      </c>
      <c r="H20" s="62">
        <v>9351137.7599999998</v>
      </c>
      <c r="I20" s="62">
        <v>10306983.300000001</v>
      </c>
    </row>
    <row r="21" spans="1:9" x14ac:dyDescent="0.25">
      <c r="A21">
        <v>2033</v>
      </c>
      <c r="B21">
        <v>1988</v>
      </c>
      <c r="C21" s="62">
        <v>6386504.1400000006</v>
      </c>
      <c r="D21" s="62">
        <v>6901625.9499999993</v>
      </c>
      <c r="E21" s="62">
        <v>7955166.8700000001</v>
      </c>
      <c r="F21" s="62">
        <v>9052122.4600000009</v>
      </c>
      <c r="G21" s="62">
        <v>10194968.439999999</v>
      </c>
      <c r="H21" s="62">
        <v>11352527.559999999</v>
      </c>
      <c r="I21" s="62">
        <v>12513515.300000001</v>
      </c>
    </row>
    <row r="22" spans="1:9" x14ac:dyDescent="0.25">
      <c r="A22">
        <v>2038</v>
      </c>
      <c r="B22">
        <v>2738</v>
      </c>
      <c r="C22" s="62">
        <v>8708246.1400000006</v>
      </c>
      <c r="D22" s="62">
        <v>9442427.9499999993</v>
      </c>
      <c r="E22" s="62">
        <v>10934088.870000001</v>
      </c>
      <c r="F22" s="62">
        <v>12469164.460000001</v>
      </c>
      <c r="G22" s="62">
        <v>14050130.439999999</v>
      </c>
      <c r="H22" s="62">
        <v>15645809.560000001</v>
      </c>
      <c r="I22" s="62">
        <v>17244917.300000001</v>
      </c>
    </row>
    <row r="23" spans="1:9" x14ac:dyDescent="0.25">
      <c r="A23">
        <v>2043</v>
      </c>
      <c r="B23">
        <v>3293</v>
      </c>
      <c r="C23" s="62">
        <v>10423855.539999999</v>
      </c>
      <c r="D23" s="62">
        <v>11320615.949999999</v>
      </c>
      <c r="E23" s="62">
        <v>13137434.07</v>
      </c>
      <c r="F23" s="62">
        <v>14997666.859999999</v>
      </c>
      <c r="G23" s="62">
        <v>16903790.039999999</v>
      </c>
      <c r="H23" s="62">
        <v>18824626.359999999</v>
      </c>
      <c r="I23" s="62">
        <v>20748891.300000001</v>
      </c>
    </row>
    <row r="24" spans="1:9" x14ac:dyDescent="0.25">
      <c r="A24">
        <v>2048</v>
      </c>
      <c r="B24">
        <v>3691</v>
      </c>
      <c r="C24" s="62">
        <v>11705001.040000001</v>
      </c>
      <c r="D24" s="62">
        <v>12717118.949999999</v>
      </c>
      <c r="E24" s="62">
        <v>14764652.07</v>
      </c>
      <c r="F24" s="62">
        <v>16855599.859999999</v>
      </c>
      <c r="G24" s="62">
        <v>18992438.039999999</v>
      </c>
      <c r="H24" s="62">
        <v>21143989.359999999</v>
      </c>
      <c r="I24" s="62">
        <v>23298969.300000001</v>
      </c>
    </row>
    <row r="25" spans="1:9" x14ac:dyDescent="0.25">
      <c r="C25" s="217" t="s">
        <v>6</v>
      </c>
      <c r="D25" s="217" t="s">
        <v>7</v>
      </c>
      <c r="E25" s="217" t="s">
        <v>8</v>
      </c>
      <c r="F25" s="217" t="s">
        <v>9</v>
      </c>
      <c r="G25" s="217" t="s">
        <v>18</v>
      </c>
      <c r="H25" s="217" t="s">
        <v>10</v>
      </c>
    </row>
    <row r="26" spans="1:9" x14ac:dyDescent="0.25">
      <c r="B26" s="219">
        <v>44986</v>
      </c>
      <c r="C26" s="204">
        <f>(1-($C$18/D18))</f>
        <v>6.881581121716307E-2</v>
      </c>
      <c r="D26" s="204">
        <f t="shared" ref="D26:H26" si="0">(1-($C$18/E18))</f>
        <v>0.18479006091282879</v>
      </c>
      <c r="E26" s="204">
        <f t="shared" si="0"/>
        <v>0.28016453524574836</v>
      </c>
      <c r="F26" s="204">
        <f t="shared" si="0"/>
        <v>0.3601192845535317</v>
      </c>
      <c r="G26" s="204">
        <f t="shared" si="0"/>
        <v>0.42521383534040824</v>
      </c>
      <c r="H26" s="204">
        <f t="shared" si="0"/>
        <v>0.47849578885568966</v>
      </c>
    </row>
    <row r="27" spans="1:9" x14ac:dyDescent="0.25">
      <c r="B27" s="219">
        <v>45261</v>
      </c>
      <c r="C27" s="204">
        <f t="shared" ref="C27:H27" si="1">(1-($C$18/D19))</f>
        <v>0.13267173594782522</v>
      </c>
      <c r="D27" s="204">
        <f t="shared" si="1"/>
        <v>0.24098194466007627</v>
      </c>
      <c r="E27" s="204">
        <f t="shared" si="1"/>
        <v>0.33008448356485987</v>
      </c>
      <c r="F27" s="204">
        <f t="shared" si="1"/>
        <v>0.40450601904919847</v>
      </c>
      <c r="G27" s="204">
        <f t="shared" si="1"/>
        <v>0.46508606407459918</v>
      </c>
      <c r="H27" s="204">
        <f t="shared" si="1"/>
        <v>0.51467779089287857</v>
      </c>
    </row>
    <row r="28" spans="1:9" x14ac:dyDescent="0.25">
      <c r="B28">
        <v>2028</v>
      </c>
      <c r="C28" s="204">
        <f t="shared" ref="C28:H28" si="2">(1-($C$18/D20))</f>
        <v>0.29129315447120774</v>
      </c>
      <c r="D28" s="204">
        <f t="shared" si="2"/>
        <v>0.38282114032856585</v>
      </c>
      <c r="E28" s="204">
        <f t="shared" si="2"/>
        <v>0.45659236570623785</v>
      </c>
      <c r="F28" s="204">
        <f t="shared" si="2"/>
        <v>0.51726296096299351</v>
      </c>
      <c r="G28" s="204">
        <f t="shared" si="2"/>
        <v>0.56642991109137508</v>
      </c>
      <c r="H28" s="204">
        <f t="shared" si="2"/>
        <v>0.60663818772268707</v>
      </c>
    </row>
    <row r="29" spans="1:9" x14ac:dyDescent="0.25">
      <c r="B29">
        <v>2033</v>
      </c>
      <c r="C29" s="204">
        <f t="shared" ref="C29:H29" si="3">(1-($C$18/D21))</f>
        <v>0.41254804891302455</v>
      </c>
      <c r="D29" s="204">
        <f t="shared" si="3"/>
        <v>0.49034712957567417</v>
      </c>
      <c r="E29" s="204">
        <f t="shared" si="3"/>
        <v>0.55210795612678898</v>
      </c>
      <c r="F29" s="204">
        <f t="shared" si="3"/>
        <v>0.6023162157037536</v>
      </c>
      <c r="G29" s="204">
        <f t="shared" si="3"/>
        <v>0.64286599538543643</v>
      </c>
      <c r="H29" s="204">
        <f t="shared" si="3"/>
        <v>0.67600042571570595</v>
      </c>
    </row>
    <row r="30" spans="1:9" x14ac:dyDescent="0.25">
      <c r="B30">
        <v>2038</v>
      </c>
      <c r="C30" s="204">
        <f t="shared" ref="C30:H30" si="4">(1-($C$18/D22))</f>
        <v>0.57062170328765915</v>
      </c>
      <c r="D30" s="204">
        <f t="shared" si="4"/>
        <v>0.62919876743237046</v>
      </c>
      <c r="E30" s="204">
        <f t="shared" si="4"/>
        <v>0.67484801062604638</v>
      </c>
      <c r="F30" s="204">
        <f t="shared" si="4"/>
        <v>0.71143516088239256</v>
      </c>
      <c r="G30" s="204">
        <f t="shared" si="4"/>
        <v>0.74086520646618426</v>
      </c>
      <c r="H30" s="204">
        <f t="shared" si="4"/>
        <v>0.76489457389279569</v>
      </c>
    </row>
    <row r="31" spans="1:9" x14ac:dyDescent="0.25">
      <c r="B31">
        <v>2043</v>
      </c>
      <c r="C31" s="204">
        <f t="shared" ref="C31:H31" si="5">(1-($C$18/D23))</f>
        <v>0.64185927268383303</v>
      </c>
      <c r="D31" s="204">
        <f t="shared" si="5"/>
        <v>0.69138770871106647</v>
      </c>
      <c r="E31" s="204">
        <f t="shared" si="5"/>
        <v>0.72966637625393949</v>
      </c>
      <c r="F31" s="204">
        <f t="shared" si="5"/>
        <v>0.76015002431963474</v>
      </c>
      <c r="G31" s="204">
        <f t="shared" si="5"/>
        <v>0.78462395202621171</v>
      </c>
      <c r="H31" s="204">
        <f t="shared" si="5"/>
        <v>0.80459805917437144</v>
      </c>
    </row>
    <row r="32" spans="1:9" x14ac:dyDescent="0.25">
      <c r="B32">
        <v>2048</v>
      </c>
      <c r="C32" s="204">
        <f>(1-($C$18/D24))</f>
        <v>0.68118772451994714</v>
      </c>
      <c r="D32" s="204">
        <f>(1-($C$18/E24))</f>
        <v>0.72539998837913688</v>
      </c>
      <c r="E32" s="204">
        <f>(1-($C$18/F24))</f>
        <v>0.75946429295456708</v>
      </c>
      <c r="F32" s="204">
        <f>(1-($C$18/G24))</f>
        <v>0.78652695238699333</v>
      </c>
      <c r="G32" s="204">
        <f>(1-($C$18/H24))</f>
        <v>0.80824935347016269</v>
      </c>
      <c r="H32" s="204">
        <f>(1-($C$18/I24))</f>
        <v>0.82598485032554636</v>
      </c>
    </row>
    <row r="34" spans="1:2" x14ac:dyDescent="0.25">
      <c r="A34" t="s">
        <v>88</v>
      </c>
      <c r="B34" s="217">
        <f>AVERAGE(C26:H32)</f>
        <v>0.55175697199550289</v>
      </c>
    </row>
    <row r="35" spans="1:2" x14ac:dyDescent="0.25">
      <c r="B35" s="205"/>
    </row>
  </sheetData>
  <mergeCells count="1">
    <mergeCell ref="B5: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CONSOLIDADO</vt:lpstr>
      <vt:lpstr>Planta Central</vt:lpstr>
      <vt:lpstr>Rastro</vt:lpstr>
      <vt:lpstr>QT</vt:lpstr>
      <vt:lpstr>FMC</vt:lpstr>
      <vt:lpstr>EPMTPQ</vt:lpstr>
      <vt:lpstr>EMASEO</vt:lpstr>
      <vt:lpstr>Conquito</vt:lpstr>
      <vt:lpstr>Gráficos</vt:lpstr>
      <vt:lpstr>EMASEO!Área_de_impresión</vt:lpstr>
      <vt:lpstr>EPMTPQ!Área_de_impresión</vt:lpstr>
      <vt:lpstr>Rastro!Área_de_impresión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Pineiros Costales</dc:creator>
  <cp:lastModifiedBy>Jose Antonio Pineiros Costales</cp:lastModifiedBy>
  <dcterms:created xsi:type="dcterms:W3CDTF">2023-03-30T17:13:16Z</dcterms:created>
  <dcterms:modified xsi:type="dcterms:W3CDTF">2023-04-05T19:30:08Z</dcterms:modified>
</cp:coreProperties>
</file>