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.SANCHEZ\Desktop\DRENAJE\finales\"/>
    </mc:Choice>
  </mc:AlternateContent>
  <bookViews>
    <workbookView xWindow="0" yWindow="0" windowWidth="20490" windowHeight="6195" tabRatio="496"/>
  </bookViews>
  <sheets>
    <sheet name="PLAN ACCION" sheetId="15" r:id="rId1"/>
    <sheet name="Hoja1" sheetId="16" r:id="rId2"/>
  </sheets>
  <definedNames>
    <definedName name="_xlnm.Print_Area" localSheetId="0">'PLAN ACCION'!$B$1:$AI$96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" i="15" l="1"/>
  <c r="AK18" i="15"/>
  <c r="AL18" i="15" s="1"/>
  <c r="AF18" i="15"/>
  <c r="AF22" i="15"/>
  <c r="AD22" i="15"/>
  <c r="AD28" i="15"/>
  <c r="X28" i="15"/>
  <c r="X29" i="15"/>
  <c r="AK29" i="15" s="1"/>
  <c r="AL29" i="15" s="1"/>
  <c r="AF96" i="15"/>
  <c r="AF101" i="15" s="1"/>
  <c r="AF13" i="15"/>
  <c r="AK13" i="15"/>
  <c r="AL13" i="15" s="1"/>
  <c r="AB42" i="15"/>
  <c r="Z101" i="15"/>
  <c r="Y101" i="15"/>
  <c r="V30" i="15"/>
  <c r="V96" i="15" s="1"/>
  <c r="V101" i="15" s="1"/>
  <c r="Z52" i="15"/>
  <c r="U50" i="15"/>
  <c r="U96" i="15" s="1"/>
  <c r="U101" i="15" s="1"/>
  <c r="R101" i="15"/>
  <c r="S63" i="15"/>
  <c r="Q63" i="15"/>
  <c r="P59" i="15"/>
  <c r="R68" i="15"/>
  <c r="R96" i="15" s="1"/>
  <c r="S72" i="15"/>
  <c r="Q75" i="15"/>
  <c r="R77" i="15"/>
  <c r="AK77" i="15" s="1"/>
  <c r="AL77" i="15" s="1"/>
  <c r="Q80" i="15"/>
  <c r="AK80" i="15"/>
  <c r="AL80" i="15" s="1"/>
  <c r="P84" i="15"/>
  <c r="P88" i="15"/>
  <c r="AG96" i="15"/>
  <c r="AG101" i="15" s="1"/>
  <c r="AE96" i="15"/>
  <c r="AE101" i="15" s="1"/>
  <c r="AC96" i="15"/>
  <c r="AC101" i="15" s="1"/>
  <c r="AA96" i="15"/>
  <c r="AA101" i="15" s="1"/>
  <c r="Z96" i="15"/>
  <c r="Y96" i="15"/>
  <c r="W96" i="15"/>
  <c r="W101" i="15" s="1"/>
  <c r="T96" i="15"/>
  <c r="T101" i="15" s="1"/>
  <c r="S96" i="15"/>
  <c r="S101" i="15" s="1"/>
  <c r="Q96" i="15"/>
  <c r="Q101" i="15" s="1"/>
  <c r="P96" i="15"/>
  <c r="P101" i="15" s="1"/>
  <c r="N39" i="15"/>
  <c r="M39" i="15"/>
  <c r="AK39" i="15" s="1"/>
  <c r="AL39" i="15" s="1"/>
  <c r="O50" i="15"/>
  <c r="AK50" i="15" s="1"/>
  <c r="AL50" i="15" s="1"/>
  <c r="N50" i="15"/>
  <c r="L68" i="15"/>
  <c r="AK92" i="15"/>
  <c r="AL92" i="15"/>
  <c r="AK93" i="15"/>
  <c r="AL93" i="15" s="1"/>
  <c r="AK94" i="15"/>
  <c r="AL94" i="15" s="1"/>
  <c r="AK95" i="15"/>
  <c r="AL95" i="15" s="1"/>
  <c r="AK91" i="15"/>
  <c r="AL91" i="15" s="1"/>
  <c r="AK85" i="15"/>
  <c r="AL85" i="15" s="1"/>
  <c r="AK86" i="15"/>
  <c r="AL86" i="15" s="1"/>
  <c r="AK87" i="15"/>
  <c r="AL87" i="15" s="1"/>
  <c r="AK88" i="15"/>
  <c r="AL88" i="15" s="1"/>
  <c r="AK89" i="15"/>
  <c r="AL89" i="15" s="1"/>
  <c r="AK83" i="15"/>
  <c r="AL83" i="15" s="1"/>
  <c r="AK73" i="15"/>
  <c r="AL73" i="15" s="1"/>
  <c r="AK74" i="15"/>
  <c r="AL74" i="15" s="1"/>
  <c r="AK75" i="15"/>
  <c r="AL75" i="15" s="1"/>
  <c r="AK76" i="15"/>
  <c r="AL76" i="15" s="1"/>
  <c r="AK78" i="15"/>
  <c r="AL78" i="15" s="1"/>
  <c r="AK79" i="15"/>
  <c r="AL79" i="15" s="1"/>
  <c r="AK81" i="15"/>
  <c r="AL81" i="15" s="1"/>
  <c r="AK72" i="15"/>
  <c r="AL72" i="15" s="1"/>
  <c r="AK66" i="15"/>
  <c r="AL66" i="15" s="1"/>
  <c r="AK67" i="15"/>
  <c r="AL67" i="15" s="1"/>
  <c r="AK69" i="15"/>
  <c r="AL69" i="15" s="1"/>
  <c r="AK70" i="15"/>
  <c r="AL70" i="15"/>
  <c r="AK65" i="15"/>
  <c r="AL65" i="15" s="1"/>
  <c r="AK60" i="15"/>
  <c r="AL60" i="15" s="1"/>
  <c r="AK61" i="15"/>
  <c r="AL61" i="15" s="1"/>
  <c r="AK62" i="15"/>
  <c r="AL62" i="15" s="1"/>
  <c r="AK63" i="15"/>
  <c r="AL63" i="15" s="1"/>
  <c r="AK59" i="15"/>
  <c r="AL59" i="15" s="1"/>
  <c r="AK36" i="15"/>
  <c r="AL36" i="15"/>
  <c r="AK37" i="15"/>
  <c r="AL37" i="15"/>
  <c r="AK38" i="15"/>
  <c r="AL38" i="15"/>
  <c r="AK40" i="15"/>
  <c r="AL40" i="15"/>
  <c r="AK41" i="15"/>
  <c r="AL41" i="15"/>
  <c r="AK42" i="15"/>
  <c r="AL42" i="15" s="1"/>
  <c r="AK43" i="15"/>
  <c r="AL43" i="15"/>
  <c r="AK44" i="15"/>
  <c r="AL44" i="15"/>
  <c r="AK45" i="15"/>
  <c r="AL45" i="15" s="1"/>
  <c r="AK46" i="15"/>
  <c r="AL46" i="15" s="1"/>
  <c r="AK47" i="15"/>
  <c r="AL47" i="15"/>
  <c r="AK48" i="15"/>
  <c r="AL48" i="15"/>
  <c r="AK49" i="15"/>
  <c r="AL49" i="15"/>
  <c r="AK51" i="15"/>
  <c r="AL51" i="15"/>
  <c r="AK52" i="15"/>
  <c r="AL52" i="15" s="1"/>
  <c r="AK53" i="15"/>
  <c r="AL53" i="15"/>
  <c r="AK54" i="15"/>
  <c r="AL54" i="15"/>
  <c r="AK55" i="15"/>
  <c r="AL55" i="15" s="1"/>
  <c r="AK56" i="15"/>
  <c r="AL56" i="15"/>
  <c r="AK57" i="15"/>
  <c r="AL57" i="15"/>
  <c r="AK35" i="15"/>
  <c r="AL35" i="15" s="1"/>
  <c r="N41" i="15"/>
  <c r="M41" i="15"/>
  <c r="O44" i="15"/>
  <c r="N44" i="15"/>
  <c r="M44" i="15"/>
  <c r="L41" i="15"/>
  <c r="M40" i="15"/>
  <c r="L40" i="15"/>
  <c r="L39" i="15"/>
  <c r="M36" i="15"/>
  <c r="L36" i="15"/>
  <c r="N35" i="15"/>
  <c r="M35" i="15"/>
  <c r="L35" i="15"/>
  <c r="AK22" i="15"/>
  <c r="AL22" i="15" s="1"/>
  <c r="AK23" i="15"/>
  <c r="AL23" i="15"/>
  <c r="AK24" i="15"/>
  <c r="AL24" i="15"/>
  <c r="AK25" i="15"/>
  <c r="AL25" i="15"/>
  <c r="AK26" i="15"/>
  <c r="AL26" i="15" s="1"/>
  <c r="AK27" i="15"/>
  <c r="AL27" i="15" s="1"/>
  <c r="AK30" i="15"/>
  <c r="AL30" i="15" s="1"/>
  <c r="AK31" i="15"/>
  <c r="AL31" i="15"/>
  <c r="AK32" i="15"/>
  <c r="AL32" i="15"/>
  <c r="AK33" i="15"/>
  <c r="AL33" i="15"/>
  <c r="AK21" i="15"/>
  <c r="AL21" i="15" s="1"/>
  <c r="AK19" i="15"/>
  <c r="AL19" i="15"/>
  <c r="AK9" i="15"/>
  <c r="AL9" i="15"/>
  <c r="AK10" i="15"/>
  <c r="AL10" i="15"/>
  <c r="AK11" i="15"/>
  <c r="AL11" i="15"/>
  <c r="AK12" i="15"/>
  <c r="AL12" i="15"/>
  <c r="AK14" i="15"/>
  <c r="AL14" i="15" s="1"/>
  <c r="AK15" i="15"/>
  <c r="AL15" i="15"/>
  <c r="AK16" i="15"/>
  <c r="AL16" i="15"/>
  <c r="AK17" i="15"/>
  <c r="AL17" i="15"/>
  <c r="AL8" i="15"/>
  <c r="AK8" i="15"/>
  <c r="K62" i="15"/>
  <c r="J62" i="15"/>
  <c r="K61" i="15"/>
  <c r="J61" i="15"/>
  <c r="K60" i="15"/>
  <c r="J60" i="15"/>
  <c r="K59" i="15"/>
  <c r="J59" i="15"/>
  <c r="K48" i="15"/>
  <c r="J48" i="15"/>
  <c r="K49" i="15"/>
  <c r="J49" i="15"/>
  <c r="J43" i="15"/>
  <c r="I43" i="15"/>
  <c r="I38" i="15"/>
  <c r="J21" i="15"/>
  <c r="I21" i="15"/>
  <c r="J16" i="15"/>
  <c r="I16" i="15"/>
  <c r="L15" i="15"/>
  <c r="K15" i="15"/>
  <c r="J15" i="15"/>
  <c r="I15" i="15"/>
  <c r="L11" i="15"/>
  <c r="K11" i="15"/>
  <c r="J11" i="15"/>
  <c r="I11" i="15"/>
  <c r="J17" i="15"/>
  <c r="H17" i="15"/>
  <c r="I17" i="15"/>
  <c r="I24" i="15"/>
  <c r="H24" i="15"/>
  <c r="H47" i="15"/>
  <c r="G47" i="15"/>
  <c r="F42" i="15"/>
  <c r="G42" i="15"/>
  <c r="G19" i="15"/>
  <c r="F19" i="15"/>
  <c r="H12" i="15"/>
  <c r="G12" i="15"/>
  <c r="G25" i="15"/>
  <c r="F25" i="15"/>
  <c r="G31" i="15"/>
  <c r="F31" i="15"/>
  <c r="H32" i="15"/>
  <c r="G32" i="15"/>
  <c r="H42" i="15"/>
  <c r="F47" i="15"/>
  <c r="F37" i="15"/>
  <c r="F8" i="15"/>
  <c r="AJ99" i="15"/>
  <c r="AD96" i="15" l="1"/>
  <c r="AD101" i="15" s="1"/>
  <c r="X96" i="15"/>
  <c r="X101" i="15" s="1"/>
  <c r="AK28" i="15"/>
  <c r="AM65" i="15"/>
  <c r="AK68" i="15"/>
  <c r="AL68" i="15" s="1"/>
  <c r="F54" i="15"/>
  <c r="G54" i="15" s="1"/>
  <c r="H57" i="15"/>
  <c r="E34" i="15"/>
  <c r="E20" i="15"/>
  <c r="E58" i="15"/>
  <c r="H53" i="15"/>
  <c r="G53" i="15"/>
  <c r="D9" i="15"/>
  <c r="F9" i="15" s="1"/>
  <c r="D36" i="15"/>
  <c r="F10" i="15"/>
  <c r="D52" i="15"/>
  <c r="AL28" i="15" l="1"/>
  <c r="AJ28" i="15"/>
  <c r="E7" i="15"/>
  <c r="E90" i="15"/>
  <c r="D13" i="16" s="1"/>
  <c r="E82" i="15"/>
  <c r="D12" i="16" s="1"/>
  <c r="E71" i="15"/>
  <c r="D11" i="16" s="1"/>
  <c r="D9" i="16"/>
  <c r="D7" i="16"/>
  <c r="D67" i="15"/>
  <c r="E64" i="15" s="1"/>
  <c r="D10" i="16" s="1"/>
  <c r="D8" i="16"/>
  <c r="D96" i="15" l="1"/>
  <c r="E100" i="15"/>
  <c r="D6" i="16"/>
  <c r="D14" i="16" s="1"/>
  <c r="D100" i="15" l="1"/>
  <c r="L96" i="15"/>
  <c r="L101" i="15" s="1"/>
  <c r="M96" i="15"/>
  <c r="M101" i="15" s="1"/>
  <c r="N96" i="15"/>
  <c r="N101" i="15" s="1"/>
  <c r="AI96" i="15" l="1"/>
  <c r="O96" i="15" l="1"/>
  <c r="O101" i="15" s="1"/>
  <c r="AH96" i="15"/>
  <c r="AH101" i="15" s="1"/>
  <c r="K96" i="15"/>
  <c r="K101" i="15" s="1"/>
  <c r="F96" i="15"/>
  <c r="J96" i="15" l="1"/>
  <c r="J101" i="15" s="1"/>
  <c r="I96" i="15"/>
  <c r="I101" i="15" s="1"/>
  <c r="G96" i="15"/>
  <c r="H96" i="15"/>
  <c r="H101" i="15" s="1"/>
  <c r="AB96" i="15"/>
  <c r="AK84" i="15"/>
  <c r="AL84" i="15" s="1"/>
  <c r="AJ96" i="15" l="1"/>
  <c r="AK96" i="15" s="1"/>
  <c r="AB101" i="15"/>
</calcChain>
</file>

<file path=xl/sharedStrings.xml><?xml version="1.0" encoding="utf-8"?>
<sst xmlns="http://schemas.openxmlformats.org/spreadsheetml/2006/main" count="109" uniqueCount="105">
  <si>
    <t>MONTO (USD)</t>
  </si>
  <si>
    <t>PROYECTO</t>
  </si>
  <si>
    <t>TOTAL</t>
  </si>
  <si>
    <t>#</t>
  </si>
  <si>
    <t>Colectores de Alivio Jorge Piedra y Habas Corral. Parroquia Cochapabamba.</t>
  </si>
  <si>
    <t>EMPRESA PUBLICA METROPOLITANA DE AGUA POTABLE Y SANEAMIENTO</t>
  </si>
  <si>
    <t>PLAZO EJECUCIÓN (meses)</t>
  </si>
  <si>
    <t>Obras Hidráulicas para el control de erosión en la Qda. Carretas, entre Av. Simón Bolívar y la Qda. Santo Domingo.</t>
  </si>
  <si>
    <t>Obras Complementarias de Laminación en quebradas Laderas del Pichincha</t>
  </si>
  <si>
    <t>Colector de Alivio Obispo Diaz, La Gasca y Pambachupa</t>
  </si>
  <si>
    <t>Nuevo Colector Central de Iñaquito</t>
  </si>
  <si>
    <t>Colector Eloy Alfaro Oriental</t>
  </si>
  <si>
    <t>Colector Jipijapa</t>
  </si>
  <si>
    <t>Colector de Alivio Santa Ana</t>
  </si>
  <si>
    <t>Estanques de Laminación en la cuenca de la quebrada Pasocucho.</t>
  </si>
  <si>
    <t>Obras de Mejoramiento del cruce del río Machángara con la Av. Tnte Hugo Ortiz, sector el Calzado</t>
  </si>
  <si>
    <t>Obras de Estabilización de Taludes y Acondicionamiento Ambiental de la Qda. Caupicho.</t>
  </si>
  <si>
    <t>Obras de Control de Escorrentía de la cuenca de la quebrada Caupicho</t>
  </si>
  <si>
    <t>Alcantarillado Pluvial parroquia Amaguaña</t>
  </si>
  <si>
    <t>Alcantarillado Pluvial parroquia Conocoto</t>
  </si>
  <si>
    <t>Alcantarillado Pluvial parroquia Pintag</t>
  </si>
  <si>
    <t>Alcantarillado Pluvial parroquia Alangasí</t>
  </si>
  <si>
    <t>Alcantarillado Pluvial parroquia La Merced</t>
  </si>
  <si>
    <t>Alcantarillado Pluvial parroquia Guangopolo</t>
  </si>
  <si>
    <t>Alcantarillado Pluvial parroquia Nayón</t>
  </si>
  <si>
    <t>Alcantarillado Pluvial parroquia Zámbiza</t>
  </si>
  <si>
    <t>Alcantarillado Pluvial parroquia Llano Chico</t>
  </si>
  <si>
    <t>Alcantarillado Pluvial parroquia Calderón</t>
  </si>
  <si>
    <t>Alcantarillado Pluvial parroquia Cumbayá</t>
  </si>
  <si>
    <t>Alcantarillado Pluvial parroquia Tumbaco</t>
  </si>
  <si>
    <t>Alcantarillado Pluvial parroquia Puembo</t>
  </si>
  <si>
    <t>Alcantarillado Pluvial parroquia Pifo</t>
  </si>
  <si>
    <t>Alcantarillado Pluvial parroquia Tababela</t>
  </si>
  <si>
    <t>Alcantarillado Pluvial parroquia Yaruquí</t>
  </si>
  <si>
    <t>Alcantarillado Pluvial parroquia Checa</t>
  </si>
  <si>
    <t>Alcantarillado Pluvial parroquia El Quinche</t>
  </si>
  <si>
    <t>Alcantarillado Pluvial parroquia Guayllabamba</t>
  </si>
  <si>
    <t>Alcantarillado Pluvial parroquia Lloa</t>
  </si>
  <si>
    <t>Alcantarillado Pluvial parroquia Calacalí</t>
  </si>
  <si>
    <t>Alcantarillado Pluvial parroquia Nono</t>
  </si>
  <si>
    <t>Alcantarillado Pluvial parroquia Nanegalito</t>
  </si>
  <si>
    <t>Alcantarillado Pluvial parroquia Nanegal</t>
  </si>
  <si>
    <t xml:space="preserve">Alcantarillado Pluvial parroquia Pacto </t>
  </si>
  <si>
    <t>Alcantarillado Pluvial parroquia Gualea</t>
  </si>
  <si>
    <t>Alcantarillado Pluvial parroquia Perucho</t>
  </si>
  <si>
    <t>Alcantarillado Pluvial parroquia Chavezpamba</t>
  </si>
  <si>
    <t>Alcantarillado Pluvial parroquia Atahualpa</t>
  </si>
  <si>
    <t>Alcantarillado Pluvial parroquia San José de Minas</t>
  </si>
  <si>
    <t xml:space="preserve">Obras de Laminación parque Metropolitano </t>
  </si>
  <si>
    <t>Colector de Alivio Granados</t>
  </si>
  <si>
    <t>Colector de Alivio Eloy Alfaro Norte</t>
  </si>
  <si>
    <t>Obras de Laminación en Laderas del Ilaló</t>
  </si>
  <si>
    <t>Colector de Alivio Ferroviaria</t>
  </si>
  <si>
    <t>Colector de Alivio Hierba Buena</t>
  </si>
  <si>
    <t>Tanques de Tormenta y colectores Pluviales sector San Juan de Calderón</t>
  </si>
  <si>
    <t>Captaciones en quebradas</t>
  </si>
  <si>
    <t>Sistema de Colectores El Colegio Occidental (se incluye colector Cordova Galarza)</t>
  </si>
  <si>
    <t>Disipador de Energía de la descarga del colector El Colegio.</t>
  </si>
  <si>
    <t>Obras de Mejoramiento de la captación de la Qda. Santa Teresa. Parroquia Pomasqui.</t>
  </si>
  <si>
    <t>DRENAJE PLUVIAL EN EL DISTRITO METROPOLITANO DE QUITO</t>
  </si>
  <si>
    <t>Tanques de Tormenta</t>
  </si>
  <si>
    <t>CUENCA RIO MONJAS</t>
  </si>
  <si>
    <t>CUENCAS EL BATAN - ANGLO FRENCH</t>
  </si>
  <si>
    <t>CUENCA DEL RIO MACHANGARA</t>
  </si>
  <si>
    <t>VALLE DE LOS CHILLOS</t>
  </si>
  <si>
    <t>VALLE DE TUMBACO</t>
  </si>
  <si>
    <t>PARROQUIAS OCCIDENTALES</t>
  </si>
  <si>
    <t>PARROQUIAS NORCENTRALES</t>
  </si>
  <si>
    <t>Alcantarillado Pluvial parroquia Puéllaro</t>
  </si>
  <si>
    <t>SECTOR</t>
  </si>
  <si>
    <t>PARROQUIAS ANEXAS</t>
  </si>
  <si>
    <t>Cuenca Río Monjas</t>
  </si>
  <si>
    <t>Cuencas El Batán Anglo French</t>
  </si>
  <si>
    <t>Cuenca del Río Machángara</t>
  </si>
  <si>
    <t>Parroquias Anexas</t>
  </si>
  <si>
    <t>Valle de Los Chillos</t>
  </si>
  <si>
    <t>Valle de Tumbaco</t>
  </si>
  <si>
    <t>Parroquias Occidentales</t>
  </si>
  <si>
    <t>Parroquias Norcentrales</t>
  </si>
  <si>
    <t>Sistema de Colectores El Colegio Oriental</t>
  </si>
  <si>
    <t>Tanques de Tormenta sectores El Condado - Cotocollao</t>
  </si>
  <si>
    <t>Encauzamiento de la quebrada Garrochal</t>
  </si>
  <si>
    <t>Colector de Alivio Pio Duré</t>
  </si>
  <si>
    <t>Colector de Alivio Luluncoto</t>
  </si>
  <si>
    <t>Colectores de Alivio Sector La Magdalena</t>
  </si>
  <si>
    <t>Mejoramento de las obras de captación de quebradas sector La Argelia</t>
  </si>
  <si>
    <t>Encausamiento del río Machángara entre la Av. Perez Bustamante y Maldonado</t>
  </si>
  <si>
    <t>Colector de Alivio El Morlan</t>
  </si>
  <si>
    <t>Nuevo Colector Sector La Marín</t>
  </si>
  <si>
    <t>Instrumentación Cuenca del Río Monjas</t>
  </si>
  <si>
    <t>Instrumentación Cuenca del Batán - Anglo French</t>
  </si>
  <si>
    <t>Instrumentación Cuenca del Río Machangara</t>
  </si>
  <si>
    <t>Obras de Control de Inundaciones barrio Solanda</t>
  </si>
  <si>
    <t>Trasvase de la quebrada Rumicacha a la quebrada Pasocucho</t>
  </si>
  <si>
    <t>Obras para control de erosión del río Monjas - entre descarga el Colegio y qda. Parcayacu</t>
  </si>
  <si>
    <t>Tanque de Tormenta parque Bicentenario</t>
  </si>
  <si>
    <t>Obras de control de erosión del río Machángara entre calle Susana Letor y Av. Pérez Bustamante</t>
  </si>
  <si>
    <t>Obras de control de erosión y laminación en la quebrada Chusalongo</t>
  </si>
  <si>
    <t>Obras para control de aluviones en la quebrada El Tejado - Comunidad</t>
  </si>
  <si>
    <t>Mejoramiento obras de captación quebrada Caicedo</t>
  </si>
  <si>
    <t>Mejoramiento de estructuras de captación y obras complementarias quebradas San Lorenzo, Yacupugro y Runachanga</t>
  </si>
  <si>
    <t>Captación quebrada Caupicho junto a av. Panamerica Sur, sector Guamaní</t>
  </si>
  <si>
    <t>Estructura de captación y obras complementarias, quebrada Pasocucho, barrio La Independencia</t>
  </si>
  <si>
    <t>Captación y embalse Sector Terranova</t>
  </si>
  <si>
    <t xml:space="preserve">CRONOGRAMA DE INVERSIONES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</si>
</sst>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* #,##0.00_ ;_ &quot;$&quot;* \-#,##0.00_ ;_ &quot;$&quot;* &quot;-&quot;??_ ;_ @_ 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2" borderId="12" xfId="0" applyNumberFormat="1" applyFont="1" applyFill="1" applyBorder="1" applyAlignment="1">
      <alignment horizontal="right" vertical="center"/>
    </xf>
    <xf numFmtId="0" fontId="6" fillId="2" borderId="11" xfId="0" quotePrefix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8" fillId="3" borderId="2" xfId="0" applyNumberFormat="1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/>
    </xf>
    <xf numFmtId="0" fontId="8" fillId="0" borderId="1" xfId="0" quotePrefix="1" applyFont="1" applyBorder="1" applyAlignment="1">
      <alignment horizontal="left" vertical="center" wrapText="1"/>
    </xf>
    <xf numFmtId="0" fontId="7" fillId="0" borderId="7" xfId="0" quotePrefix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horizontal="center" vertical="center"/>
    </xf>
    <xf numFmtId="4" fontId="8" fillId="3" borderId="16" xfId="0" applyNumberFormat="1" applyFont="1" applyFill="1" applyBorder="1" applyAlignment="1">
      <alignment vertical="center"/>
    </xf>
    <xf numFmtId="0" fontId="7" fillId="0" borderId="7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7" xfId="0" applyFont="1" applyBorder="1"/>
    <xf numFmtId="4" fontId="10" fillId="0" borderId="17" xfId="0" applyNumberFormat="1" applyFont="1" applyBorder="1"/>
    <xf numFmtId="0" fontId="7" fillId="5" borderId="15" xfId="0" quotePrefix="1" applyFont="1" applyFill="1" applyBorder="1" applyAlignment="1">
      <alignment vertical="center"/>
    </xf>
    <xf numFmtId="0" fontId="7" fillId="5" borderId="3" xfId="0" quotePrefix="1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4" fontId="9" fillId="7" borderId="1" xfId="0" applyNumberFormat="1" applyFont="1" applyFill="1" applyBorder="1" applyAlignment="1">
      <alignment vertical="center"/>
    </xf>
    <xf numFmtId="4" fontId="8" fillId="7" borderId="1" xfId="0" applyNumberFormat="1" applyFont="1" applyFill="1" applyBorder="1" applyAlignment="1">
      <alignment vertical="center"/>
    </xf>
    <xf numFmtId="4" fontId="8" fillId="7" borderId="4" xfId="0" applyNumberFormat="1" applyFont="1" applyFill="1" applyBorder="1" applyAlignment="1">
      <alignment vertical="center"/>
    </xf>
    <xf numFmtId="44" fontId="2" fillId="0" borderId="0" xfId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4" borderId="0" xfId="1" applyFont="1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4" fontId="8" fillId="8" borderId="1" xfId="0" applyNumberFormat="1" applyFont="1" applyFill="1" applyBorder="1" applyAlignment="1">
      <alignment vertical="center"/>
    </xf>
    <xf numFmtId="4" fontId="8" fillId="8" borderId="2" xfId="0" applyNumberFormat="1" applyFont="1" applyFill="1" applyBorder="1" applyAlignment="1">
      <alignment vertical="center"/>
    </xf>
    <xf numFmtId="4" fontId="8" fillId="8" borderId="6" xfId="0" applyNumberFormat="1" applyFont="1" applyFill="1" applyBorder="1" applyAlignment="1">
      <alignment vertical="center"/>
    </xf>
    <xf numFmtId="4" fontId="8" fillId="8" borderId="4" xfId="0" applyNumberFormat="1" applyFont="1" applyFill="1" applyBorder="1" applyAlignment="1">
      <alignment vertical="center"/>
    </xf>
    <xf numFmtId="4" fontId="8" fillId="8" borderId="16" xfId="0" applyNumberFormat="1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8" fillId="8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10"/>
  <sheetViews>
    <sheetView tabSelected="1" topLeftCell="B1" zoomScale="50" zoomScaleNormal="50" workbookViewId="0">
      <selection activeCell="C11" sqref="C11"/>
    </sheetView>
  </sheetViews>
  <sheetFormatPr baseColWidth="10" defaultColWidth="11.42578125" defaultRowHeight="18.75" x14ac:dyDescent="0.25"/>
  <cols>
    <col min="1" max="1" width="4.7109375" style="1" customWidth="1"/>
    <col min="2" max="2" width="10.7109375" style="3" customWidth="1"/>
    <col min="3" max="3" width="150.7109375" style="1" customWidth="1"/>
    <col min="4" max="4" width="30.85546875" style="1" customWidth="1"/>
    <col min="5" max="5" width="30.7109375" style="1" customWidth="1"/>
    <col min="6" max="6" width="23.42578125" style="1" customWidth="1"/>
    <col min="7" max="7" width="22.42578125" style="1" customWidth="1"/>
    <col min="8" max="8" width="22.28515625" style="1" customWidth="1"/>
    <col min="9" max="9" width="21.5703125" style="1" customWidth="1"/>
    <col min="10" max="10" width="25.85546875" style="1" customWidth="1"/>
    <col min="11" max="14" width="22.7109375" style="1" customWidth="1"/>
    <col min="15" max="15" width="21.85546875" style="1" bestFit="1" customWidth="1"/>
    <col min="16" max="16" width="21.28515625" style="1" customWidth="1"/>
    <col min="17" max="18" width="22.42578125" style="1" customWidth="1"/>
    <col min="19" max="19" width="21.5703125" style="1" customWidth="1"/>
    <col min="20" max="20" width="22.140625" style="1" customWidth="1"/>
    <col min="21" max="22" width="21.85546875" style="1" bestFit="1" customWidth="1"/>
    <col min="23" max="25" width="22.42578125" style="1" bestFit="1" customWidth="1"/>
    <col min="26" max="28" width="23.5703125" style="1" bestFit="1" customWidth="1"/>
    <col min="29" max="30" width="22.42578125" style="1" bestFit="1" customWidth="1"/>
    <col min="31" max="31" width="21.85546875" style="1" bestFit="1" customWidth="1"/>
    <col min="32" max="32" width="23.5703125" style="1" bestFit="1" customWidth="1"/>
    <col min="33" max="35" width="22.42578125" style="1" bestFit="1" customWidth="1"/>
    <col min="36" max="36" width="24.140625" style="1" customWidth="1"/>
    <col min="37" max="37" width="22.85546875" style="1" customWidth="1"/>
    <col min="38" max="38" width="11.42578125" style="1"/>
    <col min="39" max="39" width="17.85546875" style="1" bestFit="1" customWidth="1"/>
    <col min="40" max="16384" width="11.42578125" style="1"/>
  </cols>
  <sheetData>
    <row r="1" spans="2:38" ht="31.5" x14ac:dyDescent="0.25">
      <c r="B1" s="73" t="s">
        <v>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2" spans="2:38" s="5" customFormat="1" ht="24.95" customHeight="1" x14ac:dyDescent="0.25">
      <c r="B2" s="73" t="s">
        <v>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2:38" s="5" customFormat="1" ht="24.95" customHeight="1" x14ac:dyDescent="0.25">
      <c r="B3" s="73" t="s">
        <v>104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2:38" ht="39.950000000000003" customHeight="1" thickBot="1" x14ac:dyDescent="0.3">
      <c r="B4" s="7"/>
      <c r="C4" s="7"/>
    </row>
    <row r="5" spans="2:38" ht="24.95" customHeight="1" x14ac:dyDescent="0.25">
      <c r="B5" s="78" t="s">
        <v>3</v>
      </c>
      <c r="C5" s="80" t="s">
        <v>1</v>
      </c>
      <c r="D5" s="82" t="s">
        <v>0</v>
      </c>
      <c r="E5" s="74" t="s">
        <v>6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7"/>
    </row>
    <row r="6" spans="2:38" ht="24.95" customHeight="1" x14ac:dyDescent="0.25">
      <c r="B6" s="79"/>
      <c r="C6" s="81"/>
      <c r="D6" s="83"/>
      <c r="E6" s="75"/>
      <c r="F6" s="55">
        <v>1</v>
      </c>
      <c r="G6" s="55">
        <v>2</v>
      </c>
      <c r="H6" s="55">
        <v>3</v>
      </c>
      <c r="I6" s="6">
        <v>4</v>
      </c>
      <c r="J6" s="6">
        <v>5</v>
      </c>
      <c r="K6" s="54">
        <v>6</v>
      </c>
      <c r="L6" s="54">
        <v>7</v>
      </c>
      <c r="M6" s="54">
        <v>8</v>
      </c>
      <c r="N6" s="54">
        <v>9</v>
      </c>
      <c r="O6" s="54">
        <v>10</v>
      </c>
      <c r="P6" s="54">
        <v>11</v>
      </c>
      <c r="Q6" s="54">
        <v>12</v>
      </c>
      <c r="R6" s="54">
        <v>13</v>
      </c>
      <c r="S6" s="54">
        <v>14</v>
      </c>
      <c r="T6" s="54">
        <v>15</v>
      </c>
      <c r="U6" s="54">
        <v>16</v>
      </c>
      <c r="V6" s="54">
        <v>17</v>
      </c>
      <c r="W6" s="54">
        <v>18</v>
      </c>
      <c r="X6" s="54">
        <v>19</v>
      </c>
      <c r="Y6" s="54">
        <v>20</v>
      </c>
      <c r="Z6" s="54">
        <v>21</v>
      </c>
      <c r="AA6" s="54">
        <v>22</v>
      </c>
      <c r="AB6" s="54">
        <v>23</v>
      </c>
      <c r="AC6" s="54">
        <v>24</v>
      </c>
      <c r="AD6" s="54">
        <v>25</v>
      </c>
      <c r="AE6" s="54">
        <v>26</v>
      </c>
      <c r="AF6" s="54">
        <v>27</v>
      </c>
      <c r="AG6" s="54">
        <v>28</v>
      </c>
      <c r="AH6" s="54">
        <v>29</v>
      </c>
      <c r="AI6" s="54">
        <v>30</v>
      </c>
    </row>
    <row r="7" spans="2:38" ht="45" customHeight="1" x14ac:dyDescent="0.25">
      <c r="B7" s="51" t="s">
        <v>61</v>
      </c>
      <c r="C7" s="52"/>
      <c r="D7" s="13"/>
      <c r="E7" s="24">
        <f>+SUM(D8:D19)</f>
        <v>176424839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6"/>
      <c r="AK7" s="4"/>
    </row>
    <row r="8" spans="2:38" ht="45" customHeight="1" x14ac:dyDescent="0.25">
      <c r="B8" s="30">
        <v>1</v>
      </c>
      <c r="C8" s="31" t="s">
        <v>7</v>
      </c>
      <c r="D8" s="58">
        <v>980000</v>
      </c>
      <c r="E8" s="14"/>
      <c r="F8" s="66">
        <f>+D8</f>
        <v>980000</v>
      </c>
      <c r="G8" s="66"/>
      <c r="H8" s="66"/>
      <c r="I8" s="66"/>
      <c r="J8" s="66"/>
      <c r="K8" s="66"/>
      <c r="L8" s="66"/>
      <c r="M8" s="66"/>
      <c r="N8" s="66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/>
      <c r="AK8" s="4">
        <f>SUM(F8:AI8)</f>
        <v>980000</v>
      </c>
      <c r="AL8" s="1" t="str">
        <f>IF(AK8=D8,"Ok","Fail")</f>
        <v>Ok</v>
      </c>
    </row>
    <row r="9" spans="2:38" ht="45" customHeight="1" x14ac:dyDescent="0.25">
      <c r="B9" s="30">
        <v>2</v>
      </c>
      <c r="C9" s="31" t="s">
        <v>57</v>
      </c>
      <c r="D9" s="59">
        <f>1200000+235000</f>
        <v>1435000</v>
      </c>
      <c r="E9" s="29"/>
      <c r="F9" s="66">
        <f>+D9</f>
        <v>1435000</v>
      </c>
      <c r="G9" s="66"/>
      <c r="H9" s="71"/>
      <c r="I9" s="66"/>
      <c r="J9" s="66"/>
      <c r="K9" s="66"/>
      <c r="L9" s="66"/>
      <c r="M9" s="66"/>
      <c r="N9" s="66"/>
      <c r="O9" s="66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8"/>
      <c r="AK9" s="4">
        <f t="shared" ref="AK9:AK17" si="0">SUM(F9:AI9)</f>
        <v>1435000</v>
      </c>
      <c r="AL9" s="1" t="str">
        <f t="shared" ref="AL9:AL17" si="1">IF(AK9=D9,"Ok","Fail")</f>
        <v>Ok</v>
      </c>
    </row>
    <row r="10" spans="2:38" ht="45" customHeight="1" x14ac:dyDescent="0.25">
      <c r="B10" s="30">
        <v>3</v>
      </c>
      <c r="C10" s="33" t="s">
        <v>58</v>
      </c>
      <c r="D10" s="58">
        <v>225000</v>
      </c>
      <c r="E10" s="14"/>
      <c r="F10" s="66">
        <f>+D10</f>
        <v>225000</v>
      </c>
      <c r="G10" s="66"/>
      <c r="H10" s="66"/>
      <c r="I10" s="66"/>
      <c r="J10" s="66"/>
      <c r="K10" s="66"/>
      <c r="L10" s="66"/>
      <c r="M10" s="66"/>
      <c r="N10" s="66"/>
      <c r="O10" s="66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K10" s="4">
        <f t="shared" si="0"/>
        <v>225000</v>
      </c>
      <c r="AL10" s="1" t="str">
        <f t="shared" si="1"/>
        <v>Ok</v>
      </c>
    </row>
    <row r="11" spans="2:38" ht="45" customHeight="1" x14ac:dyDescent="0.25">
      <c r="B11" s="30">
        <v>4</v>
      </c>
      <c r="C11" s="33" t="s">
        <v>55</v>
      </c>
      <c r="D11" s="34">
        <v>2000000</v>
      </c>
      <c r="E11" s="14"/>
      <c r="F11" s="66"/>
      <c r="G11" s="66"/>
      <c r="H11" s="66"/>
      <c r="I11" s="66">
        <f>0.25*D11</f>
        <v>500000</v>
      </c>
      <c r="J11" s="66">
        <f>0.25*D11</f>
        <v>500000</v>
      </c>
      <c r="K11" s="66">
        <f>0.25*D11</f>
        <v>500000</v>
      </c>
      <c r="L11" s="66">
        <f>0.25*D11</f>
        <v>500000</v>
      </c>
      <c r="M11" s="66"/>
      <c r="N11" s="66"/>
      <c r="O11" s="66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8"/>
      <c r="AK11" s="4">
        <f t="shared" si="0"/>
        <v>2000000</v>
      </c>
      <c r="AL11" s="1" t="str">
        <f t="shared" si="1"/>
        <v>Ok</v>
      </c>
    </row>
    <row r="12" spans="2:38" ht="45" customHeight="1" x14ac:dyDescent="0.25">
      <c r="B12" s="30">
        <v>5</v>
      </c>
      <c r="C12" s="35" t="s">
        <v>4</v>
      </c>
      <c r="D12" s="28">
        <v>2120000</v>
      </c>
      <c r="E12" s="29"/>
      <c r="F12" s="66"/>
      <c r="G12" s="66">
        <f>0.3*D12</f>
        <v>636000</v>
      </c>
      <c r="H12" s="66">
        <f>0.7*D12</f>
        <v>1484000</v>
      </c>
      <c r="I12" s="66"/>
      <c r="J12" s="66"/>
      <c r="K12" s="66"/>
      <c r="L12" s="66"/>
      <c r="M12" s="66"/>
      <c r="N12" s="66"/>
      <c r="O12" s="66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/>
      <c r="AK12" s="4">
        <f t="shared" si="0"/>
        <v>2120000</v>
      </c>
      <c r="AL12" s="1" t="str">
        <f t="shared" si="1"/>
        <v>Ok</v>
      </c>
    </row>
    <row r="13" spans="2:38" ht="45" customHeight="1" x14ac:dyDescent="0.25">
      <c r="B13" s="30">
        <v>6</v>
      </c>
      <c r="C13" s="35" t="s">
        <v>56</v>
      </c>
      <c r="D13" s="28">
        <v>40000000</v>
      </c>
      <c r="E13" s="38"/>
      <c r="F13" s="66"/>
      <c r="G13" s="69"/>
      <c r="H13" s="69"/>
      <c r="I13" s="69"/>
      <c r="J13" s="69"/>
      <c r="K13" s="69"/>
      <c r="L13" s="69"/>
      <c r="M13" s="69"/>
      <c r="N13" s="69"/>
      <c r="O13" s="69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>
        <v>55129</v>
      </c>
      <c r="AC13" s="70">
        <v>2504379</v>
      </c>
      <c r="AD13" s="70">
        <v>6938436</v>
      </c>
      <c r="AE13" s="70">
        <v>14504379</v>
      </c>
      <c r="AF13" s="70">
        <f>16000000-2323</f>
        <v>15997677</v>
      </c>
      <c r="AG13" s="70"/>
      <c r="AH13" s="67"/>
      <c r="AI13" s="68"/>
      <c r="AK13" s="4">
        <f t="shared" si="0"/>
        <v>40000000</v>
      </c>
      <c r="AL13" s="1" t="str">
        <f t="shared" si="1"/>
        <v>Ok</v>
      </c>
    </row>
    <row r="14" spans="2:38" ht="45" customHeight="1" x14ac:dyDescent="0.25">
      <c r="B14" s="36">
        <v>7</v>
      </c>
      <c r="C14" s="35" t="s">
        <v>79</v>
      </c>
      <c r="D14" s="37">
        <v>15000000</v>
      </c>
      <c r="E14" s="38"/>
      <c r="F14" s="66"/>
      <c r="G14" s="69"/>
      <c r="H14" s="69"/>
      <c r="I14" s="69"/>
      <c r="J14" s="69"/>
      <c r="K14" s="69"/>
      <c r="L14" s="69"/>
      <c r="M14" s="69"/>
      <c r="N14" s="69"/>
      <c r="O14" s="69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>
        <v>5000000</v>
      </c>
      <c r="AA14" s="70">
        <v>10000000</v>
      </c>
      <c r="AB14" s="70"/>
      <c r="AC14" s="70"/>
      <c r="AD14" s="70"/>
      <c r="AE14" s="70"/>
      <c r="AF14" s="70"/>
      <c r="AG14" s="70"/>
      <c r="AH14" s="67"/>
      <c r="AI14" s="68"/>
      <c r="AK14" s="4">
        <f t="shared" si="0"/>
        <v>15000000</v>
      </c>
      <c r="AL14" s="1" t="str">
        <f t="shared" si="1"/>
        <v>Ok</v>
      </c>
    </row>
    <row r="15" spans="2:38" ht="45" customHeight="1" x14ac:dyDescent="0.25">
      <c r="B15" s="36">
        <v>8</v>
      </c>
      <c r="C15" s="35" t="s">
        <v>8</v>
      </c>
      <c r="D15" s="37">
        <v>15145000</v>
      </c>
      <c r="E15" s="38"/>
      <c r="F15" s="66"/>
      <c r="G15" s="69"/>
      <c r="H15" s="69"/>
      <c r="I15" s="69">
        <f>0.25*D15</f>
        <v>3786250</v>
      </c>
      <c r="J15" s="69">
        <f>0.25*D15</f>
        <v>3786250</v>
      </c>
      <c r="K15" s="69">
        <f>0.25*D15</f>
        <v>3786250</v>
      </c>
      <c r="L15" s="69">
        <f>0.25*D15</f>
        <v>3786250</v>
      </c>
      <c r="M15" s="69"/>
      <c r="N15" s="69"/>
      <c r="O15" s="69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67"/>
      <c r="AI15" s="68"/>
      <c r="AK15" s="4">
        <f t="shared" si="0"/>
        <v>15145000</v>
      </c>
      <c r="AL15" s="1" t="str">
        <f t="shared" si="1"/>
        <v>Ok</v>
      </c>
    </row>
    <row r="16" spans="2:38" ht="45" customHeight="1" x14ac:dyDescent="0.25">
      <c r="B16" s="36">
        <v>9</v>
      </c>
      <c r="C16" s="35" t="s">
        <v>89</v>
      </c>
      <c r="D16" s="37">
        <v>2000000</v>
      </c>
      <c r="E16" s="38"/>
      <c r="F16" s="66"/>
      <c r="G16" s="69"/>
      <c r="H16" s="69"/>
      <c r="I16" s="69">
        <f>0.5*D16</f>
        <v>1000000</v>
      </c>
      <c r="J16" s="69">
        <f>0.5*D16</f>
        <v>1000000</v>
      </c>
      <c r="K16" s="69"/>
      <c r="L16" s="69"/>
      <c r="M16" s="69"/>
      <c r="N16" s="69"/>
      <c r="O16" s="69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67"/>
      <c r="AI16" s="68"/>
      <c r="AK16" s="4">
        <f t="shared" si="0"/>
        <v>2000000</v>
      </c>
      <c r="AL16" s="1" t="str">
        <f t="shared" si="1"/>
        <v>Ok</v>
      </c>
    </row>
    <row r="17" spans="2:39" ht="45" customHeight="1" x14ac:dyDescent="0.25">
      <c r="B17" s="36">
        <v>10</v>
      </c>
      <c r="C17" s="31" t="s">
        <v>95</v>
      </c>
      <c r="D17" s="37">
        <v>20000000</v>
      </c>
      <c r="E17" s="38"/>
      <c r="F17" s="72"/>
      <c r="G17" s="69"/>
      <c r="H17" s="69">
        <f>+D17*0.2-326312</f>
        <v>3673688</v>
      </c>
      <c r="I17" s="69">
        <f>+D17*0.55</f>
        <v>11000000</v>
      </c>
      <c r="J17" s="69">
        <f>+D17*0.25+326312</f>
        <v>5326312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6"/>
      <c r="AI17" s="68"/>
      <c r="AK17" s="4">
        <f t="shared" si="0"/>
        <v>20000000</v>
      </c>
      <c r="AL17" s="1" t="str">
        <f t="shared" si="1"/>
        <v>Ok</v>
      </c>
    </row>
    <row r="18" spans="2:39" ht="45" customHeight="1" x14ac:dyDescent="0.25">
      <c r="B18" s="36">
        <v>11</v>
      </c>
      <c r="C18" s="31" t="s">
        <v>80</v>
      </c>
      <c r="D18" s="37">
        <v>76019839</v>
      </c>
      <c r="E18" s="38"/>
      <c r="F18" s="72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>
        <f>2504379+2323-4379</f>
        <v>2502323</v>
      </c>
      <c r="AG18" s="70">
        <v>24504379</v>
      </c>
      <c r="AH18" s="67">
        <v>24504379</v>
      </c>
      <c r="AI18" s="68">
        <f>24504379+4379</f>
        <v>24508758</v>
      </c>
      <c r="AK18" s="4">
        <f>SUM(F18:AI18)</f>
        <v>76019839</v>
      </c>
      <c r="AL18" s="1" t="str">
        <f>IF(AK18=D18,"Ok","Fail")</f>
        <v>Ok</v>
      </c>
    </row>
    <row r="19" spans="2:39" ht="45" customHeight="1" x14ac:dyDescent="0.25">
      <c r="B19" s="56">
        <v>12</v>
      </c>
      <c r="C19" s="31" t="s">
        <v>94</v>
      </c>
      <c r="D19" s="60">
        <v>1500000</v>
      </c>
      <c r="E19" s="38"/>
      <c r="F19" s="66">
        <f>+D19*0.25</f>
        <v>375000</v>
      </c>
      <c r="G19" s="69">
        <f>+D19*0.75</f>
        <v>1125000</v>
      </c>
      <c r="H19" s="69"/>
      <c r="I19" s="69"/>
      <c r="J19" s="69"/>
      <c r="K19" s="69"/>
      <c r="L19" s="69"/>
      <c r="M19" s="69"/>
      <c r="N19" s="69"/>
      <c r="O19" s="69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67"/>
      <c r="AI19" s="68"/>
      <c r="AK19" s="4">
        <f t="shared" ref="AK19" si="2">SUM(F19:AI19)</f>
        <v>1500000</v>
      </c>
      <c r="AL19" s="1" t="str">
        <f t="shared" ref="AL19" si="3">IF(AK19=D19,"Ok","Fail")</f>
        <v>Ok</v>
      </c>
    </row>
    <row r="20" spans="2:39" ht="45" customHeight="1" x14ac:dyDescent="0.25">
      <c r="B20" s="51" t="s">
        <v>62</v>
      </c>
      <c r="C20" s="52"/>
      <c r="D20" s="37"/>
      <c r="E20" s="24">
        <f>+SUM(D21:D33)</f>
        <v>160420000</v>
      </c>
      <c r="F20" s="15"/>
      <c r="G20" s="15"/>
      <c r="H20" s="15"/>
      <c r="I20" s="15"/>
      <c r="J20" s="21"/>
      <c r="K20" s="21"/>
      <c r="L20" s="21"/>
      <c r="M20" s="21"/>
      <c r="N20" s="21"/>
      <c r="O20" s="21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25"/>
      <c r="AI20" s="26"/>
      <c r="AK20" s="64"/>
    </row>
    <row r="21" spans="2:39" ht="45" customHeight="1" x14ac:dyDescent="0.25">
      <c r="B21" s="30">
        <v>1</v>
      </c>
      <c r="C21" s="31" t="s">
        <v>9</v>
      </c>
      <c r="D21" s="32">
        <v>2000000</v>
      </c>
      <c r="E21" s="14"/>
      <c r="F21" s="66"/>
      <c r="G21" s="66"/>
      <c r="H21" s="66"/>
      <c r="I21" s="66">
        <f>0.45*D21</f>
        <v>900000</v>
      </c>
      <c r="J21" s="66">
        <f>0.55*D21</f>
        <v>1100000</v>
      </c>
      <c r="K21" s="66"/>
      <c r="L21" s="66"/>
      <c r="M21" s="66"/>
      <c r="N21" s="66"/>
      <c r="O21" s="66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K21" s="4">
        <f t="shared" ref="AK21" si="4">SUM(F21:AI21)</f>
        <v>2000000</v>
      </c>
      <c r="AL21" s="1" t="str">
        <f t="shared" ref="AL21" si="5">IF(AK21=D21,"Ok","Fail")</f>
        <v>Ok</v>
      </c>
    </row>
    <row r="22" spans="2:39" ht="45" customHeight="1" x14ac:dyDescent="0.25">
      <c r="B22" s="30">
        <v>2</v>
      </c>
      <c r="C22" s="31" t="s">
        <v>10</v>
      </c>
      <c r="D22" s="13">
        <v>51000000</v>
      </c>
      <c r="E22" s="29"/>
      <c r="F22" s="66"/>
      <c r="G22" s="66"/>
      <c r="H22" s="72"/>
      <c r="I22" s="66"/>
      <c r="J22" s="66"/>
      <c r="K22" s="66"/>
      <c r="L22" s="66"/>
      <c r="M22" s="66"/>
      <c r="N22" s="66"/>
      <c r="O22" s="66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>
        <v>10000000</v>
      </c>
      <c r="AC22" s="67">
        <v>10000000</v>
      </c>
      <c r="AD22" s="67">
        <f>15000000-4379</f>
        <v>14995621</v>
      </c>
      <c r="AE22" s="67">
        <v>10000000</v>
      </c>
      <c r="AF22" s="67">
        <f>6000000+4379</f>
        <v>6004379</v>
      </c>
      <c r="AG22" s="67"/>
      <c r="AH22" s="67"/>
      <c r="AI22" s="68"/>
      <c r="AK22" s="4">
        <f t="shared" ref="AK22:AK33" si="6">SUM(F22:AI22)</f>
        <v>51000000</v>
      </c>
      <c r="AL22" s="1" t="str">
        <f t="shared" ref="AL22:AL33" si="7">IF(AK22=D22,"Ok","Fail")</f>
        <v>Ok</v>
      </c>
    </row>
    <row r="23" spans="2:39" ht="45" customHeight="1" x14ac:dyDescent="0.25">
      <c r="B23" s="30">
        <v>3</v>
      </c>
      <c r="C23" s="31" t="s">
        <v>12</v>
      </c>
      <c r="D23" s="13">
        <v>2500000</v>
      </c>
      <c r="E23" s="29"/>
      <c r="F23" s="66"/>
      <c r="G23" s="66"/>
      <c r="H23" s="72"/>
      <c r="I23" s="66"/>
      <c r="J23" s="66"/>
      <c r="K23" s="66"/>
      <c r="L23" s="66"/>
      <c r="M23" s="66"/>
      <c r="N23" s="66"/>
      <c r="O23" s="66"/>
      <c r="P23" s="67"/>
      <c r="Q23" s="67"/>
      <c r="R23" s="67"/>
      <c r="S23" s="67"/>
      <c r="T23" s="67"/>
      <c r="U23" s="67"/>
      <c r="V23" s="67">
        <v>2500000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K23" s="4">
        <f t="shared" si="6"/>
        <v>2500000</v>
      </c>
      <c r="AL23" s="1" t="str">
        <f t="shared" si="7"/>
        <v>Ok</v>
      </c>
    </row>
    <row r="24" spans="2:39" ht="45" customHeight="1" x14ac:dyDescent="0.25">
      <c r="B24" s="30">
        <v>4</v>
      </c>
      <c r="C24" s="31" t="s">
        <v>49</v>
      </c>
      <c r="D24" s="13">
        <v>5000000</v>
      </c>
      <c r="E24" s="29"/>
      <c r="F24" s="66"/>
      <c r="G24" s="66"/>
      <c r="H24" s="66">
        <f>0.25*D24</f>
        <v>1250000</v>
      </c>
      <c r="I24" s="66">
        <f>0.75*D24</f>
        <v>3750000</v>
      </c>
      <c r="J24" s="66"/>
      <c r="K24" s="66"/>
      <c r="L24" s="66"/>
      <c r="M24" s="66"/>
      <c r="N24" s="66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K24" s="4">
        <f t="shared" si="6"/>
        <v>5000000</v>
      </c>
      <c r="AL24" s="1" t="str">
        <f t="shared" si="7"/>
        <v>Ok</v>
      </c>
    </row>
    <row r="25" spans="2:39" ht="45" customHeight="1" x14ac:dyDescent="0.25">
      <c r="B25" s="30">
        <v>5</v>
      </c>
      <c r="C25" s="31" t="s">
        <v>50</v>
      </c>
      <c r="D25" s="59">
        <v>5000000</v>
      </c>
      <c r="E25" s="29"/>
      <c r="F25" s="66">
        <f>D25*0.6</f>
        <v>3000000</v>
      </c>
      <c r="G25" s="66">
        <f>0.4*D25</f>
        <v>2000000</v>
      </c>
      <c r="H25" s="72"/>
      <c r="I25" s="66"/>
      <c r="J25" s="66"/>
      <c r="K25" s="66"/>
      <c r="L25" s="66"/>
      <c r="M25" s="66"/>
      <c r="N25" s="66"/>
      <c r="O25" s="66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K25" s="4">
        <f t="shared" si="6"/>
        <v>5000000</v>
      </c>
      <c r="AL25" s="1" t="str">
        <f t="shared" si="7"/>
        <v>Ok</v>
      </c>
    </row>
    <row r="26" spans="2:39" ht="45" customHeight="1" x14ac:dyDescent="0.25">
      <c r="B26" s="30">
        <v>6</v>
      </c>
      <c r="C26" s="31" t="s">
        <v>11</v>
      </c>
      <c r="D26" s="13">
        <v>3000000</v>
      </c>
      <c r="E26" s="29"/>
      <c r="F26" s="66"/>
      <c r="G26" s="66"/>
      <c r="H26" s="72"/>
      <c r="I26" s="66"/>
      <c r="J26" s="66"/>
      <c r="K26" s="66"/>
      <c r="L26" s="66"/>
      <c r="M26" s="66"/>
      <c r="N26" s="66"/>
      <c r="O26" s="66"/>
      <c r="P26" s="67"/>
      <c r="Q26" s="67"/>
      <c r="R26" s="67"/>
      <c r="S26" s="67"/>
      <c r="T26" s="67"/>
      <c r="U26" s="67"/>
      <c r="V26" s="67"/>
      <c r="W26" s="67"/>
      <c r="X26" s="67">
        <v>1500000</v>
      </c>
      <c r="Y26" s="67">
        <v>1500000</v>
      </c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K26" s="4">
        <f t="shared" si="6"/>
        <v>3000000</v>
      </c>
      <c r="AL26" s="1" t="str">
        <f t="shared" si="7"/>
        <v>Ok</v>
      </c>
    </row>
    <row r="27" spans="2:39" ht="45" customHeight="1" x14ac:dyDescent="0.25">
      <c r="B27" s="30">
        <v>7</v>
      </c>
      <c r="C27" s="31" t="s">
        <v>87</v>
      </c>
      <c r="D27" s="13">
        <v>3000000</v>
      </c>
      <c r="E27" s="29"/>
      <c r="F27" s="66"/>
      <c r="G27" s="66"/>
      <c r="H27" s="72"/>
      <c r="I27" s="66"/>
      <c r="J27" s="66"/>
      <c r="K27" s="66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7">
        <v>1500000</v>
      </c>
      <c r="Y27" s="67">
        <v>1500000</v>
      </c>
      <c r="Z27" s="67"/>
      <c r="AA27" s="67"/>
      <c r="AB27" s="67"/>
      <c r="AC27" s="67"/>
      <c r="AD27" s="67"/>
      <c r="AE27" s="67"/>
      <c r="AF27" s="67"/>
      <c r="AG27" s="67"/>
      <c r="AH27" s="67"/>
      <c r="AI27" s="68"/>
      <c r="AK27" s="4">
        <f t="shared" si="6"/>
        <v>3000000</v>
      </c>
      <c r="AL27" s="1" t="str">
        <f t="shared" si="7"/>
        <v>Ok</v>
      </c>
    </row>
    <row r="28" spans="2:39" ht="45" customHeight="1" x14ac:dyDescent="0.25">
      <c r="B28" s="30">
        <v>8</v>
      </c>
      <c r="C28" s="33" t="s">
        <v>60</v>
      </c>
      <c r="D28" s="34">
        <v>76500000</v>
      </c>
      <c r="E28" s="14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7"/>
      <c r="S28" s="67"/>
      <c r="T28" s="67"/>
      <c r="U28" s="67"/>
      <c r="V28" s="67">
        <v>611895</v>
      </c>
      <c r="W28" s="67">
        <v>8000000</v>
      </c>
      <c r="X28" s="67">
        <f>5504379-4379</f>
        <v>5500000</v>
      </c>
      <c r="Y28" s="67">
        <v>6504379</v>
      </c>
      <c r="Z28" s="67">
        <v>14809025</v>
      </c>
      <c r="AA28" s="67">
        <v>14504379</v>
      </c>
      <c r="AB28" s="67">
        <v>12000000</v>
      </c>
      <c r="AC28" s="67">
        <v>12000000</v>
      </c>
      <c r="AD28" s="67">
        <f>2565243+700+4379</f>
        <v>2570322</v>
      </c>
      <c r="AE28" s="67"/>
      <c r="AF28" s="67"/>
      <c r="AG28" s="67"/>
      <c r="AH28" s="67"/>
      <c r="AI28" s="68"/>
      <c r="AJ28" s="4">
        <f>+D28-AK28</f>
        <v>0</v>
      </c>
      <c r="AK28" s="4">
        <f t="shared" si="6"/>
        <v>76500000</v>
      </c>
      <c r="AL28" s="1" t="str">
        <f t="shared" si="7"/>
        <v>Ok</v>
      </c>
      <c r="AM28" s="4"/>
    </row>
    <row r="29" spans="2:39" ht="45" customHeight="1" x14ac:dyDescent="0.25">
      <c r="B29" s="30">
        <v>9</v>
      </c>
      <c r="C29" s="35" t="s">
        <v>48</v>
      </c>
      <c r="D29" s="28">
        <v>5000000</v>
      </c>
      <c r="E29" s="29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67"/>
      <c r="R29" s="67"/>
      <c r="S29" s="67"/>
      <c r="T29" s="67"/>
      <c r="U29" s="67"/>
      <c r="V29" s="67">
        <v>2500000</v>
      </c>
      <c r="W29" s="67">
        <v>1504379</v>
      </c>
      <c r="X29" s="67">
        <f>1000000-4379</f>
        <v>995621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K29" s="4">
        <f t="shared" si="6"/>
        <v>5000000</v>
      </c>
      <c r="AL29" s="1" t="str">
        <f t="shared" si="7"/>
        <v>Ok</v>
      </c>
    </row>
    <row r="30" spans="2:39" ht="45" customHeight="1" x14ac:dyDescent="0.25">
      <c r="B30" s="36">
        <v>10</v>
      </c>
      <c r="C30" s="35" t="s">
        <v>90</v>
      </c>
      <c r="D30" s="37">
        <v>2000000</v>
      </c>
      <c r="E30" s="38"/>
      <c r="F30" s="66"/>
      <c r="G30" s="66"/>
      <c r="H30" s="66"/>
      <c r="I30" s="66"/>
      <c r="J30" s="69"/>
      <c r="K30" s="69"/>
      <c r="L30" s="69"/>
      <c r="M30" s="69"/>
      <c r="N30" s="69"/>
      <c r="O30" s="69"/>
      <c r="P30" s="70"/>
      <c r="Q30" s="70"/>
      <c r="R30" s="70"/>
      <c r="S30" s="70"/>
      <c r="T30" s="70"/>
      <c r="U30" s="70">
        <v>607516</v>
      </c>
      <c r="V30" s="70">
        <f>+D30-U30</f>
        <v>1392484</v>
      </c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67"/>
      <c r="AI30" s="68"/>
      <c r="AK30" s="4">
        <f t="shared" si="6"/>
        <v>2000000</v>
      </c>
      <c r="AL30" s="1" t="str">
        <f t="shared" si="7"/>
        <v>Ok</v>
      </c>
    </row>
    <row r="31" spans="2:39" ht="45" customHeight="1" x14ac:dyDescent="0.25">
      <c r="B31" s="30">
        <v>11</v>
      </c>
      <c r="C31" s="35" t="s">
        <v>98</v>
      </c>
      <c r="D31" s="60">
        <v>3630000</v>
      </c>
      <c r="E31" s="38"/>
      <c r="F31" s="66">
        <f>0.25*D31</f>
        <v>907500</v>
      </c>
      <c r="G31" s="69">
        <f>0.75*D31</f>
        <v>2722500</v>
      </c>
      <c r="H31" s="69"/>
      <c r="I31" s="69"/>
      <c r="J31" s="69"/>
      <c r="K31" s="69"/>
      <c r="L31" s="69"/>
      <c r="M31" s="69"/>
      <c r="N31" s="69"/>
      <c r="O31" s="69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67"/>
      <c r="AI31" s="68"/>
      <c r="AK31" s="4">
        <f t="shared" si="6"/>
        <v>3630000</v>
      </c>
      <c r="AL31" s="1" t="str">
        <f t="shared" si="7"/>
        <v>Ok</v>
      </c>
    </row>
    <row r="32" spans="2:39" ht="45" customHeight="1" x14ac:dyDescent="0.25">
      <c r="B32" s="36">
        <v>12</v>
      </c>
      <c r="C32" s="35" t="s">
        <v>99</v>
      </c>
      <c r="D32" s="60">
        <v>1090000</v>
      </c>
      <c r="E32" s="38"/>
      <c r="F32" s="66"/>
      <c r="G32" s="66">
        <f>0.8*D32</f>
        <v>872000</v>
      </c>
      <c r="H32" s="69">
        <f>0.2*D32</f>
        <v>218000</v>
      </c>
      <c r="I32" s="69"/>
      <c r="J32" s="69"/>
      <c r="K32" s="69"/>
      <c r="L32" s="69"/>
      <c r="M32" s="69"/>
      <c r="N32" s="69"/>
      <c r="O32" s="69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67"/>
      <c r="AI32" s="68"/>
      <c r="AK32" s="4">
        <f t="shared" si="6"/>
        <v>1090000</v>
      </c>
      <c r="AL32" s="1" t="str">
        <f t="shared" si="7"/>
        <v>Ok</v>
      </c>
    </row>
    <row r="33" spans="2:38" ht="45" customHeight="1" x14ac:dyDescent="0.25">
      <c r="B33" s="30">
        <v>13</v>
      </c>
      <c r="C33" s="35" t="s">
        <v>100</v>
      </c>
      <c r="D33" s="60">
        <v>700000</v>
      </c>
      <c r="E33" s="38"/>
      <c r="F33" s="66"/>
      <c r="G33" s="66">
        <v>700000</v>
      </c>
      <c r="H33" s="69"/>
      <c r="I33" s="69"/>
      <c r="J33" s="69"/>
      <c r="K33" s="69"/>
      <c r="L33" s="69"/>
      <c r="M33" s="69"/>
      <c r="N33" s="69"/>
      <c r="O33" s="69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67"/>
      <c r="AI33" s="68"/>
      <c r="AK33" s="4">
        <f t="shared" si="6"/>
        <v>700000</v>
      </c>
      <c r="AL33" s="1" t="str">
        <f t="shared" si="7"/>
        <v>Ok</v>
      </c>
    </row>
    <row r="34" spans="2:38" ht="45" customHeight="1" x14ac:dyDescent="0.25">
      <c r="B34" s="51" t="s">
        <v>63</v>
      </c>
      <c r="C34" s="52"/>
      <c r="D34" s="37"/>
      <c r="E34" s="24">
        <f>+SUM(D35:D57)</f>
        <v>229925000</v>
      </c>
      <c r="F34" s="15"/>
      <c r="G34" s="21"/>
      <c r="H34" s="21"/>
      <c r="I34" s="21"/>
      <c r="J34" s="21"/>
      <c r="K34" s="21"/>
      <c r="L34" s="21"/>
      <c r="M34" s="21"/>
      <c r="N34" s="21"/>
      <c r="O34" s="21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25"/>
      <c r="AI34" s="26"/>
      <c r="AK34" s="65"/>
    </row>
    <row r="35" spans="2:38" ht="45" customHeight="1" x14ac:dyDescent="0.25">
      <c r="B35" s="22">
        <v>1</v>
      </c>
      <c r="C35" s="12" t="s">
        <v>13</v>
      </c>
      <c r="D35" s="13">
        <v>15000000</v>
      </c>
      <c r="E35" s="14"/>
      <c r="F35" s="66"/>
      <c r="G35" s="66"/>
      <c r="H35" s="66"/>
      <c r="I35" s="66"/>
      <c r="J35" s="66"/>
      <c r="K35" s="66"/>
      <c r="L35" s="66">
        <f>0.25*D35</f>
        <v>3750000</v>
      </c>
      <c r="M35" s="66">
        <f>0.5*D35</f>
        <v>7500000</v>
      </c>
      <c r="N35" s="66">
        <f>0.25*D35</f>
        <v>3750000</v>
      </c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K35" s="4">
        <f t="shared" ref="AK35" si="8">SUM(F35:AI35)</f>
        <v>15000000</v>
      </c>
      <c r="AL35" s="1" t="str">
        <f t="shared" ref="AL35" si="9">IF(AK35=D35,"Ok","Fail")</f>
        <v>Ok</v>
      </c>
    </row>
    <row r="36" spans="2:38" ht="45" customHeight="1" x14ac:dyDescent="0.25">
      <c r="B36" s="22">
        <v>2</v>
      </c>
      <c r="C36" s="16" t="s">
        <v>14</v>
      </c>
      <c r="D36" s="13">
        <f>4500000-D37</f>
        <v>3485000</v>
      </c>
      <c r="E36" s="17"/>
      <c r="F36" s="66"/>
      <c r="G36" s="66"/>
      <c r="H36" s="66"/>
      <c r="I36" s="66"/>
      <c r="J36" s="66"/>
      <c r="K36" s="66"/>
      <c r="L36" s="66">
        <f>0.5*D36</f>
        <v>1742500</v>
      </c>
      <c r="M36" s="66">
        <f>0.5*D36</f>
        <v>1742500</v>
      </c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K36" s="4">
        <f t="shared" ref="AK36:AK57" si="10">SUM(F36:AI36)</f>
        <v>3485000</v>
      </c>
      <c r="AL36" s="1" t="str">
        <f t="shared" ref="AL36:AL57" si="11">IF(AK36=D36,"Ok","Fail")</f>
        <v>Ok</v>
      </c>
    </row>
    <row r="37" spans="2:38" ht="45" customHeight="1" x14ac:dyDescent="0.25">
      <c r="B37" s="22">
        <v>3</v>
      </c>
      <c r="C37" s="16" t="s">
        <v>93</v>
      </c>
      <c r="D37" s="59">
        <v>1015000</v>
      </c>
      <c r="E37" s="17"/>
      <c r="F37" s="66">
        <f>+D37</f>
        <v>1015000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K37" s="4">
        <f t="shared" si="10"/>
        <v>1015000</v>
      </c>
      <c r="AL37" s="1" t="str">
        <f t="shared" si="11"/>
        <v>Ok</v>
      </c>
    </row>
    <row r="38" spans="2:38" ht="45" customHeight="1" x14ac:dyDescent="0.25">
      <c r="B38" s="22">
        <v>3</v>
      </c>
      <c r="C38" s="16" t="s">
        <v>81</v>
      </c>
      <c r="D38" s="13">
        <v>370000</v>
      </c>
      <c r="E38" s="17"/>
      <c r="F38" s="66"/>
      <c r="G38" s="66"/>
      <c r="H38" s="66"/>
      <c r="I38" s="66">
        <f>+D38</f>
        <v>370000</v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K38" s="4">
        <f t="shared" si="10"/>
        <v>370000</v>
      </c>
      <c r="AL38" s="1" t="str">
        <f t="shared" si="11"/>
        <v>Ok</v>
      </c>
    </row>
    <row r="39" spans="2:38" ht="45" customHeight="1" x14ac:dyDescent="0.25">
      <c r="B39" s="22">
        <v>4</v>
      </c>
      <c r="C39" s="16" t="s">
        <v>15</v>
      </c>
      <c r="D39" s="13">
        <v>10000000</v>
      </c>
      <c r="E39" s="17"/>
      <c r="F39" s="66"/>
      <c r="G39" s="66"/>
      <c r="H39" s="66"/>
      <c r="I39" s="66"/>
      <c r="J39" s="66"/>
      <c r="K39" s="66"/>
      <c r="L39" s="66">
        <f>0.3*D39</f>
        <v>3000000</v>
      </c>
      <c r="M39" s="66">
        <f>0.45*D39</f>
        <v>4500000</v>
      </c>
      <c r="N39" s="66">
        <f>0.25*D39</f>
        <v>2500000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K39" s="4">
        <f t="shared" si="10"/>
        <v>10000000</v>
      </c>
      <c r="AL39" s="1" t="str">
        <f t="shared" si="11"/>
        <v>Ok</v>
      </c>
    </row>
    <row r="40" spans="2:38" ht="45" customHeight="1" x14ac:dyDescent="0.25">
      <c r="B40" s="22">
        <v>5</v>
      </c>
      <c r="C40" s="16" t="s">
        <v>16</v>
      </c>
      <c r="D40" s="13">
        <v>4500000</v>
      </c>
      <c r="E40" s="17"/>
      <c r="F40" s="66"/>
      <c r="G40" s="66"/>
      <c r="H40" s="66"/>
      <c r="I40" s="66"/>
      <c r="J40" s="66"/>
      <c r="K40" s="66"/>
      <c r="L40" s="66">
        <f>0.5*D40</f>
        <v>2250000</v>
      </c>
      <c r="M40" s="66">
        <f>0.5*D40</f>
        <v>2250000</v>
      </c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K40" s="4">
        <f t="shared" si="10"/>
        <v>4500000</v>
      </c>
      <c r="AL40" s="1" t="str">
        <f t="shared" si="11"/>
        <v>Ok</v>
      </c>
    </row>
    <row r="41" spans="2:38" ht="45" customHeight="1" x14ac:dyDescent="0.25">
      <c r="B41" s="23">
        <v>6</v>
      </c>
      <c r="C41" s="18" t="s">
        <v>17</v>
      </c>
      <c r="D41" s="19">
        <v>20500000</v>
      </c>
      <c r="E41" s="20"/>
      <c r="F41" s="69"/>
      <c r="G41" s="69"/>
      <c r="H41" s="69"/>
      <c r="I41" s="69"/>
      <c r="J41" s="69"/>
      <c r="K41" s="69"/>
      <c r="L41" s="66">
        <f>0.3*D41</f>
        <v>6150000</v>
      </c>
      <c r="M41" s="66">
        <f>0.3*D41</f>
        <v>6150000</v>
      </c>
      <c r="N41" s="66">
        <f>0.4*D41</f>
        <v>8200000</v>
      </c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K41" s="4">
        <f t="shared" si="10"/>
        <v>20500000</v>
      </c>
      <c r="AL41" s="1" t="str">
        <f t="shared" si="11"/>
        <v>Ok</v>
      </c>
    </row>
    <row r="42" spans="2:38" ht="45" customHeight="1" x14ac:dyDescent="0.25">
      <c r="B42" s="27">
        <v>7</v>
      </c>
      <c r="C42" s="35" t="s">
        <v>52</v>
      </c>
      <c r="D42" s="37">
        <v>7500000</v>
      </c>
      <c r="E42" s="38"/>
      <c r="F42" s="66">
        <f>+D42*0.075-11750</f>
        <v>550750</v>
      </c>
      <c r="G42" s="69">
        <f>+D42*0.3</f>
        <v>2250000</v>
      </c>
      <c r="H42" s="69">
        <f>0.3*D42</f>
        <v>2250000</v>
      </c>
      <c r="I42" s="69"/>
      <c r="J42" s="69"/>
      <c r="K42" s="69"/>
      <c r="L42" s="69"/>
      <c r="M42" s="69"/>
      <c r="N42" s="69"/>
      <c r="O42" s="69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>
        <f>2500000-50750</f>
        <v>2449250</v>
      </c>
      <c r="AC42" s="70"/>
      <c r="AD42" s="70"/>
      <c r="AE42" s="70"/>
      <c r="AF42" s="70"/>
      <c r="AG42" s="70"/>
      <c r="AH42" s="67"/>
      <c r="AI42" s="68"/>
      <c r="AK42" s="4">
        <f t="shared" si="10"/>
        <v>7500000</v>
      </c>
      <c r="AL42" s="1" t="str">
        <f t="shared" si="11"/>
        <v>Ok</v>
      </c>
    </row>
    <row r="43" spans="2:38" ht="45" customHeight="1" x14ac:dyDescent="0.25">
      <c r="B43" s="27">
        <v>8</v>
      </c>
      <c r="C43" s="35" t="s">
        <v>83</v>
      </c>
      <c r="D43" s="37">
        <v>1100000</v>
      </c>
      <c r="E43" s="38"/>
      <c r="F43" s="66"/>
      <c r="G43" s="69"/>
      <c r="H43" s="69"/>
      <c r="I43" s="69">
        <f>+D43*0.5+69676</f>
        <v>619676</v>
      </c>
      <c r="J43" s="69">
        <f>+D43*0.5-69676</f>
        <v>480324</v>
      </c>
      <c r="K43" s="69"/>
      <c r="L43" s="69"/>
      <c r="M43" s="69"/>
      <c r="N43" s="69"/>
      <c r="O43" s="69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67"/>
      <c r="AI43" s="68"/>
      <c r="AK43" s="4">
        <f t="shared" si="10"/>
        <v>1100000</v>
      </c>
      <c r="AL43" s="1" t="str">
        <f t="shared" si="11"/>
        <v>Ok</v>
      </c>
    </row>
    <row r="44" spans="2:38" ht="45" customHeight="1" x14ac:dyDescent="0.25">
      <c r="B44" s="27">
        <v>9</v>
      </c>
      <c r="C44" s="35" t="s">
        <v>53</v>
      </c>
      <c r="D44" s="37">
        <v>7000000</v>
      </c>
      <c r="E44" s="38"/>
      <c r="F44" s="66"/>
      <c r="G44" s="69"/>
      <c r="H44" s="69"/>
      <c r="I44" s="69"/>
      <c r="J44" s="69"/>
      <c r="K44" s="69"/>
      <c r="L44" s="66"/>
      <c r="M44" s="66">
        <f>0.3*D44</f>
        <v>2100000</v>
      </c>
      <c r="N44" s="66">
        <f>0.5*D44</f>
        <v>3500000</v>
      </c>
      <c r="O44" s="69">
        <f>0.2*D44</f>
        <v>1400000</v>
      </c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67"/>
      <c r="AI44" s="68"/>
      <c r="AK44" s="4">
        <f t="shared" si="10"/>
        <v>7000000</v>
      </c>
      <c r="AL44" s="1" t="str">
        <f t="shared" si="11"/>
        <v>Ok</v>
      </c>
    </row>
    <row r="45" spans="2:38" ht="45" customHeight="1" x14ac:dyDescent="0.25">
      <c r="B45" s="27">
        <v>10</v>
      </c>
      <c r="C45" s="35" t="s">
        <v>82</v>
      </c>
      <c r="D45" s="37">
        <v>700000</v>
      </c>
      <c r="E45" s="38"/>
      <c r="F45" s="66">
        <v>100000</v>
      </c>
      <c r="G45" s="69">
        <v>600000</v>
      </c>
      <c r="H45" s="69"/>
      <c r="I45" s="69"/>
      <c r="J45" s="69"/>
      <c r="K45" s="69"/>
      <c r="L45" s="69"/>
      <c r="M45" s="69"/>
      <c r="N45" s="69"/>
      <c r="O45" s="69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67"/>
      <c r="AI45" s="68"/>
      <c r="AK45" s="4">
        <f t="shared" si="10"/>
        <v>700000</v>
      </c>
      <c r="AL45" s="1" t="str">
        <f t="shared" si="11"/>
        <v>Ok</v>
      </c>
    </row>
    <row r="46" spans="2:38" ht="45" customHeight="1" x14ac:dyDescent="0.25">
      <c r="B46" s="27">
        <v>11</v>
      </c>
      <c r="C46" s="35" t="s">
        <v>84</v>
      </c>
      <c r="D46" s="37">
        <v>8000000</v>
      </c>
      <c r="E46" s="38"/>
      <c r="F46" s="66"/>
      <c r="G46" s="69"/>
      <c r="H46" s="69"/>
      <c r="I46" s="69"/>
      <c r="J46" s="69"/>
      <c r="K46" s="69"/>
      <c r="L46" s="69"/>
      <c r="M46" s="69"/>
      <c r="N46" s="69"/>
      <c r="O46" s="69"/>
      <c r="P46" s="70"/>
      <c r="Q46" s="70"/>
      <c r="R46" s="70"/>
      <c r="S46" s="70"/>
      <c r="T46" s="70">
        <v>2000000</v>
      </c>
      <c r="U46" s="70">
        <v>3500000</v>
      </c>
      <c r="V46" s="70">
        <v>2500000</v>
      </c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67"/>
      <c r="AI46" s="68"/>
      <c r="AK46" s="4">
        <f t="shared" si="10"/>
        <v>8000000</v>
      </c>
      <c r="AL46" s="1" t="str">
        <f t="shared" si="11"/>
        <v>Ok</v>
      </c>
    </row>
    <row r="47" spans="2:38" ht="45" customHeight="1" x14ac:dyDescent="0.25">
      <c r="B47" s="27">
        <v>12</v>
      </c>
      <c r="C47" s="35" t="s">
        <v>88</v>
      </c>
      <c r="D47" s="37">
        <v>8000000</v>
      </c>
      <c r="E47" s="38"/>
      <c r="F47" s="66">
        <f>+D47*0.15</f>
        <v>1200000</v>
      </c>
      <c r="G47" s="69">
        <f>0.45*D47-454375</f>
        <v>3145625</v>
      </c>
      <c r="H47" s="69">
        <f>0.4*D47+454375</f>
        <v>3654375</v>
      </c>
      <c r="I47" s="69"/>
      <c r="J47" s="69"/>
      <c r="K47" s="69"/>
      <c r="L47" s="69"/>
      <c r="M47" s="69"/>
      <c r="N47" s="69"/>
      <c r="O47" s="69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67"/>
      <c r="AI47" s="68"/>
      <c r="AK47" s="4">
        <f t="shared" si="10"/>
        <v>8000000</v>
      </c>
      <c r="AL47" s="1" t="str">
        <f t="shared" si="11"/>
        <v>Ok</v>
      </c>
    </row>
    <row r="48" spans="2:38" ht="45" customHeight="1" x14ac:dyDescent="0.25">
      <c r="B48" s="27">
        <v>13</v>
      </c>
      <c r="C48" s="35" t="s">
        <v>85</v>
      </c>
      <c r="D48" s="37">
        <v>2215000</v>
      </c>
      <c r="E48" s="38"/>
      <c r="F48" s="66"/>
      <c r="G48" s="69"/>
      <c r="H48" s="69"/>
      <c r="I48" s="69"/>
      <c r="J48" s="69">
        <f>0.5*D48</f>
        <v>1107500</v>
      </c>
      <c r="K48" s="69">
        <f>0.5*D48</f>
        <v>1107500</v>
      </c>
      <c r="L48" s="69"/>
      <c r="M48" s="69"/>
      <c r="N48" s="69"/>
      <c r="O48" s="69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67"/>
      <c r="AI48" s="68"/>
      <c r="AK48" s="4">
        <f t="shared" si="10"/>
        <v>2215000</v>
      </c>
      <c r="AL48" s="1" t="str">
        <f t="shared" si="11"/>
        <v>Ok</v>
      </c>
    </row>
    <row r="49" spans="2:39" ht="45" customHeight="1" x14ac:dyDescent="0.25">
      <c r="B49" s="27">
        <v>14</v>
      </c>
      <c r="C49" s="35" t="s">
        <v>92</v>
      </c>
      <c r="D49" s="37">
        <v>10000000</v>
      </c>
      <c r="E49" s="38"/>
      <c r="F49" s="66"/>
      <c r="G49" s="69"/>
      <c r="H49" s="69"/>
      <c r="I49" s="69"/>
      <c r="J49" s="69">
        <f>0.5*D49</f>
        <v>5000000</v>
      </c>
      <c r="K49" s="69">
        <f>0.5*D49</f>
        <v>5000000</v>
      </c>
      <c r="L49" s="69"/>
      <c r="M49" s="69"/>
      <c r="N49" s="69"/>
      <c r="O49" s="69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67"/>
      <c r="AI49" s="68"/>
      <c r="AK49" s="4">
        <f t="shared" si="10"/>
        <v>10000000</v>
      </c>
      <c r="AL49" s="1" t="str">
        <f t="shared" si="11"/>
        <v>Ok</v>
      </c>
    </row>
    <row r="50" spans="2:39" ht="45" customHeight="1" x14ac:dyDescent="0.25">
      <c r="B50" s="27">
        <v>15</v>
      </c>
      <c r="C50" s="35" t="s">
        <v>86</v>
      </c>
      <c r="D50" s="37">
        <v>17000000</v>
      </c>
      <c r="E50" s="38"/>
      <c r="F50" s="66"/>
      <c r="G50" s="69"/>
      <c r="H50" s="69"/>
      <c r="I50" s="69"/>
      <c r="J50" s="69"/>
      <c r="K50" s="69"/>
      <c r="L50" s="69"/>
      <c r="M50" s="69"/>
      <c r="N50" s="69">
        <f>D50*0.2</f>
        <v>3400000</v>
      </c>
      <c r="O50" s="69">
        <f>D50*0.3</f>
        <v>5100000</v>
      </c>
      <c r="P50" s="70"/>
      <c r="Q50" s="70"/>
      <c r="R50" s="70"/>
      <c r="S50" s="70">
        <v>3103137</v>
      </c>
      <c r="T50" s="70">
        <v>3000000</v>
      </c>
      <c r="U50" s="70">
        <f>3000000-603137</f>
        <v>2396863</v>
      </c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67"/>
      <c r="AI50" s="68"/>
      <c r="AK50" s="4">
        <f t="shared" si="10"/>
        <v>17000000</v>
      </c>
      <c r="AL50" s="1" t="str">
        <f t="shared" si="11"/>
        <v>Ok</v>
      </c>
    </row>
    <row r="51" spans="2:39" ht="45" customHeight="1" x14ac:dyDescent="0.25">
      <c r="B51" s="27">
        <v>16</v>
      </c>
      <c r="C51" s="35" t="s">
        <v>91</v>
      </c>
      <c r="D51" s="37">
        <v>2000000</v>
      </c>
      <c r="E51" s="38"/>
      <c r="F51" s="66"/>
      <c r="G51" s="69"/>
      <c r="H51" s="69"/>
      <c r="I51" s="69"/>
      <c r="J51" s="69"/>
      <c r="K51" s="69"/>
      <c r="L51" s="69"/>
      <c r="M51" s="69"/>
      <c r="N51" s="69"/>
      <c r="O51" s="69"/>
      <c r="P51" s="70"/>
      <c r="Q51" s="70"/>
      <c r="R51" s="70"/>
      <c r="S51" s="70">
        <v>1000000</v>
      </c>
      <c r="T51" s="70">
        <v>1000000</v>
      </c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67"/>
      <c r="AI51" s="68"/>
      <c r="AK51" s="4">
        <f t="shared" si="10"/>
        <v>2000000</v>
      </c>
      <c r="AL51" s="1" t="str">
        <f t="shared" si="11"/>
        <v>Ok</v>
      </c>
    </row>
    <row r="52" spans="2:39" ht="45" customHeight="1" x14ac:dyDescent="0.25">
      <c r="B52" s="27">
        <v>17</v>
      </c>
      <c r="C52" s="33" t="s">
        <v>60</v>
      </c>
      <c r="D52" s="37">
        <f>106930000+785000+210000</f>
        <v>107925000</v>
      </c>
      <c r="E52" s="38"/>
      <c r="F52" s="66"/>
      <c r="G52" s="69"/>
      <c r="H52" s="69"/>
      <c r="I52" s="69"/>
      <c r="J52" s="69"/>
      <c r="K52" s="69"/>
      <c r="L52" s="69"/>
      <c r="M52" s="69"/>
      <c r="N52" s="69"/>
      <c r="O52" s="69"/>
      <c r="P52" s="70"/>
      <c r="Q52" s="70"/>
      <c r="R52" s="70">
        <v>7215267</v>
      </c>
      <c r="S52" s="70">
        <v>10000000</v>
      </c>
      <c r="T52" s="70">
        <v>13014379</v>
      </c>
      <c r="U52" s="70">
        <v>13000000</v>
      </c>
      <c r="V52" s="70">
        <v>15000000</v>
      </c>
      <c r="W52" s="70">
        <v>15000000</v>
      </c>
      <c r="X52" s="70">
        <v>15000000</v>
      </c>
      <c r="Y52" s="70">
        <v>15000000</v>
      </c>
      <c r="Z52" s="70">
        <f>5000000-304646</f>
        <v>4695354</v>
      </c>
      <c r="AA52" s="70"/>
      <c r="AB52" s="70"/>
      <c r="AC52" s="70"/>
      <c r="AD52" s="70"/>
      <c r="AE52" s="70"/>
      <c r="AF52" s="70"/>
      <c r="AG52" s="70"/>
      <c r="AH52" s="67"/>
      <c r="AI52" s="68"/>
      <c r="AK52" s="4">
        <f t="shared" si="10"/>
        <v>107925000</v>
      </c>
      <c r="AL52" s="1" t="str">
        <f t="shared" si="11"/>
        <v>Ok</v>
      </c>
      <c r="AM52" s="4"/>
    </row>
    <row r="53" spans="2:39" ht="45" customHeight="1" x14ac:dyDescent="0.25">
      <c r="B53" s="57">
        <v>18</v>
      </c>
      <c r="C53" s="33" t="s">
        <v>96</v>
      </c>
      <c r="D53" s="37">
        <v>1500000</v>
      </c>
      <c r="E53" s="38"/>
      <c r="F53" s="66"/>
      <c r="G53" s="69">
        <f>0.3*D53</f>
        <v>450000</v>
      </c>
      <c r="H53" s="69">
        <f>0.7*D53</f>
        <v>1050000</v>
      </c>
      <c r="I53" s="69"/>
      <c r="J53" s="69"/>
      <c r="K53" s="69"/>
      <c r="L53" s="69"/>
      <c r="M53" s="69"/>
      <c r="N53" s="69"/>
      <c r="O53" s="69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67"/>
      <c r="AI53" s="68"/>
      <c r="AK53" s="4">
        <f t="shared" si="10"/>
        <v>1500000</v>
      </c>
      <c r="AL53" s="1" t="str">
        <f t="shared" si="11"/>
        <v>Ok</v>
      </c>
    </row>
    <row r="54" spans="2:39" ht="45" customHeight="1" x14ac:dyDescent="0.25">
      <c r="B54" s="57">
        <v>19</v>
      </c>
      <c r="C54" s="33" t="s">
        <v>97</v>
      </c>
      <c r="D54" s="60">
        <v>725000</v>
      </c>
      <c r="E54" s="38"/>
      <c r="F54" s="66">
        <f>0.3*D54</f>
        <v>217500</v>
      </c>
      <c r="G54" s="69">
        <f>+D54-F54</f>
        <v>507500</v>
      </c>
      <c r="H54" s="69"/>
      <c r="I54" s="69"/>
      <c r="J54" s="69"/>
      <c r="K54" s="69"/>
      <c r="L54" s="69"/>
      <c r="M54" s="69"/>
      <c r="N54" s="69"/>
      <c r="O54" s="69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67"/>
      <c r="AI54" s="68"/>
      <c r="AK54" s="4">
        <f t="shared" si="10"/>
        <v>725000</v>
      </c>
      <c r="AL54" s="1" t="str">
        <f t="shared" si="11"/>
        <v>Ok</v>
      </c>
    </row>
    <row r="55" spans="2:39" ht="45" customHeight="1" x14ac:dyDescent="0.25">
      <c r="B55" s="57">
        <v>20</v>
      </c>
      <c r="C55" s="33" t="s">
        <v>101</v>
      </c>
      <c r="D55" s="60">
        <v>450000</v>
      </c>
      <c r="E55" s="38"/>
      <c r="F55" s="66"/>
      <c r="G55" s="69"/>
      <c r="H55" s="69"/>
      <c r="I55" s="69"/>
      <c r="J55" s="69"/>
      <c r="K55" s="69"/>
      <c r="L55" s="69"/>
      <c r="M55" s="69"/>
      <c r="N55" s="69"/>
      <c r="O55" s="69"/>
      <c r="P55" s="70"/>
      <c r="Q55" s="70">
        <v>450000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67"/>
      <c r="AI55" s="68"/>
      <c r="AK55" s="4">
        <f t="shared" si="10"/>
        <v>450000</v>
      </c>
      <c r="AL55" s="1" t="str">
        <f t="shared" si="11"/>
        <v>Ok</v>
      </c>
    </row>
    <row r="56" spans="2:39" ht="45" customHeight="1" x14ac:dyDescent="0.25">
      <c r="B56" s="57">
        <v>21</v>
      </c>
      <c r="C56" s="33" t="s">
        <v>102</v>
      </c>
      <c r="D56" s="60">
        <v>460000</v>
      </c>
      <c r="E56" s="38"/>
      <c r="F56" s="66"/>
      <c r="G56" s="69"/>
      <c r="H56" s="69"/>
      <c r="I56" s="69"/>
      <c r="J56" s="69"/>
      <c r="K56" s="69"/>
      <c r="L56" s="69"/>
      <c r="M56" s="69"/>
      <c r="N56" s="69"/>
      <c r="O56" s="69"/>
      <c r="P56" s="70"/>
      <c r="Q56" s="70">
        <v>460000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67"/>
      <c r="AI56" s="68"/>
      <c r="AK56" s="4">
        <f t="shared" si="10"/>
        <v>460000</v>
      </c>
      <c r="AL56" s="1" t="str">
        <f t="shared" si="11"/>
        <v>Ok</v>
      </c>
    </row>
    <row r="57" spans="2:39" ht="45" customHeight="1" x14ac:dyDescent="0.25">
      <c r="B57" s="57">
        <v>22</v>
      </c>
      <c r="C57" s="33" t="s">
        <v>103</v>
      </c>
      <c r="D57" s="60">
        <v>480000</v>
      </c>
      <c r="E57" s="38"/>
      <c r="F57" s="66"/>
      <c r="G57" s="69"/>
      <c r="H57" s="69">
        <f>+D57</f>
        <v>480000</v>
      </c>
      <c r="I57" s="69"/>
      <c r="J57" s="69"/>
      <c r="K57" s="69"/>
      <c r="L57" s="69"/>
      <c r="M57" s="69"/>
      <c r="N57" s="69"/>
      <c r="O57" s="69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67"/>
      <c r="AI57" s="68"/>
      <c r="AK57" s="4">
        <f t="shared" si="10"/>
        <v>480000</v>
      </c>
      <c r="AL57" s="1" t="str">
        <f t="shared" si="11"/>
        <v>Ok</v>
      </c>
    </row>
    <row r="58" spans="2:39" ht="45" customHeight="1" x14ac:dyDescent="0.25">
      <c r="B58" s="51" t="s">
        <v>70</v>
      </c>
      <c r="C58" s="52"/>
      <c r="D58" s="37"/>
      <c r="E58" s="24">
        <f>+SUM(D59:D63)</f>
        <v>48290000</v>
      </c>
      <c r="F58" s="15"/>
      <c r="G58" s="21"/>
      <c r="H58" s="21"/>
      <c r="I58" s="21"/>
      <c r="J58" s="21"/>
      <c r="K58" s="21"/>
      <c r="L58" s="21"/>
      <c r="M58" s="21"/>
      <c r="N58" s="21"/>
      <c r="O58" s="21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25"/>
      <c r="AI58" s="26"/>
      <c r="AK58" s="65"/>
    </row>
    <row r="59" spans="2:39" ht="45" customHeight="1" x14ac:dyDescent="0.25">
      <c r="B59" s="27">
        <v>1</v>
      </c>
      <c r="C59" s="35" t="s">
        <v>24</v>
      </c>
      <c r="D59" s="37">
        <v>5125000</v>
      </c>
      <c r="E59" s="38"/>
      <c r="F59" s="66"/>
      <c r="G59" s="69"/>
      <c r="H59" s="69">
        <v>200000</v>
      </c>
      <c r="I59" s="69"/>
      <c r="J59" s="69">
        <f>+D59*0.25</f>
        <v>1281250</v>
      </c>
      <c r="K59" s="69">
        <f>+D59*0.25</f>
        <v>1281250</v>
      </c>
      <c r="L59" s="69"/>
      <c r="M59" s="69"/>
      <c r="N59" s="69"/>
      <c r="O59" s="69">
        <v>1000000</v>
      </c>
      <c r="P59" s="69">
        <f>1000000</f>
        <v>1000000</v>
      </c>
      <c r="Q59" s="70">
        <v>362500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67"/>
      <c r="AI59" s="68"/>
      <c r="AK59" s="4">
        <f t="shared" ref="AK59" si="12">SUM(F59:AI59)</f>
        <v>5125000</v>
      </c>
      <c r="AL59" s="1" t="str">
        <f t="shared" ref="AL59" si="13">IF(AK59=D59,"Ok","Fail")</f>
        <v>Ok</v>
      </c>
      <c r="AM59" s="4"/>
    </row>
    <row r="60" spans="2:39" ht="45" customHeight="1" x14ac:dyDescent="0.25">
      <c r="B60" s="27">
        <v>2</v>
      </c>
      <c r="C60" s="35" t="s">
        <v>25</v>
      </c>
      <c r="D60" s="37">
        <v>3750000</v>
      </c>
      <c r="E60" s="38"/>
      <c r="F60" s="66"/>
      <c r="G60" s="69"/>
      <c r="H60" s="69">
        <v>200000</v>
      </c>
      <c r="I60" s="69"/>
      <c r="J60" s="69">
        <f>+D60*0.25</f>
        <v>937500</v>
      </c>
      <c r="K60" s="69">
        <f>+D60*0.25</f>
        <v>937500</v>
      </c>
      <c r="L60" s="69"/>
      <c r="M60" s="69"/>
      <c r="N60" s="69"/>
      <c r="O60" s="69">
        <v>1000000</v>
      </c>
      <c r="P60" s="70"/>
      <c r="Q60" s="70">
        <v>675000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67"/>
      <c r="AI60" s="68"/>
      <c r="AK60" s="4">
        <f t="shared" ref="AK60:AK63" si="14">SUM(F60:AI60)</f>
        <v>3750000</v>
      </c>
      <c r="AL60" s="1" t="str">
        <f t="shared" ref="AL60:AL63" si="15">IF(AK60=D60,"Ok","Fail")</f>
        <v>Ok</v>
      </c>
    </row>
    <row r="61" spans="2:39" ht="45" customHeight="1" x14ac:dyDescent="0.25">
      <c r="B61" s="27">
        <v>3</v>
      </c>
      <c r="C61" s="35" t="s">
        <v>26</v>
      </c>
      <c r="D61" s="37">
        <v>6915000</v>
      </c>
      <c r="E61" s="38"/>
      <c r="F61" s="66"/>
      <c r="G61" s="69"/>
      <c r="H61" s="69">
        <v>200000</v>
      </c>
      <c r="I61" s="69"/>
      <c r="J61" s="69">
        <f>+D61*0.25</f>
        <v>1728750</v>
      </c>
      <c r="K61" s="69">
        <f>+D61*0.25</f>
        <v>1728750</v>
      </c>
      <c r="L61" s="69"/>
      <c r="M61" s="69"/>
      <c r="N61" s="69"/>
      <c r="O61" s="69">
        <v>1000000</v>
      </c>
      <c r="P61" s="69">
        <v>1000000</v>
      </c>
      <c r="Q61" s="70">
        <v>1257500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67"/>
      <c r="AI61" s="68"/>
      <c r="AK61" s="4">
        <f t="shared" si="14"/>
        <v>6915000</v>
      </c>
      <c r="AL61" s="1" t="str">
        <f t="shared" si="15"/>
        <v>Ok</v>
      </c>
      <c r="AM61" s="4"/>
    </row>
    <row r="62" spans="2:39" ht="45" customHeight="1" x14ac:dyDescent="0.25">
      <c r="B62" s="27">
        <v>4</v>
      </c>
      <c r="C62" s="35" t="s">
        <v>27</v>
      </c>
      <c r="D62" s="37">
        <v>7500000</v>
      </c>
      <c r="E62" s="38"/>
      <c r="F62" s="66"/>
      <c r="G62" s="69"/>
      <c r="H62" s="69">
        <v>500000</v>
      </c>
      <c r="I62" s="69"/>
      <c r="J62" s="69">
        <f>+D62*0.25</f>
        <v>1875000</v>
      </c>
      <c r="K62" s="69">
        <f>+D62*0.25</f>
        <v>1875000</v>
      </c>
      <c r="L62" s="69"/>
      <c r="M62" s="69"/>
      <c r="N62" s="69"/>
      <c r="O62" s="69">
        <v>1000000</v>
      </c>
      <c r="P62" s="70"/>
      <c r="Q62" s="70">
        <v>1000000</v>
      </c>
      <c r="R62" s="70">
        <v>1250000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67"/>
      <c r="AI62" s="68"/>
      <c r="AK62" s="4">
        <f t="shared" si="14"/>
        <v>7500000</v>
      </c>
      <c r="AL62" s="1" t="str">
        <f t="shared" si="15"/>
        <v>Ok</v>
      </c>
    </row>
    <row r="63" spans="2:39" ht="45" customHeight="1" x14ac:dyDescent="0.25">
      <c r="B63" s="27">
        <v>5</v>
      </c>
      <c r="C63" s="35" t="s">
        <v>54</v>
      </c>
      <c r="D63" s="37">
        <v>25000000</v>
      </c>
      <c r="E63" s="38"/>
      <c r="F63" s="66"/>
      <c r="G63" s="69"/>
      <c r="H63" s="69"/>
      <c r="I63" s="69"/>
      <c r="J63" s="69"/>
      <c r="K63" s="69"/>
      <c r="L63" s="69"/>
      <c r="M63" s="69"/>
      <c r="N63" s="69"/>
      <c r="O63" s="69"/>
      <c r="P63" s="70"/>
      <c r="Q63" s="70">
        <f>3154379+90000</f>
        <v>3244379</v>
      </c>
      <c r="R63" s="70">
        <v>5000000</v>
      </c>
      <c r="S63" s="70">
        <f>5000000+1755621</f>
        <v>6755621</v>
      </c>
      <c r="T63" s="70">
        <v>5000000</v>
      </c>
      <c r="U63" s="70">
        <v>5000000</v>
      </c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67"/>
      <c r="AI63" s="68"/>
      <c r="AK63" s="4">
        <f t="shared" si="14"/>
        <v>25000000</v>
      </c>
      <c r="AL63" s="1" t="str">
        <f t="shared" si="15"/>
        <v>Ok</v>
      </c>
      <c r="AM63" s="4"/>
    </row>
    <row r="64" spans="2:39" ht="45" customHeight="1" x14ac:dyDescent="0.25">
      <c r="B64" s="51" t="s">
        <v>64</v>
      </c>
      <c r="C64" s="52"/>
      <c r="D64" s="37"/>
      <c r="E64" s="24">
        <f>+SUM(D65:D70)</f>
        <v>38355000</v>
      </c>
      <c r="F64" s="15"/>
      <c r="G64" s="21"/>
      <c r="H64" s="21"/>
      <c r="I64" s="21"/>
      <c r="J64" s="21"/>
      <c r="K64" s="21"/>
      <c r="L64" s="21"/>
      <c r="M64" s="21"/>
      <c r="N64" s="21"/>
      <c r="O64" s="21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25"/>
      <c r="AI64" s="26"/>
      <c r="AK64" s="65"/>
    </row>
    <row r="65" spans="2:39" ht="45" customHeight="1" x14ac:dyDescent="0.25">
      <c r="B65" s="27">
        <v>1</v>
      </c>
      <c r="C65" s="35" t="s">
        <v>18</v>
      </c>
      <c r="D65" s="37">
        <v>5600000</v>
      </c>
      <c r="E65" s="38"/>
      <c r="F65" s="66"/>
      <c r="G65" s="69"/>
      <c r="H65" s="69">
        <v>500000</v>
      </c>
      <c r="I65" s="69"/>
      <c r="J65" s="69"/>
      <c r="K65" s="69">
        <v>800000</v>
      </c>
      <c r="L65" s="69"/>
      <c r="M65" s="69"/>
      <c r="N65" s="69"/>
      <c r="O65" s="69">
        <v>800000</v>
      </c>
      <c r="P65" s="69">
        <v>1363766</v>
      </c>
      <c r="Q65" s="69">
        <v>1200000</v>
      </c>
      <c r="R65" s="70">
        <v>936234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67"/>
      <c r="AI65" s="68"/>
      <c r="AK65" s="4">
        <f t="shared" ref="AK65" si="16">SUM(F65:AI65)</f>
        <v>5600000</v>
      </c>
      <c r="AL65" s="1" t="str">
        <f t="shared" ref="AL65" si="17">IF(AK65=D65,"Ok","Fail")</f>
        <v>Ok</v>
      </c>
      <c r="AM65" s="4">
        <f>+D65-AK65</f>
        <v>0</v>
      </c>
    </row>
    <row r="66" spans="2:39" ht="45" customHeight="1" x14ac:dyDescent="0.25">
      <c r="B66" s="27">
        <v>2</v>
      </c>
      <c r="C66" s="35" t="s">
        <v>19</v>
      </c>
      <c r="D66" s="37">
        <v>21000000</v>
      </c>
      <c r="E66" s="38"/>
      <c r="F66" s="66"/>
      <c r="G66" s="69"/>
      <c r="H66" s="69">
        <v>500000</v>
      </c>
      <c r="I66" s="69"/>
      <c r="J66" s="69"/>
      <c r="K66" s="69">
        <v>2000000</v>
      </c>
      <c r="L66" s="69"/>
      <c r="M66" s="69"/>
      <c r="N66" s="69"/>
      <c r="O66" s="69">
        <v>4000000</v>
      </c>
      <c r="P66" s="69">
        <v>3010000</v>
      </c>
      <c r="Q66" s="69">
        <v>4000000</v>
      </c>
      <c r="R66" s="69">
        <v>4000000</v>
      </c>
      <c r="S66" s="70">
        <v>3000000</v>
      </c>
      <c r="T66" s="70">
        <v>490000</v>
      </c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67"/>
      <c r="AI66" s="68"/>
      <c r="AK66" s="4">
        <f t="shared" ref="AK66:AK70" si="18">SUM(F66:AI66)</f>
        <v>21000000</v>
      </c>
      <c r="AL66" s="1" t="str">
        <f t="shared" ref="AL66:AL70" si="19">IF(AK66=D66,"Ok","Fail")</f>
        <v>Ok</v>
      </c>
    </row>
    <row r="67" spans="2:39" ht="45" customHeight="1" x14ac:dyDescent="0.25">
      <c r="B67" s="27">
        <v>3</v>
      </c>
      <c r="C67" s="35" t="s">
        <v>20</v>
      </c>
      <c r="D67" s="37">
        <f>2125000+70000</f>
        <v>2195000</v>
      </c>
      <c r="E67" s="38"/>
      <c r="F67" s="66"/>
      <c r="G67" s="69"/>
      <c r="H67" s="69">
        <v>200000</v>
      </c>
      <c r="I67" s="69"/>
      <c r="J67" s="69"/>
      <c r="K67" s="69">
        <v>500000</v>
      </c>
      <c r="L67" s="69">
        <v>500000</v>
      </c>
      <c r="M67" s="69"/>
      <c r="N67" s="69"/>
      <c r="O67" s="69"/>
      <c r="P67" s="69">
        <v>990000</v>
      </c>
      <c r="Q67" s="70">
        <v>5000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67"/>
      <c r="AI67" s="68"/>
      <c r="AK67" s="4">
        <f t="shared" si="18"/>
        <v>2195000</v>
      </c>
      <c r="AL67" s="1" t="str">
        <f t="shared" si="19"/>
        <v>Ok</v>
      </c>
    </row>
    <row r="68" spans="2:39" ht="45" customHeight="1" x14ac:dyDescent="0.25">
      <c r="B68" s="27">
        <v>4</v>
      </c>
      <c r="C68" s="35" t="s">
        <v>21</v>
      </c>
      <c r="D68" s="37">
        <v>5685000</v>
      </c>
      <c r="E68" s="38"/>
      <c r="F68" s="66"/>
      <c r="G68" s="69"/>
      <c r="H68" s="69"/>
      <c r="I68" s="69"/>
      <c r="J68" s="69">
        <v>381493</v>
      </c>
      <c r="K68" s="69">
        <v>500000</v>
      </c>
      <c r="L68" s="69">
        <f>1000000-74371</f>
        <v>925629</v>
      </c>
      <c r="M68" s="69"/>
      <c r="N68" s="69"/>
      <c r="O68" s="69">
        <v>800000</v>
      </c>
      <c r="P68" s="69">
        <v>1200000</v>
      </c>
      <c r="Q68" s="69">
        <v>1200000</v>
      </c>
      <c r="R68" s="70">
        <f>600000+77878</f>
        <v>677878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67"/>
      <c r="AI68" s="68"/>
      <c r="AK68" s="4">
        <f t="shared" si="18"/>
        <v>5685000</v>
      </c>
      <c r="AL68" s="1" t="str">
        <f t="shared" si="19"/>
        <v>Ok</v>
      </c>
      <c r="AM68" s="4"/>
    </row>
    <row r="69" spans="2:39" ht="45" customHeight="1" x14ac:dyDescent="0.25">
      <c r="B69" s="27">
        <v>5</v>
      </c>
      <c r="C69" s="35" t="s">
        <v>22</v>
      </c>
      <c r="D69" s="37">
        <v>1875000</v>
      </c>
      <c r="E69" s="38"/>
      <c r="F69" s="66"/>
      <c r="G69" s="69"/>
      <c r="H69" s="69"/>
      <c r="I69" s="69"/>
      <c r="J69" s="69"/>
      <c r="K69" s="69">
        <v>350000</v>
      </c>
      <c r="L69" s="69"/>
      <c r="M69" s="69"/>
      <c r="N69" s="69"/>
      <c r="O69" s="69">
        <v>500000</v>
      </c>
      <c r="P69" s="69">
        <v>500000</v>
      </c>
      <c r="Q69" s="69">
        <v>525000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67"/>
      <c r="AI69" s="68"/>
      <c r="AK69" s="4">
        <f t="shared" si="18"/>
        <v>1875000</v>
      </c>
      <c r="AL69" s="1" t="str">
        <f t="shared" si="19"/>
        <v>Ok</v>
      </c>
    </row>
    <row r="70" spans="2:39" ht="45" customHeight="1" x14ac:dyDescent="0.25">
      <c r="B70" s="27">
        <v>6</v>
      </c>
      <c r="C70" s="35" t="s">
        <v>23</v>
      </c>
      <c r="D70" s="37">
        <v>2000000</v>
      </c>
      <c r="E70" s="38"/>
      <c r="F70" s="66"/>
      <c r="G70" s="69"/>
      <c r="H70" s="69"/>
      <c r="I70" s="69"/>
      <c r="J70" s="69"/>
      <c r="K70" s="69">
        <v>350000</v>
      </c>
      <c r="L70" s="69"/>
      <c r="M70" s="69"/>
      <c r="N70" s="69"/>
      <c r="O70" s="69">
        <v>800000</v>
      </c>
      <c r="P70" s="69">
        <v>850000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67"/>
      <c r="AI70" s="68"/>
      <c r="AK70" s="4">
        <f t="shared" si="18"/>
        <v>2000000</v>
      </c>
      <c r="AL70" s="1" t="str">
        <f t="shared" si="19"/>
        <v>Ok</v>
      </c>
    </row>
    <row r="71" spans="2:39" ht="45" customHeight="1" x14ac:dyDescent="0.25">
      <c r="B71" s="51" t="s">
        <v>65</v>
      </c>
      <c r="C71" s="52"/>
      <c r="D71" s="37"/>
      <c r="E71" s="24">
        <f>+SUM(D72:D81)</f>
        <v>41350000</v>
      </c>
      <c r="F71" s="15"/>
      <c r="G71" s="21"/>
      <c r="H71" s="21"/>
      <c r="I71" s="21"/>
      <c r="J71" s="21"/>
      <c r="K71" s="21"/>
      <c r="L71" s="21"/>
      <c r="M71" s="21"/>
      <c r="N71" s="21"/>
      <c r="O71" s="2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25"/>
      <c r="AI71" s="26"/>
      <c r="AK71" s="65"/>
    </row>
    <row r="72" spans="2:39" ht="45" customHeight="1" x14ac:dyDescent="0.25">
      <c r="B72" s="27">
        <v>1</v>
      </c>
      <c r="C72" s="35" t="s">
        <v>28</v>
      </c>
      <c r="D72" s="37">
        <v>4900000</v>
      </c>
      <c r="E72" s="38"/>
      <c r="F72" s="66"/>
      <c r="G72" s="69"/>
      <c r="H72" s="69"/>
      <c r="I72" s="69"/>
      <c r="J72" s="69"/>
      <c r="K72" s="69">
        <v>800000</v>
      </c>
      <c r="L72" s="69"/>
      <c r="M72" s="69"/>
      <c r="N72" s="69"/>
      <c r="O72" s="69">
        <v>254379</v>
      </c>
      <c r="P72" s="69">
        <v>1200000</v>
      </c>
      <c r="Q72" s="70">
        <v>1000000</v>
      </c>
      <c r="R72" s="70">
        <v>1000000</v>
      </c>
      <c r="S72" s="70">
        <f>700000-54379</f>
        <v>645621</v>
      </c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67"/>
      <c r="AI72" s="68"/>
      <c r="AK72" s="4">
        <f t="shared" ref="AK72" si="20">SUM(F72:AI72)</f>
        <v>4900000</v>
      </c>
      <c r="AL72" s="1" t="str">
        <f t="shared" ref="AL72" si="21">IF(AK72=D72,"Ok","Fail")</f>
        <v>Ok</v>
      </c>
    </row>
    <row r="73" spans="2:39" ht="45" customHeight="1" x14ac:dyDescent="0.25">
      <c r="B73" s="27">
        <v>2</v>
      </c>
      <c r="C73" s="35" t="s">
        <v>29</v>
      </c>
      <c r="D73" s="37">
        <v>4300000</v>
      </c>
      <c r="E73" s="38"/>
      <c r="F73" s="66"/>
      <c r="G73" s="69"/>
      <c r="H73" s="69"/>
      <c r="I73" s="69"/>
      <c r="J73" s="69"/>
      <c r="K73" s="69">
        <v>350000</v>
      </c>
      <c r="L73" s="69"/>
      <c r="M73" s="69"/>
      <c r="N73" s="69"/>
      <c r="O73" s="69">
        <v>1200000</v>
      </c>
      <c r="P73" s="69">
        <v>1200000</v>
      </c>
      <c r="Q73" s="70">
        <v>1000000</v>
      </c>
      <c r="R73" s="70">
        <v>550000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67"/>
      <c r="AI73" s="68"/>
      <c r="AK73" s="4">
        <f t="shared" ref="AK73:AK81" si="22">SUM(F73:AI73)</f>
        <v>4300000</v>
      </c>
      <c r="AL73" s="1" t="str">
        <f t="shared" ref="AL73:AL81" si="23">IF(AK73=D73,"Ok","Fail")</f>
        <v>Ok</v>
      </c>
    </row>
    <row r="74" spans="2:39" ht="45" customHeight="1" x14ac:dyDescent="0.25">
      <c r="B74" s="27">
        <v>3</v>
      </c>
      <c r="C74" s="35" t="s">
        <v>30</v>
      </c>
      <c r="D74" s="37">
        <v>1800000</v>
      </c>
      <c r="E74" s="38"/>
      <c r="F74" s="66"/>
      <c r="G74" s="69"/>
      <c r="H74" s="69"/>
      <c r="I74" s="69"/>
      <c r="J74" s="69"/>
      <c r="K74" s="69">
        <v>350000</v>
      </c>
      <c r="L74" s="69"/>
      <c r="M74" s="69"/>
      <c r="N74" s="69"/>
      <c r="O74" s="69"/>
      <c r="P74" s="69">
        <v>800000</v>
      </c>
      <c r="Q74" s="70">
        <v>650000</v>
      </c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67"/>
      <c r="AI74" s="68"/>
      <c r="AK74" s="4">
        <f t="shared" si="22"/>
        <v>1800000</v>
      </c>
      <c r="AL74" s="1" t="str">
        <f t="shared" si="23"/>
        <v>Ok</v>
      </c>
    </row>
    <row r="75" spans="2:39" ht="45" customHeight="1" x14ac:dyDescent="0.25">
      <c r="B75" s="27">
        <v>4</v>
      </c>
      <c r="C75" s="35" t="s">
        <v>31</v>
      </c>
      <c r="D75" s="37">
        <v>2500000</v>
      </c>
      <c r="E75" s="38"/>
      <c r="F75" s="66"/>
      <c r="G75" s="69"/>
      <c r="H75" s="69"/>
      <c r="I75" s="69"/>
      <c r="J75" s="69"/>
      <c r="K75" s="69">
        <v>350000</v>
      </c>
      <c r="L75" s="69"/>
      <c r="M75" s="69"/>
      <c r="N75" s="69"/>
      <c r="O75" s="69"/>
      <c r="P75" s="69">
        <v>1300000</v>
      </c>
      <c r="Q75" s="70">
        <f>915000-65000</f>
        <v>850000</v>
      </c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67"/>
      <c r="AI75" s="68"/>
      <c r="AK75" s="4">
        <f t="shared" si="22"/>
        <v>2500000</v>
      </c>
      <c r="AL75" s="1" t="str">
        <f t="shared" si="23"/>
        <v>Ok</v>
      </c>
    </row>
    <row r="76" spans="2:39" ht="45" customHeight="1" x14ac:dyDescent="0.25">
      <c r="B76" s="27">
        <v>5</v>
      </c>
      <c r="C76" s="35" t="s">
        <v>32</v>
      </c>
      <c r="D76" s="37">
        <v>1750000</v>
      </c>
      <c r="E76" s="38"/>
      <c r="F76" s="66"/>
      <c r="G76" s="69"/>
      <c r="H76" s="69"/>
      <c r="I76" s="69"/>
      <c r="J76" s="69"/>
      <c r="K76" s="69">
        <v>350000</v>
      </c>
      <c r="L76" s="69"/>
      <c r="M76" s="69"/>
      <c r="N76" s="69"/>
      <c r="O76" s="69"/>
      <c r="P76" s="69">
        <v>500000</v>
      </c>
      <c r="Q76" s="69">
        <v>500000</v>
      </c>
      <c r="R76" s="70">
        <v>400000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67"/>
      <c r="AI76" s="68"/>
      <c r="AK76" s="4">
        <f t="shared" si="22"/>
        <v>1750000</v>
      </c>
      <c r="AL76" s="1" t="str">
        <f t="shared" si="23"/>
        <v>Ok</v>
      </c>
    </row>
    <row r="77" spans="2:39" ht="45" customHeight="1" x14ac:dyDescent="0.25">
      <c r="B77" s="27">
        <v>6</v>
      </c>
      <c r="C77" s="35" t="s">
        <v>33</v>
      </c>
      <c r="D77" s="37">
        <v>4800000</v>
      </c>
      <c r="E77" s="38"/>
      <c r="F77" s="66"/>
      <c r="G77" s="69"/>
      <c r="H77" s="69">
        <v>200000</v>
      </c>
      <c r="I77" s="69"/>
      <c r="J77" s="69"/>
      <c r="K77" s="69">
        <v>350000</v>
      </c>
      <c r="L77" s="69"/>
      <c r="M77" s="69"/>
      <c r="N77" s="69">
        <v>500000</v>
      </c>
      <c r="O77" s="69">
        <v>1000000</v>
      </c>
      <c r="P77" s="69">
        <v>1000000</v>
      </c>
      <c r="Q77" s="69">
        <v>1000000</v>
      </c>
      <c r="R77" s="69">
        <f>1000000-250000</f>
        <v>750000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67"/>
      <c r="AI77" s="68"/>
      <c r="AK77" s="4">
        <f t="shared" si="22"/>
        <v>4800000</v>
      </c>
      <c r="AL77" s="1" t="str">
        <f t="shared" si="23"/>
        <v>Ok</v>
      </c>
    </row>
    <row r="78" spans="2:39" ht="45" customHeight="1" x14ac:dyDescent="0.25">
      <c r="B78" s="27">
        <v>7</v>
      </c>
      <c r="C78" s="35" t="s">
        <v>34</v>
      </c>
      <c r="D78" s="37">
        <v>2675000</v>
      </c>
      <c r="E78" s="38"/>
      <c r="F78" s="66"/>
      <c r="G78" s="69"/>
      <c r="H78" s="69">
        <v>200000</v>
      </c>
      <c r="I78" s="69"/>
      <c r="J78" s="69"/>
      <c r="K78" s="69">
        <v>350000</v>
      </c>
      <c r="L78" s="69"/>
      <c r="M78" s="69"/>
      <c r="N78" s="69"/>
      <c r="O78" s="69">
        <v>500000</v>
      </c>
      <c r="P78" s="69">
        <v>500000</v>
      </c>
      <c r="Q78" s="69">
        <v>500000</v>
      </c>
      <c r="R78" s="69">
        <v>625000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67"/>
      <c r="AI78" s="68"/>
      <c r="AK78" s="4">
        <f t="shared" si="22"/>
        <v>2675000</v>
      </c>
      <c r="AL78" s="1" t="str">
        <f t="shared" si="23"/>
        <v>Ok</v>
      </c>
    </row>
    <row r="79" spans="2:39" ht="45" customHeight="1" x14ac:dyDescent="0.25">
      <c r="B79" s="27">
        <v>8</v>
      </c>
      <c r="C79" s="35" t="s">
        <v>35</v>
      </c>
      <c r="D79" s="37">
        <v>8000000</v>
      </c>
      <c r="E79" s="38"/>
      <c r="F79" s="66"/>
      <c r="G79" s="69"/>
      <c r="H79" s="69">
        <v>200000</v>
      </c>
      <c r="I79" s="69"/>
      <c r="J79" s="69"/>
      <c r="K79" s="69">
        <v>350000</v>
      </c>
      <c r="L79" s="69"/>
      <c r="M79" s="69"/>
      <c r="N79" s="69">
        <v>1000000</v>
      </c>
      <c r="O79" s="69">
        <v>1000000</v>
      </c>
      <c r="P79" s="69">
        <v>2500000</v>
      </c>
      <c r="Q79" s="69">
        <v>2000000</v>
      </c>
      <c r="R79" s="70">
        <v>950000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67"/>
      <c r="AI79" s="68"/>
      <c r="AK79" s="4">
        <f t="shared" si="22"/>
        <v>8000000</v>
      </c>
      <c r="AL79" s="1" t="str">
        <f t="shared" si="23"/>
        <v>Ok</v>
      </c>
    </row>
    <row r="80" spans="2:39" ht="45" customHeight="1" x14ac:dyDescent="0.25">
      <c r="B80" s="27">
        <v>9</v>
      </c>
      <c r="C80" s="35" t="s">
        <v>36</v>
      </c>
      <c r="D80" s="37">
        <v>3125000</v>
      </c>
      <c r="E80" s="38"/>
      <c r="F80" s="66"/>
      <c r="G80" s="69"/>
      <c r="H80" s="69">
        <v>200000</v>
      </c>
      <c r="I80" s="69"/>
      <c r="J80" s="69"/>
      <c r="K80" s="69"/>
      <c r="L80" s="69">
        <v>500000</v>
      </c>
      <c r="M80" s="69"/>
      <c r="N80" s="69"/>
      <c r="O80" s="69">
        <v>500000</v>
      </c>
      <c r="P80" s="69">
        <v>800000</v>
      </c>
      <c r="Q80" s="69">
        <f>800000+325000</f>
        <v>1125000</v>
      </c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67"/>
      <c r="AI80" s="68"/>
      <c r="AK80" s="4">
        <f t="shared" si="22"/>
        <v>3125000</v>
      </c>
      <c r="AL80" s="1" t="str">
        <f t="shared" si="23"/>
        <v>Ok</v>
      </c>
    </row>
    <row r="81" spans="2:39" ht="45" customHeight="1" x14ac:dyDescent="0.25">
      <c r="B81" s="27">
        <v>10</v>
      </c>
      <c r="C81" s="41" t="s">
        <v>51</v>
      </c>
      <c r="D81" s="37">
        <v>7500000</v>
      </c>
      <c r="E81" s="38"/>
      <c r="F81" s="66"/>
      <c r="G81" s="69"/>
      <c r="H81" s="69"/>
      <c r="I81" s="69"/>
      <c r="J81" s="69"/>
      <c r="K81" s="69">
        <v>350000</v>
      </c>
      <c r="L81" s="69"/>
      <c r="M81" s="69"/>
      <c r="N81" s="69">
        <v>1000000</v>
      </c>
      <c r="O81" s="69">
        <v>1000000</v>
      </c>
      <c r="P81" s="69">
        <v>2500000</v>
      </c>
      <c r="Q81" s="69">
        <v>1500000</v>
      </c>
      <c r="R81" s="70">
        <v>1150000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67"/>
      <c r="AI81" s="68"/>
      <c r="AK81" s="4">
        <f t="shared" si="22"/>
        <v>7500000</v>
      </c>
      <c r="AL81" s="1" t="str">
        <f t="shared" si="23"/>
        <v>Ok</v>
      </c>
    </row>
    <row r="82" spans="2:39" ht="45" customHeight="1" x14ac:dyDescent="0.25">
      <c r="B82" s="51" t="s">
        <v>66</v>
      </c>
      <c r="C82" s="52"/>
      <c r="D82" s="37"/>
      <c r="E82" s="24">
        <f>+SUM(D83:D89)</f>
        <v>4410000</v>
      </c>
      <c r="F82" s="15"/>
      <c r="G82" s="21"/>
      <c r="H82" s="21"/>
      <c r="I82" s="21"/>
      <c r="J82" s="21"/>
      <c r="K82" s="21"/>
      <c r="L82" s="21"/>
      <c r="M82" s="21"/>
      <c r="N82" s="21"/>
      <c r="O82" s="2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25"/>
      <c r="AI82" s="26"/>
      <c r="AK82" s="65"/>
    </row>
    <row r="83" spans="2:39" ht="45" customHeight="1" x14ac:dyDescent="0.25">
      <c r="B83" s="27">
        <v>1</v>
      </c>
      <c r="C83" s="35" t="s">
        <v>37</v>
      </c>
      <c r="D83" s="37">
        <v>310000</v>
      </c>
      <c r="E83" s="38"/>
      <c r="F83" s="66"/>
      <c r="G83" s="69"/>
      <c r="H83" s="69"/>
      <c r="I83" s="69"/>
      <c r="J83" s="69"/>
      <c r="K83" s="69"/>
      <c r="L83" s="69"/>
      <c r="M83" s="69">
        <v>261879</v>
      </c>
      <c r="N83" s="69"/>
      <c r="O83" s="69"/>
      <c r="P83" s="70">
        <v>48121</v>
      </c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67"/>
      <c r="AI83" s="68"/>
      <c r="AK83" s="4">
        <f t="shared" ref="AK83" si="24">SUM(F83:AI83)</f>
        <v>310000</v>
      </c>
      <c r="AL83" s="1" t="str">
        <f t="shared" ref="AL83" si="25">IF(AK83=D83,"Ok","Fail")</f>
        <v>Ok</v>
      </c>
    </row>
    <row r="84" spans="2:39" ht="45" customHeight="1" x14ac:dyDescent="0.25">
      <c r="B84" s="27">
        <v>2</v>
      </c>
      <c r="C84" s="35" t="s">
        <v>38</v>
      </c>
      <c r="D84" s="37">
        <v>2850000</v>
      </c>
      <c r="E84" s="38"/>
      <c r="F84" s="66"/>
      <c r="G84" s="69"/>
      <c r="H84" s="69">
        <v>200000</v>
      </c>
      <c r="I84" s="69"/>
      <c r="J84" s="69"/>
      <c r="K84" s="69">
        <v>188129</v>
      </c>
      <c r="L84" s="69">
        <v>500000</v>
      </c>
      <c r="M84" s="69"/>
      <c r="N84" s="69">
        <v>500000</v>
      </c>
      <c r="O84" s="69">
        <v>500000</v>
      </c>
      <c r="P84" s="69">
        <f>1000000-38129</f>
        <v>961871</v>
      </c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67"/>
      <c r="AI84" s="68"/>
      <c r="AK84" s="4">
        <f t="shared" ref="AK84:AK89" si="26">SUM(F84:AI84)</f>
        <v>2850000</v>
      </c>
      <c r="AL84" s="1" t="str">
        <f t="shared" ref="AL84:AL89" si="27">IF(AK84=D84,"Ok","Fail")</f>
        <v>Ok</v>
      </c>
    </row>
    <row r="85" spans="2:39" ht="45" customHeight="1" x14ac:dyDescent="0.25">
      <c r="B85" s="27">
        <v>3</v>
      </c>
      <c r="C85" s="35" t="s">
        <v>39</v>
      </c>
      <c r="D85" s="37">
        <v>250000</v>
      </c>
      <c r="E85" s="38"/>
      <c r="F85" s="66"/>
      <c r="G85" s="69"/>
      <c r="H85" s="69"/>
      <c r="I85" s="69"/>
      <c r="J85" s="69"/>
      <c r="K85" s="69"/>
      <c r="L85" s="69"/>
      <c r="M85" s="69"/>
      <c r="N85" s="69"/>
      <c r="O85" s="69">
        <v>250000</v>
      </c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67"/>
      <c r="AI85" s="68"/>
      <c r="AK85" s="4">
        <f t="shared" si="26"/>
        <v>250000</v>
      </c>
      <c r="AL85" s="1" t="str">
        <f t="shared" si="27"/>
        <v>Ok</v>
      </c>
    </row>
    <row r="86" spans="2:39" ht="45" customHeight="1" x14ac:dyDescent="0.25">
      <c r="B86" s="27">
        <v>4</v>
      </c>
      <c r="C86" s="35" t="s">
        <v>40</v>
      </c>
      <c r="D86" s="37">
        <v>200000</v>
      </c>
      <c r="E86" s="38"/>
      <c r="F86" s="66"/>
      <c r="G86" s="69"/>
      <c r="H86" s="69">
        <v>150000</v>
      </c>
      <c r="I86" s="69"/>
      <c r="J86" s="69"/>
      <c r="K86" s="69"/>
      <c r="L86" s="69"/>
      <c r="M86" s="69"/>
      <c r="N86" s="69"/>
      <c r="O86" s="69"/>
      <c r="P86" s="70">
        <v>50000</v>
      </c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67"/>
      <c r="AI86" s="68"/>
      <c r="AK86" s="4">
        <f t="shared" si="26"/>
        <v>200000</v>
      </c>
      <c r="AL86" s="1" t="str">
        <f t="shared" si="27"/>
        <v>Ok</v>
      </c>
    </row>
    <row r="87" spans="2:39" ht="45" customHeight="1" x14ac:dyDescent="0.25">
      <c r="B87" s="27">
        <v>5</v>
      </c>
      <c r="C87" s="35" t="s">
        <v>41</v>
      </c>
      <c r="D87" s="37">
        <v>150000</v>
      </c>
      <c r="E87" s="38"/>
      <c r="F87" s="66"/>
      <c r="G87" s="69"/>
      <c r="H87" s="69"/>
      <c r="I87" s="69"/>
      <c r="J87" s="69"/>
      <c r="K87" s="69"/>
      <c r="L87" s="69"/>
      <c r="M87" s="69"/>
      <c r="N87" s="69"/>
      <c r="O87" s="69">
        <v>150000</v>
      </c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67"/>
      <c r="AI87" s="68"/>
      <c r="AK87" s="4">
        <f t="shared" si="26"/>
        <v>150000</v>
      </c>
      <c r="AL87" s="1" t="str">
        <f t="shared" si="27"/>
        <v>Ok</v>
      </c>
    </row>
    <row r="88" spans="2:39" ht="45" customHeight="1" x14ac:dyDescent="0.25">
      <c r="B88" s="27">
        <v>6</v>
      </c>
      <c r="C88" s="35" t="s">
        <v>42</v>
      </c>
      <c r="D88" s="37">
        <v>375000</v>
      </c>
      <c r="E88" s="38"/>
      <c r="F88" s="66"/>
      <c r="G88" s="69"/>
      <c r="H88" s="69"/>
      <c r="I88" s="69"/>
      <c r="J88" s="69"/>
      <c r="K88" s="69"/>
      <c r="L88" s="69"/>
      <c r="M88" s="69"/>
      <c r="N88" s="69">
        <v>154379</v>
      </c>
      <c r="O88" s="69"/>
      <c r="P88" s="70">
        <f>154379+66242</f>
        <v>220621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67"/>
      <c r="AI88" s="68"/>
      <c r="AK88" s="4">
        <f t="shared" si="26"/>
        <v>375000</v>
      </c>
      <c r="AL88" s="1" t="str">
        <f t="shared" si="27"/>
        <v>Ok</v>
      </c>
      <c r="AM88" s="4"/>
    </row>
    <row r="89" spans="2:39" ht="45" customHeight="1" x14ac:dyDescent="0.25">
      <c r="B89" s="27">
        <v>7</v>
      </c>
      <c r="C89" s="35" t="s">
        <v>43</v>
      </c>
      <c r="D89" s="37">
        <v>275000</v>
      </c>
      <c r="E89" s="38"/>
      <c r="F89" s="66"/>
      <c r="G89" s="69"/>
      <c r="H89" s="69"/>
      <c r="I89" s="69"/>
      <c r="J89" s="69"/>
      <c r="K89" s="69"/>
      <c r="L89" s="69"/>
      <c r="M89" s="69"/>
      <c r="N89" s="69"/>
      <c r="O89" s="69"/>
      <c r="P89" s="70">
        <v>275000</v>
      </c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67"/>
      <c r="AI89" s="68"/>
      <c r="AK89" s="4">
        <f t="shared" si="26"/>
        <v>275000</v>
      </c>
      <c r="AL89" s="1" t="str">
        <f t="shared" si="27"/>
        <v>Ok</v>
      </c>
    </row>
    <row r="90" spans="2:39" ht="45" customHeight="1" x14ac:dyDescent="0.25">
      <c r="B90" s="51" t="s">
        <v>67</v>
      </c>
      <c r="C90" s="52"/>
      <c r="D90" s="37"/>
      <c r="E90" s="24">
        <f>+SUM(D91:D95)</f>
        <v>2385000</v>
      </c>
      <c r="F90" s="15"/>
      <c r="G90" s="21"/>
      <c r="H90" s="21"/>
      <c r="I90" s="21"/>
      <c r="J90" s="21"/>
      <c r="K90" s="21"/>
      <c r="L90" s="21"/>
      <c r="M90" s="21"/>
      <c r="N90" s="21"/>
      <c r="O90" s="21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25"/>
      <c r="AI90" s="26"/>
      <c r="AK90" s="65"/>
    </row>
    <row r="91" spans="2:39" ht="45" customHeight="1" x14ac:dyDescent="0.25">
      <c r="B91" s="27">
        <v>1</v>
      </c>
      <c r="C91" s="35" t="s">
        <v>68</v>
      </c>
      <c r="D91" s="37">
        <v>485000</v>
      </c>
      <c r="E91" s="38"/>
      <c r="F91" s="66"/>
      <c r="G91" s="69"/>
      <c r="H91" s="69"/>
      <c r="I91" s="69"/>
      <c r="J91" s="69"/>
      <c r="K91" s="69"/>
      <c r="L91" s="69">
        <v>150000</v>
      </c>
      <c r="M91" s="69"/>
      <c r="N91" s="69"/>
      <c r="O91" s="69">
        <v>150000</v>
      </c>
      <c r="P91" s="70">
        <v>185000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67"/>
      <c r="AI91" s="68"/>
      <c r="AK91" s="4">
        <f t="shared" ref="AK91" si="28">SUM(F91:AI91)</f>
        <v>485000</v>
      </c>
      <c r="AL91" s="1" t="str">
        <f t="shared" ref="AL91" si="29">IF(AK91=D91,"Ok","Fail")</f>
        <v>Ok</v>
      </c>
    </row>
    <row r="92" spans="2:39" ht="45" customHeight="1" x14ac:dyDescent="0.25">
      <c r="B92" s="27">
        <v>2</v>
      </c>
      <c r="C92" s="35" t="s">
        <v>44</v>
      </c>
      <c r="D92" s="37">
        <v>450000</v>
      </c>
      <c r="E92" s="38"/>
      <c r="F92" s="66"/>
      <c r="G92" s="69"/>
      <c r="H92" s="69"/>
      <c r="I92" s="69"/>
      <c r="J92" s="69"/>
      <c r="K92" s="69"/>
      <c r="L92" s="69">
        <v>150000</v>
      </c>
      <c r="M92" s="69"/>
      <c r="N92" s="69"/>
      <c r="O92" s="69">
        <v>150000</v>
      </c>
      <c r="P92" s="70">
        <v>150000</v>
      </c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67"/>
      <c r="AI92" s="68"/>
      <c r="AK92" s="4">
        <f t="shared" ref="AK92:AK95" si="30">SUM(F92:AI92)</f>
        <v>450000</v>
      </c>
      <c r="AL92" s="1" t="str">
        <f t="shared" ref="AL92:AL95" si="31">IF(AK92=D92,"Ok","Fail")</f>
        <v>Ok</v>
      </c>
    </row>
    <row r="93" spans="2:39" ht="45" customHeight="1" x14ac:dyDescent="0.25">
      <c r="B93" s="27">
        <v>3</v>
      </c>
      <c r="C93" s="35" t="s">
        <v>45</v>
      </c>
      <c r="D93" s="37">
        <v>350000</v>
      </c>
      <c r="E93" s="38"/>
      <c r="F93" s="66"/>
      <c r="G93" s="69"/>
      <c r="H93" s="69"/>
      <c r="I93" s="69"/>
      <c r="J93" s="69"/>
      <c r="K93" s="69"/>
      <c r="L93" s="69">
        <v>150000</v>
      </c>
      <c r="M93" s="69"/>
      <c r="N93" s="69"/>
      <c r="O93" s="69">
        <v>150000</v>
      </c>
      <c r="P93" s="70">
        <v>50000</v>
      </c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67"/>
      <c r="AI93" s="68"/>
      <c r="AK93" s="4">
        <f t="shared" si="30"/>
        <v>350000</v>
      </c>
      <c r="AL93" s="1" t="str">
        <f t="shared" si="31"/>
        <v>Ok</v>
      </c>
    </row>
    <row r="94" spans="2:39" ht="45" customHeight="1" x14ac:dyDescent="0.25">
      <c r="B94" s="27">
        <v>4</v>
      </c>
      <c r="C94" s="35" t="s">
        <v>46</v>
      </c>
      <c r="D94" s="37">
        <v>480000</v>
      </c>
      <c r="E94" s="38"/>
      <c r="F94" s="66"/>
      <c r="G94" s="69"/>
      <c r="H94" s="69"/>
      <c r="I94" s="69"/>
      <c r="J94" s="69"/>
      <c r="K94" s="69"/>
      <c r="L94" s="69">
        <v>200000</v>
      </c>
      <c r="M94" s="69"/>
      <c r="N94" s="69"/>
      <c r="O94" s="69">
        <v>150000</v>
      </c>
      <c r="P94" s="70">
        <v>130000</v>
      </c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67"/>
      <c r="AI94" s="68"/>
      <c r="AK94" s="4">
        <f t="shared" si="30"/>
        <v>480000</v>
      </c>
      <c r="AL94" s="1" t="str">
        <f t="shared" si="31"/>
        <v>Ok</v>
      </c>
    </row>
    <row r="95" spans="2:39" ht="45" customHeight="1" x14ac:dyDescent="0.25">
      <c r="B95" s="40">
        <v>5</v>
      </c>
      <c r="C95" s="35" t="s">
        <v>47</v>
      </c>
      <c r="D95" s="37">
        <v>620000</v>
      </c>
      <c r="E95" s="38"/>
      <c r="F95" s="66"/>
      <c r="G95" s="69"/>
      <c r="H95" s="69"/>
      <c r="I95" s="69"/>
      <c r="J95" s="69"/>
      <c r="K95" s="69"/>
      <c r="L95" s="69">
        <v>250000</v>
      </c>
      <c r="M95" s="69"/>
      <c r="N95" s="69"/>
      <c r="O95" s="69">
        <v>150000</v>
      </c>
      <c r="P95" s="70">
        <v>220000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67"/>
      <c r="AI95" s="68"/>
      <c r="AK95" s="4">
        <f t="shared" si="30"/>
        <v>620000</v>
      </c>
      <c r="AL95" s="1" t="str">
        <f t="shared" si="31"/>
        <v>Ok</v>
      </c>
    </row>
    <row r="96" spans="2:39" s="7" customFormat="1" ht="45" customHeight="1" thickBot="1" x14ac:dyDescent="0.3">
      <c r="B96" s="9"/>
      <c r="C96" s="10" t="s">
        <v>2</v>
      </c>
      <c r="D96" s="53">
        <f>+SUM(D8:D95)</f>
        <v>701559839</v>
      </c>
      <c r="E96" s="8"/>
      <c r="F96" s="8">
        <f t="shared" ref="F96:AG96" si="32">+SUM(F7:F95)</f>
        <v>10005750</v>
      </c>
      <c r="G96" s="8">
        <f t="shared" si="32"/>
        <v>15008625</v>
      </c>
      <c r="H96" s="8">
        <f t="shared" si="32"/>
        <v>17510063</v>
      </c>
      <c r="I96" s="8">
        <f t="shared" si="32"/>
        <v>21925926</v>
      </c>
      <c r="J96" s="8">
        <f t="shared" si="32"/>
        <v>24504379</v>
      </c>
      <c r="K96" s="8">
        <f t="shared" si="32"/>
        <v>24504379</v>
      </c>
      <c r="L96" s="8">
        <f t="shared" si="32"/>
        <v>24504379</v>
      </c>
      <c r="M96" s="8">
        <f t="shared" si="32"/>
        <v>24504379</v>
      </c>
      <c r="N96" s="8">
        <f t="shared" si="32"/>
        <v>24504379</v>
      </c>
      <c r="O96" s="8">
        <f t="shared" si="32"/>
        <v>24504379</v>
      </c>
      <c r="P96" s="8">
        <f t="shared" si="32"/>
        <v>24504379</v>
      </c>
      <c r="Q96" s="8">
        <f t="shared" si="32"/>
        <v>24504379</v>
      </c>
      <c r="R96" s="8">
        <f t="shared" si="32"/>
        <v>24504379</v>
      </c>
      <c r="S96" s="8">
        <f t="shared" si="32"/>
        <v>24504379</v>
      </c>
      <c r="T96" s="8">
        <f t="shared" si="32"/>
        <v>24504379</v>
      </c>
      <c r="U96" s="8">
        <f t="shared" si="32"/>
        <v>24504379</v>
      </c>
      <c r="V96" s="8">
        <f t="shared" si="32"/>
        <v>24504379</v>
      </c>
      <c r="W96" s="8">
        <f t="shared" si="32"/>
        <v>24504379</v>
      </c>
      <c r="X96" s="8">
        <f t="shared" si="32"/>
        <v>24495621</v>
      </c>
      <c r="Y96" s="8">
        <f t="shared" si="32"/>
        <v>24504379</v>
      </c>
      <c r="Z96" s="8">
        <f t="shared" si="32"/>
        <v>24504379</v>
      </c>
      <c r="AA96" s="8">
        <f t="shared" si="32"/>
        <v>24504379</v>
      </c>
      <c r="AB96" s="8">
        <f t="shared" si="32"/>
        <v>24504379</v>
      </c>
      <c r="AC96" s="8">
        <f t="shared" si="32"/>
        <v>24504379</v>
      </c>
      <c r="AD96" s="8">
        <f t="shared" si="32"/>
        <v>24504379</v>
      </c>
      <c r="AE96" s="8">
        <f t="shared" si="32"/>
        <v>24504379</v>
      </c>
      <c r="AF96" s="8">
        <f t="shared" si="32"/>
        <v>24504379</v>
      </c>
      <c r="AG96" s="8">
        <f t="shared" si="32"/>
        <v>24504379</v>
      </c>
      <c r="AH96" s="8">
        <f>+SUM(AH7:AH95)</f>
        <v>24504379</v>
      </c>
      <c r="AI96" s="11">
        <f>+SUM(AI7:AI95)</f>
        <v>24508758</v>
      </c>
      <c r="AJ96" s="2">
        <f>+SUM(F96:AI96)</f>
        <v>701559839</v>
      </c>
      <c r="AK96" s="2">
        <f>+D96-AJ96</f>
        <v>0</v>
      </c>
    </row>
    <row r="97" spans="4:37" x14ac:dyDescent="0.25">
      <c r="AJ97" s="3"/>
      <c r="AK97" s="3"/>
    </row>
    <row r="98" spans="4:37" ht="15" customHeight="1" x14ac:dyDescent="0.25"/>
    <row r="99" spans="4:37" ht="39.950000000000003" customHeight="1" x14ac:dyDescent="0.25">
      <c r="D99" s="42">
        <v>370000000</v>
      </c>
      <c r="E99" s="4"/>
      <c r="F99" s="63">
        <v>10005750</v>
      </c>
      <c r="G99" s="63">
        <v>15008625</v>
      </c>
      <c r="H99" s="63">
        <v>17510063</v>
      </c>
      <c r="I99" s="63">
        <v>21925926</v>
      </c>
      <c r="J99" s="61">
        <v>24504379</v>
      </c>
      <c r="K99" s="61">
        <v>24504379</v>
      </c>
      <c r="L99" s="61">
        <v>24504379</v>
      </c>
      <c r="M99" s="61">
        <v>24504379</v>
      </c>
      <c r="N99" s="61">
        <v>24504379</v>
      </c>
      <c r="O99" s="61">
        <v>24504379</v>
      </c>
      <c r="P99" s="61">
        <v>24504379</v>
      </c>
      <c r="Q99" s="61">
        <v>24504379</v>
      </c>
      <c r="R99" s="61">
        <v>24504379</v>
      </c>
      <c r="S99" s="61">
        <v>24504379</v>
      </c>
      <c r="T99" s="61">
        <v>24504379</v>
      </c>
      <c r="U99" s="61">
        <v>24504379</v>
      </c>
      <c r="V99" s="61">
        <v>24504379</v>
      </c>
      <c r="W99" s="61">
        <v>24504379</v>
      </c>
      <c r="X99" s="61">
        <v>24504379</v>
      </c>
      <c r="Y99" s="61">
        <v>24504379</v>
      </c>
      <c r="Z99" s="61">
        <v>24504379</v>
      </c>
      <c r="AA99" s="61">
        <v>24504379</v>
      </c>
      <c r="AB99" s="61">
        <v>24504379</v>
      </c>
      <c r="AC99" s="61">
        <v>24504379</v>
      </c>
      <c r="AD99" s="61">
        <v>24504379</v>
      </c>
      <c r="AE99" s="61">
        <v>24504379</v>
      </c>
      <c r="AF99" s="61">
        <v>24504379</v>
      </c>
      <c r="AG99" s="61">
        <v>24504379</v>
      </c>
      <c r="AH99" s="61">
        <v>24504379</v>
      </c>
      <c r="AI99" s="61">
        <v>24504379</v>
      </c>
      <c r="AJ99" s="62">
        <f>SUM(F99:AI99)</f>
        <v>701564218</v>
      </c>
    </row>
    <row r="100" spans="4:37" ht="39.950000000000003" customHeight="1" x14ac:dyDescent="0.25">
      <c r="D100" s="42">
        <f>+D96-D99</f>
        <v>331559839</v>
      </c>
      <c r="E100" s="4">
        <f>SUM(E7:E95)</f>
        <v>701559839</v>
      </c>
      <c r="F100" s="1">
        <v>1</v>
      </c>
      <c r="G100" s="1">
        <v>2</v>
      </c>
      <c r="H100" s="1">
        <v>3</v>
      </c>
      <c r="I100" s="1">
        <v>4</v>
      </c>
      <c r="J100" s="1">
        <v>5</v>
      </c>
      <c r="K100" s="1">
        <v>6</v>
      </c>
      <c r="L100" s="1">
        <v>7</v>
      </c>
      <c r="M100" s="1">
        <v>8</v>
      </c>
      <c r="N100" s="1">
        <v>9</v>
      </c>
      <c r="O100" s="1">
        <v>10</v>
      </c>
      <c r="P100" s="1">
        <v>11</v>
      </c>
      <c r="Q100" s="1">
        <v>12</v>
      </c>
      <c r="R100" s="1">
        <v>13</v>
      </c>
      <c r="S100" s="1">
        <v>14</v>
      </c>
      <c r="T100" s="1">
        <v>15</v>
      </c>
      <c r="U100" s="1">
        <v>16</v>
      </c>
      <c r="V100" s="1">
        <v>17</v>
      </c>
      <c r="W100" s="1">
        <v>18</v>
      </c>
      <c r="X100" s="1">
        <v>19</v>
      </c>
      <c r="Y100" s="1">
        <v>20</v>
      </c>
      <c r="Z100" s="1">
        <v>21</v>
      </c>
      <c r="AA100" s="1">
        <v>22</v>
      </c>
      <c r="AB100" s="1">
        <v>23</v>
      </c>
      <c r="AC100" s="1">
        <v>24</v>
      </c>
      <c r="AD100" s="1">
        <v>25</v>
      </c>
      <c r="AE100" s="1">
        <v>26</v>
      </c>
      <c r="AF100" s="1">
        <v>27</v>
      </c>
      <c r="AG100" s="1">
        <v>28</v>
      </c>
      <c r="AH100" s="1">
        <v>29</v>
      </c>
      <c r="AI100" s="1">
        <v>30</v>
      </c>
    </row>
    <row r="101" spans="4:37" ht="15" customHeight="1" x14ac:dyDescent="0.25">
      <c r="D101" s="43"/>
      <c r="G101" s="62"/>
      <c r="H101" s="62">
        <f t="shared" ref="H101:AH101" si="33">+H96-H99</f>
        <v>0</v>
      </c>
      <c r="I101" s="62">
        <f t="shared" si="33"/>
        <v>0</v>
      </c>
      <c r="J101" s="62">
        <f t="shared" si="33"/>
        <v>0</v>
      </c>
      <c r="K101" s="62">
        <f t="shared" si="33"/>
        <v>0</v>
      </c>
      <c r="L101" s="62">
        <f t="shared" si="33"/>
        <v>0</v>
      </c>
      <c r="M101" s="62">
        <f t="shared" si="33"/>
        <v>0</v>
      </c>
      <c r="N101" s="62">
        <f t="shared" si="33"/>
        <v>0</v>
      </c>
      <c r="O101" s="62">
        <f t="shared" si="33"/>
        <v>0</v>
      </c>
      <c r="P101" s="62">
        <f t="shared" si="33"/>
        <v>0</v>
      </c>
      <c r="Q101" s="62">
        <f t="shared" si="33"/>
        <v>0</v>
      </c>
      <c r="R101" s="62">
        <f t="shared" si="33"/>
        <v>0</v>
      </c>
      <c r="S101" s="62">
        <f t="shared" si="33"/>
        <v>0</v>
      </c>
      <c r="T101" s="62">
        <f t="shared" si="33"/>
        <v>0</v>
      </c>
      <c r="U101" s="62">
        <f t="shared" si="33"/>
        <v>0</v>
      </c>
      <c r="V101" s="62">
        <f t="shared" si="33"/>
        <v>0</v>
      </c>
      <c r="W101" s="62">
        <f t="shared" si="33"/>
        <v>0</v>
      </c>
      <c r="X101" s="62">
        <f t="shared" si="33"/>
        <v>-8758</v>
      </c>
      <c r="Y101" s="62">
        <f t="shared" si="33"/>
        <v>0</v>
      </c>
      <c r="Z101" s="62">
        <f t="shared" si="33"/>
        <v>0</v>
      </c>
      <c r="AA101" s="62">
        <f t="shared" si="33"/>
        <v>0</v>
      </c>
      <c r="AB101" s="62">
        <f t="shared" si="33"/>
        <v>0</v>
      </c>
      <c r="AC101" s="62">
        <f t="shared" si="33"/>
        <v>0</v>
      </c>
      <c r="AD101" s="62">
        <f t="shared" si="33"/>
        <v>0</v>
      </c>
      <c r="AE101" s="62">
        <f t="shared" si="33"/>
        <v>0</v>
      </c>
      <c r="AF101" s="62">
        <f t="shared" si="33"/>
        <v>0</v>
      </c>
      <c r="AG101" s="62">
        <f t="shared" si="33"/>
        <v>0</v>
      </c>
      <c r="AH101" s="62">
        <f t="shared" si="33"/>
        <v>0</v>
      </c>
      <c r="AI101" s="62"/>
    </row>
    <row r="102" spans="4:37" ht="15" customHeight="1" x14ac:dyDescent="0.25"/>
    <row r="103" spans="4:37" ht="15" customHeight="1" x14ac:dyDescent="0.25"/>
    <row r="104" spans="4:37" ht="15" customHeight="1" x14ac:dyDescent="0.25"/>
    <row r="105" spans="4:37" ht="15" customHeight="1" x14ac:dyDescent="0.25"/>
    <row r="106" spans="4:37" ht="15" customHeight="1" x14ac:dyDescent="0.25"/>
    <row r="107" spans="4:37" ht="15" customHeight="1" x14ac:dyDescent="0.25"/>
    <row r="108" spans="4:37" ht="15" customHeight="1" x14ac:dyDescent="0.25"/>
    <row r="109" spans="4:37" ht="15" customHeight="1" x14ac:dyDescent="0.25"/>
    <row r="110" spans="4:37" ht="15" customHeight="1" x14ac:dyDescent="0.25"/>
  </sheetData>
  <mergeCells count="8">
    <mergeCell ref="B1:AI1"/>
    <mergeCell ref="B3:AI3"/>
    <mergeCell ref="B2:AI2"/>
    <mergeCell ref="E5:E6"/>
    <mergeCell ref="F5:AI5"/>
    <mergeCell ref="B5:B6"/>
    <mergeCell ref="C5:C6"/>
    <mergeCell ref="D5:D6"/>
  </mergeCells>
  <dataValidations disablePrompts="1" count="1">
    <dataValidation type="textLength" errorStyle="warning" operator="lessThan" allowBlank="1" showInputMessage="1" showErrorMessage="1" prompt="100 caracteres" sqref="C35">
      <formula1>101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E17" sqref="E17"/>
    </sheetView>
  </sheetViews>
  <sheetFormatPr baseColWidth="10" defaultRowHeight="15" x14ac:dyDescent="0.25"/>
  <cols>
    <col min="1" max="1" width="3.7109375" customWidth="1"/>
    <col min="2" max="2" width="10.7109375" customWidth="1"/>
    <col min="3" max="3" width="40.7109375" customWidth="1"/>
    <col min="4" max="4" width="25.7109375" customWidth="1"/>
  </cols>
  <sheetData>
    <row r="4" spans="2:4" ht="15.75" thickBot="1" x14ac:dyDescent="0.3"/>
    <row r="5" spans="2:4" s="47" customFormat="1" ht="15.75" thickBot="1" x14ac:dyDescent="0.3">
      <c r="B5" s="48" t="s">
        <v>3</v>
      </c>
      <c r="C5" s="48" t="s">
        <v>69</v>
      </c>
      <c r="D5" s="48" t="s">
        <v>0</v>
      </c>
    </row>
    <row r="6" spans="2:4" x14ac:dyDescent="0.25">
      <c r="B6" s="44">
        <v>1</v>
      </c>
      <c r="C6" t="s">
        <v>71</v>
      </c>
      <c r="D6" s="45">
        <f>+'PLAN ACCION'!E7</f>
        <v>176424839</v>
      </c>
    </row>
    <row r="7" spans="2:4" x14ac:dyDescent="0.25">
      <c r="B7" s="44">
        <v>2</v>
      </c>
      <c r="C7" t="s">
        <v>72</v>
      </c>
      <c r="D7" s="45">
        <f>+'PLAN ACCION'!E20</f>
        <v>160420000</v>
      </c>
    </row>
    <row r="8" spans="2:4" x14ac:dyDescent="0.25">
      <c r="B8" s="44">
        <v>3</v>
      </c>
      <c r="C8" t="s">
        <v>73</v>
      </c>
      <c r="D8" s="45">
        <f>+'PLAN ACCION'!E34</f>
        <v>229925000</v>
      </c>
    </row>
    <row r="9" spans="2:4" x14ac:dyDescent="0.25">
      <c r="B9" s="44">
        <v>4</v>
      </c>
      <c r="C9" t="s">
        <v>74</v>
      </c>
      <c r="D9" s="45">
        <f>+'PLAN ACCION'!E58</f>
        <v>48290000</v>
      </c>
    </row>
    <row r="10" spans="2:4" x14ac:dyDescent="0.25">
      <c r="B10" s="44">
        <v>5</v>
      </c>
      <c r="C10" t="s">
        <v>75</v>
      </c>
      <c r="D10" s="45">
        <f>+'PLAN ACCION'!E64</f>
        <v>38355000</v>
      </c>
    </row>
    <row r="11" spans="2:4" x14ac:dyDescent="0.25">
      <c r="B11" s="44">
        <v>6</v>
      </c>
      <c r="C11" t="s">
        <v>76</v>
      </c>
      <c r="D11" s="45">
        <f>+'PLAN ACCION'!E71</f>
        <v>41350000</v>
      </c>
    </row>
    <row r="12" spans="2:4" x14ac:dyDescent="0.25">
      <c r="B12" s="44">
        <v>7</v>
      </c>
      <c r="C12" t="s">
        <v>77</v>
      </c>
      <c r="D12" s="45">
        <f>+'PLAN ACCION'!E82</f>
        <v>4410000</v>
      </c>
    </row>
    <row r="13" spans="2:4" ht="15.75" thickBot="1" x14ac:dyDescent="0.3">
      <c r="B13" s="44">
        <v>8</v>
      </c>
      <c r="C13" t="s">
        <v>78</v>
      </c>
      <c r="D13" s="45">
        <f>+'PLAN ACCION'!E90</f>
        <v>2385000</v>
      </c>
    </row>
    <row r="14" spans="2:4" s="46" customFormat="1" ht="15.75" thickBot="1" x14ac:dyDescent="0.3">
      <c r="B14" s="49"/>
      <c r="C14" s="48" t="s">
        <v>2</v>
      </c>
      <c r="D14" s="50">
        <f>+SUM(D6:D13)</f>
        <v>701559839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ACCION</vt:lpstr>
      <vt:lpstr>Hoja1</vt:lpstr>
      <vt:lpstr>'PLAN ACCION'!Área_de_impresión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 Rivadeneira</dc:creator>
  <cp:lastModifiedBy>Veronica Sanchez</cp:lastModifiedBy>
  <cp:lastPrinted>2021-10-28T00:29:36Z</cp:lastPrinted>
  <dcterms:created xsi:type="dcterms:W3CDTF">2015-01-06T14:57:39Z</dcterms:created>
  <dcterms:modified xsi:type="dcterms:W3CDTF">2022-06-28T18:04:04Z</dcterms:modified>
</cp:coreProperties>
</file>