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800"/>
  </bookViews>
  <sheets>
    <sheet name="CxP Agua" sheetId="1" r:id="rId1"/>
  </sheets>
  <externalReferences>
    <externalReference r:id="rId2"/>
  </externalReferences>
  <definedNames>
    <definedName name="_xlnm._FilterDatabase" localSheetId="0" hidden="1">'CxP Agua'!$A$5:$CZ$40</definedName>
    <definedName name="_xlnm.Print_Area" localSheetId="0">'CxP Agua'!$A$1:$CZ$49</definedName>
    <definedName name="SERVICIO_BÁSICO">[1]Reportes!$B$100:$B$103</definedName>
    <definedName name="Z_9487CDA0_D11F_42D5_888B_EF584EFB71BE_.wvu.Cols" localSheetId="0" hidden="1">'CxP Agua'!$E:$I,'CxP Agua'!$K:$Q,'CxP Agua'!$S:$Y,'CxP Agua'!$AA:$AB,'CxP Agua'!$AK:$CV</definedName>
    <definedName name="Z_9487CDA0_D11F_42D5_888B_EF584EFB71BE_.wvu.FilterData" localSheetId="0" hidden="1">'CxP Agua'!$A$5:$CZ$40</definedName>
    <definedName name="Z_9487CDA0_D11F_42D5_888B_EF584EFB71BE_.wvu.PrintArea" localSheetId="0" hidden="1">'CxP Agua'!$A$1:$CZ$49</definedName>
    <definedName name="Z_9487CDA0_D11F_42D5_888B_EF584EFB71BE_.wvu.Rows" localSheetId="0" hidden="1">'CxP Agua'!$58:$69</definedName>
    <definedName name="Z_F3B99B51_85F9_416B_AC01_AB7BE8750238_.wvu.Cols" localSheetId="0" hidden="1">'CxP Agua'!$E:$I,'CxP Agua'!$K:$Q,'CxP Agua'!$S:$Y,'CxP Agua'!$AA:$AG,'CxP Agua'!$AI:$AO,'CxP Agua'!$AQ:$AW,'CxP Agua'!$AY:$AZ,'CxP Agua'!$BI:$CV</definedName>
    <definedName name="Z_F3B99B51_85F9_416B_AC01_AB7BE8750238_.wvu.FilterData" localSheetId="0" hidden="1">'CxP Agua'!$A$5:$CZ$40</definedName>
    <definedName name="Z_F3B99B51_85F9_416B_AC01_AB7BE8750238_.wvu.PrintArea" localSheetId="0" hidden="1">'CxP Agua'!$A$1:$CZ$49</definedName>
    <definedName name="Z_F3B99B51_85F9_416B_AC01_AB7BE8750238_.wvu.Rows" localSheetId="0" hidden="1">'CxP Agua'!$58:$69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W48" i="1" l="1"/>
  <c r="C48" i="1"/>
  <c r="DC44" i="1"/>
  <c r="DB44" i="1"/>
  <c r="CX42" i="1"/>
  <c r="CX46" i="1" s="1"/>
  <c r="CW42" i="1"/>
  <c r="CW46" i="1" s="1"/>
  <c r="CT42" i="1"/>
  <c r="CL42" i="1"/>
  <c r="BV42" i="1"/>
  <c r="AS42" i="1"/>
  <c r="Z42" i="1"/>
  <c r="Z48" i="1" s="1"/>
  <c r="R42" i="1"/>
  <c r="J42" i="1"/>
  <c r="C42" i="1"/>
  <c r="DB40" i="1"/>
  <c r="BN40" i="1"/>
  <c r="BF40" i="1"/>
  <c r="AX40" i="1"/>
  <c r="AP40" i="1"/>
  <c r="AH40" i="1"/>
  <c r="DB39" i="1"/>
  <c r="BN39" i="1"/>
  <c r="BF39" i="1"/>
  <c r="AX39" i="1"/>
  <c r="AP39" i="1"/>
  <c r="AH39" i="1"/>
  <c r="DB38" i="1"/>
  <c r="BN38" i="1"/>
  <c r="BF38" i="1"/>
  <c r="AX38" i="1"/>
  <c r="AP38" i="1"/>
  <c r="AH38" i="1"/>
  <c r="DB37" i="1"/>
  <c r="BN37" i="1"/>
  <c r="BF37" i="1"/>
  <c r="AX37" i="1"/>
  <c r="AP37" i="1"/>
  <c r="AH37" i="1"/>
  <c r="DB36" i="1"/>
  <c r="BN36" i="1"/>
  <c r="BF36" i="1"/>
  <c r="AX36" i="1"/>
  <c r="AP36" i="1"/>
  <c r="AH36" i="1"/>
  <c r="DB35" i="1"/>
  <c r="BN35" i="1"/>
  <c r="BF35" i="1"/>
  <c r="AX35" i="1"/>
  <c r="AP35" i="1"/>
  <c r="AH35" i="1"/>
  <c r="DB34" i="1"/>
  <c r="BN34" i="1"/>
  <c r="BF34" i="1"/>
  <c r="AX34" i="1"/>
  <c r="AP34" i="1"/>
  <c r="AH34" i="1"/>
  <c r="DB33" i="1"/>
  <c r="BN33" i="1"/>
  <c r="BF33" i="1"/>
  <c r="AX33" i="1"/>
  <c r="AP33" i="1"/>
  <c r="AH33" i="1"/>
  <c r="DB32" i="1"/>
  <c r="BN32" i="1"/>
  <c r="BF32" i="1"/>
  <c r="AX32" i="1"/>
  <c r="AP32" i="1"/>
  <c r="AH32" i="1"/>
  <c r="DB31" i="1"/>
  <c r="BN31" i="1"/>
  <c r="BF31" i="1"/>
  <c r="AX31" i="1"/>
  <c r="AP31" i="1"/>
  <c r="AH31" i="1"/>
  <c r="DB30" i="1"/>
  <c r="BN30" i="1"/>
  <c r="BF30" i="1"/>
  <c r="AX30" i="1"/>
  <c r="AP30" i="1"/>
  <c r="AH30" i="1"/>
  <c r="DB29" i="1"/>
  <c r="BN29" i="1"/>
  <c r="BF29" i="1"/>
  <c r="AX29" i="1"/>
  <c r="AP29" i="1"/>
  <c r="AH29" i="1"/>
  <c r="DB28" i="1"/>
  <c r="BN28" i="1"/>
  <c r="BF28" i="1"/>
  <c r="AX28" i="1"/>
  <c r="AP28" i="1"/>
  <c r="AH28" i="1"/>
  <c r="DB27" i="1"/>
  <c r="BN27" i="1"/>
  <c r="BF27" i="1"/>
  <c r="AX27" i="1"/>
  <c r="AP27" i="1"/>
  <c r="AH27" i="1"/>
  <c r="DB26" i="1"/>
  <c r="BN26" i="1"/>
  <c r="BF26" i="1"/>
  <c r="AX26" i="1"/>
  <c r="AP26" i="1"/>
  <c r="AH26" i="1"/>
  <c r="DB25" i="1"/>
  <c r="BN25" i="1"/>
  <c r="BF25" i="1"/>
  <c r="AX25" i="1"/>
  <c r="AP25" i="1"/>
  <c r="AH25" i="1"/>
  <c r="DB24" i="1"/>
  <c r="BN24" i="1"/>
  <c r="BF24" i="1"/>
  <c r="AX24" i="1"/>
  <c r="AP24" i="1"/>
  <c r="AH24" i="1"/>
  <c r="DB23" i="1"/>
  <c r="BN23" i="1"/>
  <c r="BF23" i="1"/>
  <c r="AX23" i="1"/>
  <c r="AP23" i="1"/>
  <c r="AH23" i="1"/>
  <c r="DB22" i="1"/>
  <c r="BN22" i="1"/>
  <c r="BF22" i="1"/>
  <c r="AX22" i="1"/>
  <c r="AP22" i="1"/>
  <c r="AH22" i="1"/>
  <c r="DB21" i="1"/>
  <c r="BN21" i="1"/>
  <c r="BF21" i="1"/>
  <c r="AX21" i="1"/>
  <c r="AP21" i="1"/>
  <c r="AH21" i="1"/>
  <c r="DB20" i="1"/>
  <c r="BN20" i="1"/>
  <c r="BF20" i="1"/>
  <c r="AX20" i="1"/>
  <c r="AP20" i="1"/>
  <c r="AH20" i="1"/>
  <c r="DB19" i="1"/>
  <c r="BN19" i="1"/>
  <c r="BF19" i="1"/>
  <c r="AX19" i="1"/>
  <c r="AP19" i="1"/>
  <c r="AH19" i="1"/>
  <c r="DB18" i="1"/>
  <c r="BN18" i="1"/>
  <c r="BF18" i="1"/>
  <c r="AX18" i="1"/>
  <c r="AP18" i="1"/>
  <c r="AH18" i="1"/>
  <c r="DB17" i="1"/>
  <c r="BN17" i="1"/>
  <c r="BF17" i="1"/>
  <c r="AX17" i="1"/>
  <c r="AP17" i="1"/>
  <c r="AH17" i="1"/>
  <c r="DB16" i="1"/>
  <c r="BN16" i="1"/>
  <c r="BF16" i="1"/>
  <c r="AX16" i="1"/>
  <c r="AP16" i="1"/>
  <c r="AH16" i="1"/>
  <c r="DB15" i="1"/>
  <c r="BN15" i="1"/>
  <c r="BF15" i="1"/>
  <c r="AX15" i="1"/>
  <c r="AP15" i="1"/>
  <c r="AH15" i="1"/>
  <c r="DB14" i="1"/>
  <c r="BN14" i="1"/>
  <c r="BF14" i="1"/>
  <c r="AX14" i="1"/>
  <c r="AP14" i="1"/>
  <c r="AH14" i="1"/>
  <c r="DB13" i="1"/>
  <c r="BN13" i="1"/>
  <c r="BF13" i="1"/>
  <c r="AX13" i="1"/>
  <c r="AP13" i="1"/>
  <c r="AH13" i="1"/>
  <c r="DB12" i="1"/>
  <c r="BN12" i="1"/>
  <c r="BF12" i="1"/>
  <c r="AX12" i="1"/>
  <c r="AP12" i="1"/>
  <c r="AH12" i="1"/>
  <c r="DB11" i="1"/>
  <c r="BN11" i="1"/>
  <c r="BF11" i="1"/>
  <c r="AX11" i="1"/>
  <c r="AP11" i="1"/>
  <c r="AH11" i="1"/>
  <c r="DB10" i="1"/>
  <c r="BN10" i="1"/>
  <c r="BF10" i="1"/>
  <c r="AX10" i="1"/>
  <c r="AP10" i="1"/>
  <c r="AH10" i="1"/>
  <c r="DB9" i="1"/>
  <c r="BN9" i="1"/>
  <c r="BF9" i="1"/>
  <c r="AX9" i="1"/>
  <c r="AP9" i="1"/>
  <c r="AH9" i="1"/>
  <c r="DB8" i="1"/>
  <c r="BN8" i="1"/>
  <c r="BF8" i="1"/>
  <c r="AX8" i="1"/>
  <c r="AP8" i="1"/>
  <c r="AH8" i="1"/>
  <c r="DB7" i="1"/>
  <c r="BN7" i="1"/>
  <c r="BF7" i="1"/>
  <c r="AX7" i="1"/>
  <c r="AP7" i="1"/>
  <c r="AH7" i="1"/>
  <c r="DB6" i="1"/>
  <c r="CD42" i="1"/>
  <c r="BN6" i="1"/>
  <c r="BF6" i="1"/>
  <c r="AX6" i="1"/>
  <c r="AP6" i="1"/>
  <c r="AP42" i="1" s="1"/>
  <c r="AH6" i="1"/>
  <c r="C49" i="1"/>
  <c r="AH42" i="1" l="1"/>
  <c r="DC8" i="1"/>
  <c r="DC12" i="1"/>
  <c r="DC16" i="1"/>
  <c r="DC20" i="1"/>
  <c r="DC24" i="1"/>
  <c r="DC28" i="1"/>
  <c r="DC32" i="1"/>
  <c r="DC36" i="1"/>
  <c r="AX42" i="1"/>
  <c r="AX46" i="1" s="1"/>
  <c r="BN42" i="1"/>
  <c r="BN46" i="1" s="1"/>
  <c r="BF42" i="1"/>
  <c r="BF46" i="1" s="1"/>
  <c r="DC10" i="1"/>
  <c r="DC14" i="1"/>
  <c r="DC18" i="1"/>
  <c r="DC22" i="1"/>
  <c r="DC26" i="1"/>
  <c r="DC30" i="1"/>
  <c r="DC34" i="1"/>
  <c r="DC38" i="1"/>
  <c r="DC15" i="1"/>
  <c r="DB42" i="1"/>
  <c r="DC13" i="1"/>
  <c r="DC17" i="1"/>
  <c r="DC25" i="1"/>
  <c r="DC29" i="1"/>
  <c r="DC33" i="1"/>
  <c r="DC11" i="1"/>
  <c r="DC9" i="1"/>
  <c r="DC21" i="1"/>
  <c r="DC37" i="1"/>
  <c r="DC40" i="1"/>
  <c r="DC7" i="1"/>
  <c r="DC19" i="1"/>
  <c r="DC23" i="1"/>
  <c r="DC27" i="1"/>
  <c r="DC31" i="1"/>
  <c r="DC35" i="1"/>
  <c r="DC39" i="1"/>
  <c r="DC6" i="1"/>
  <c r="DC42" i="1" s="1"/>
</calcChain>
</file>

<file path=xl/comments1.xml><?xml version="1.0" encoding="utf-8"?>
<comments xmlns="http://schemas.openxmlformats.org/spreadsheetml/2006/main">
  <authors>
    <author>Ernesto Barahona Rojas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TARIFA </t>
        </r>
        <r>
          <rPr>
            <b/>
            <sz val="9"/>
            <color indexed="81"/>
            <rFont val="Tahoma"/>
            <family val="2"/>
          </rPr>
          <t>OFICIAL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TARIFA: </t>
        </r>
        <r>
          <rPr>
            <b/>
            <sz val="9"/>
            <color indexed="81"/>
            <rFont val="Tahoma"/>
            <family val="2"/>
          </rPr>
          <t>DOMÉSTICO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1615001440A MEDIDOR ROBADO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001-012-032983302</t>
        </r>
      </text>
    </comment>
    <comment ref="Y11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22-4-2022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143,99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DOMESTICO</t>
        </r>
      </text>
    </comment>
    <comment ref="AP25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55 MESES IMPAGOS
</t>
        </r>
      </text>
    </comment>
    <comment ref="AX25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56 meses de MORA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Tarifa DOMÉSTICO</t>
        </r>
      </text>
    </comment>
    <comment ref="AP29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52 MESES IMPAGOS
</t>
        </r>
      </text>
    </comment>
    <comment ref="AP31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43 MESES IMPAGOS
</t>
        </r>
      </text>
    </comment>
    <comment ref="AP32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37 MESES IMPAGOS
</t>
        </r>
      </text>
    </comment>
    <comment ref="AP33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43 MESES IMPAGOS
</t>
        </r>
      </text>
    </comment>
    <comment ref="AP34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43 MESES IMPAGOS
</t>
        </r>
      </text>
    </comment>
    <comment ref="AP35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44 MESES IMPAGOS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1725025494 OTRO MEDIDOR
</t>
        </r>
      </text>
    </comment>
    <comment ref="AP36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43 MESES IMPAGOS
</t>
        </r>
      </text>
    </comment>
    <comment ref="AP37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43 MESES IMPAGOS
</t>
        </r>
      </text>
    </comment>
    <comment ref="AP38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43 MESES IMPAGOS
</t>
        </r>
      </text>
    </comment>
    <comment ref="AP39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43 MESES IMPAGOS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Medidor según facturas: 31110113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Tramitar cambio RUC y Razón social a la EPMTPQ</t>
        </r>
      </text>
    </comment>
    <comment ref="Z44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19 MESES DE MORA</t>
        </r>
      </text>
    </comment>
    <comment ref="AP44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21 MESES DE MORA</t>
        </r>
      </text>
    </comment>
    <comment ref="AX44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Meses de Mora: 22</t>
        </r>
      </text>
    </comment>
    <comment ref="BN44" authorId="0" shapeId="0">
      <text>
        <r>
          <rPr>
            <b/>
            <sz val="9"/>
            <color indexed="81"/>
            <rFont val="Tahoma"/>
            <family val="2"/>
          </rPr>
          <t>Ernesto Barahona Rojas:</t>
        </r>
        <r>
          <rPr>
            <sz val="9"/>
            <color indexed="81"/>
            <rFont val="Tahoma"/>
            <family val="2"/>
          </rPr>
          <t xml:space="preserve">
24 meses impagos</t>
        </r>
      </text>
    </comment>
  </commentList>
</comments>
</file>

<file path=xl/sharedStrings.xml><?xml version="1.0" encoding="utf-8"?>
<sst xmlns="http://schemas.openxmlformats.org/spreadsheetml/2006/main" count="600" uniqueCount="502">
  <si>
    <t>EMPRESA PUBLICA METROPOLITANA DE TRANSPORTE DE PASAJEROS DE QUITO</t>
  </si>
  <si>
    <t>COORDINACION ADMINISTRATIVA</t>
  </si>
  <si>
    <t>LOCALIDAD</t>
  </si>
  <si>
    <t>No. MEDIDOR</t>
  </si>
  <si>
    <t>CUENTA</t>
  </si>
  <si>
    <t>DIRECCION</t>
  </si>
  <si>
    <t>N° Factura</t>
  </si>
  <si>
    <t>Desde</t>
  </si>
  <si>
    <t>Hasta</t>
  </si>
  <si>
    <r>
      <t>CONSUMO m</t>
    </r>
    <r>
      <rPr>
        <b/>
        <vertAlign val="superscript"/>
        <sz val="8"/>
        <rFont val="Arial Narrow"/>
        <family val="2"/>
      </rPr>
      <t>3</t>
    </r>
  </si>
  <si>
    <t>Vencimiento</t>
  </si>
  <si>
    <t>N° ORDEN DE PAGO</t>
  </si>
  <si>
    <t>Fecha Orden de Pago</t>
  </si>
  <si>
    <t>Multas</t>
  </si>
  <si>
    <t>Intereses</t>
  </si>
  <si>
    <t>Cuotas Pendientes</t>
  </si>
  <si>
    <t>Impaga</t>
  </si>
  <si>
    <t>$$$</t>
  </si>
  <si>
    <t>QUITUMBE ÑAN</t>
  </si>
  <si>
    <t>1615005301B</t>
  </si>
  <si>
    <t>AV Oe3 QUITUMBE ÑAN SN</t>
  </si>
  <si>
    <t>001-012-031101210</t>
  </si>
  <si>
    <t>001-012-031782595</t>
  </si>
  <si>
    <t>001-012-032536625</t>
  </si>
  <si>
    <t>001-012-033220765</t>
  </si>
  <si>
    <t>001-012-033957855</t>
  </si>
  <si>
    <t>001-012-034687039</t>
  </si>
  <si>
    <t>001-012-035550382</t>
  </si>
  <si>
    <t>001-012-036288886</t>
  </si>
  <si>
    <t>001-012-037024628</t>
  </si>
  <si>
    <t>001-012-037686664</t>
  </si>
  <si>
    <t>JEFFERSON PEREZ</t>
  </si>
  <si>
    <t>1615001443A</t>
  </si>
  <si>
    <t>AV EJE LONG. PEDRO VICENTE MALDONADO SN</t>
  </si>
  <si>
    <t>001-012-031296267</t>
  </si>
  <si>
    <t>001-012-032031731</t>
  </si>
  <si>
    <t>001-012-032748284</t>
  </si>
  <si>
    <t>001-012-033466585</t>
  </si>
  <si>
    <t>001-012-034204262</t>
  </si>
  <si>
    <t>001-012-034940904</t>
  </si>
  <si>
    <t>001-012-035776703</t>
  </si>
  <si>
    <t>001-012-036531314</t>
  </si>
  <si>
    <t>001-012-037239526</t>
  </si>
  <si>
    <t>001-012-037940066</t>
  </si>
  <si>
    <t>EL PINTADO</t>
  </si>
  <si>
    <t>AV SUCRE ANTONIO LT S/N</t>
  </si>
  <si>
    <t>001-012-031291488</t>
  </si>
  <si>
    <t>001-012-032043170</t>
  </si>
  <si>
    <t>001-012-032758391</t>
  </si>
  <si>
    <t>001-012-033458538</t>
  </si>
  <si>
    <t>001-012-034197703</t>
  </si>
  <si>
    <t>001-012-034934237</t>
  </si>
  <si>
    <t>001-012-035809790</t>
  </si>
  <si>
    <t>001-012-036500253</t>
  </si>
  <si>
    <t>001-012-037248088</t>
  </si>
  <si>
    <t>001-012-037941025</t>
  </si>
  <si>
    <t>SANTO DOMINGO S-N</t>
  </si>
  <si>
    <t>1615002202A</t>
  </si>
  <si>
    <t>CA N2 BOLIVAR SN</t>
  </si>
  <si>
    <t>001-012-031519828</t>
  </si>
  <si>
    <t>001-012-032265077</t>
  </si>
  <si>
    <t>001-012-032983300</t>
  </si>
  <si>
    <t>001-012-033705647</t>
  </si>
  <si>
    <t>001-012-034423797</t>
  </si>
  <si>
    <t>001-012-035144244</t>
  </si>
  <si>
    <t>001-012-036012077</t>
  </si>
  <si>
    <t>001-012-036732491</t>
  </si>
  <si>
    <t>001-012-037438415</t>
  </si>
  <si>
    <t>001-012-038119497</t>
  </si>
  <si>
    <t>SANTO SOMINGO N-S</t>
  </si>
  <si>
    <t>1615002796A</t>
  </si>
  <si>
    <t>CA EJE TRANS. VICENTE ROCAFUERTE SN</t>
  </si>
  <si>
    <t>001-012-031519827</t>
  </si>
  <si>
    <t>001-012-032265078</t>
  </si>
  <si>
    <t>001-012-032983301</t>
  </si>
  <si>
    <t>001-012-033705648</t>
  </si>
  <si>
    <t>001-012-034423796</t>
  </si>
  <si>
    <t>001-012-035144242</t>
  </si>
  <si>
    <t>001-012-036012079</t>
  </si>
  <si>
    <t>001-012-036732492</t>
  </si>
  <si>
    <t>001-012-037438416</t>
  </si>
  <si>
    <t>001-012-038119496</t>
  </si>
  <si>
    <t>HNO MIGUEL S-N</t>
  </si>
  <si>
    <t>Y2115012273</t>
  </si>
  <si>
    <t>CA EJE LONG. JUAN PIO MONTUFAR LARREA SN</t>
  </si>
  <si>
    <t>001-012-031519829</t>
  </si>
  <si>
    <t>001-012-032265880</t>
  </si>
  <si>
    <t>001-013-000105535</t>
  </si>
  <si>
    <t>001-012-033705649</t>
  </si>
  <si>
    <t>001-012-034423801</t>
  </si>
  <si>
    <t>001-012-035144246</t>
  </si>
  <si>
    <t>001-012-036012084</t>
  </si>
  <si>
    <t>001-012-036732493</t>
  </si>
  <si>
    <t>001-012-037438421</t>
  </si>
  <si>
    <t>001-012-038119505</t>
  </si>
  <si>
    <t>RECOLETA S-N</t>
  </si>
  <si>
    <t>1615002201A</t>
  </si>
  <si>
    <t>001-012-031519870</t>
  </si>
  <si>
    <t>001-012-032265885</t>
  </si>
  <si>
    <t>001-012-032983724</t>
  </si>
  <si>
    <t>001-012-033705686</t>
  </si>
  <si>
    <t>001-012-034423910</t>
  </si>
  <si>
    <t>001-012-035144283</t>
  </si>
  <si>
    <t>001-012-036012124</t>
  </si>
  <si>
    <t>001-012-036732528</t>
  </si>
  <si>
    <t>001-012-037438462</t>
  </si>
  <si>
    <t>001-012-038119544</t>
  </si>
  <si>
    <t>LA MARISCAL S-N</t>
  </si>
  <si>
    <t>1615002081A</t>
  </si>
  <si>
    <t>AV EJE LONG. 10 DE AGOSTO SN</t>
  </si>
  <si>
    <t>001-012-031519877</t>
  </si>
  <si>
    <t>001-012-032265891</t>
  </si>
  <si>
    <t>001-012-032983736</t>
  </si>
  <si>
    <t>001-012-033705698</t>
  </si>
  <si>
    <t>001-012-034423911</t>
  </si>
  <si>
    <t>001-012-035144301</t>
  </si>
  <si>
    <t>001-012-036012126</t>
  </si>
  <si>
    <t>001-012-036732538</t>
  </si>
  <si>
    <t>001-012-037438464</t>
  </si>
  <si>
    <t>001-012-038119546</t>
  </si>
  <si>
    <t>SANTA CLARA S-N</t>
  </si>
  <si>
    <t>1615002064A</t>
  </si>
  <si>
    <t>CA N22B GIL RAMIREZ DAVALOS SN</t>
  </si>
  <si>
    <t>001-012-031519879</t>
  </si>
  <si>
    <t>001-012-032265894</t>
  </si>
  <si>
    <t>001-012-032983738</t>
  </si>
  <si>
    <t>001-012-033705700</t>
  </si>
  <si>
    <t>001-012-034423924</t>
  </si>
  <si>
    <t>001-012-035144297</t>
  </si>
  <si>
    <t>001-012-036012133</t>
  </si>
  <si>
    <t>001-012-036732540</t>
  </si>
  <si>
    <t>001-012-037438475</t>
  </si>
  <si>
    <t>001-012-038119557</t>
  </si>
  <si>
    <t>BS Dos Puentes S/N</t>
  </si>
  <si>
    <t>73ABC</t>
  </si>
  <si>
    <t>AV Mar ANTONIO JOSE DE SUCRE SN</t>
  </si>
  <si>
    <t>001-012-031519933</t>
  </si>
  <si>
    <t>001-012-032265910</t>
  </si>
  <si>
    <t>001-012-032983745</t>
  </si>
  <si>
    <t>001-012-033705755</t>
  </si>
  <si>
    <t>001-012-034423951</t>
  </si>
  <si>
    <t>001-012-035144340</t>
  </si>
  <si>
    <t>001-012-036012183</t>
  </si>
  <si>
    <t>001-012-036732595</t>
  </si>
  <si>
    <t>001-012-037438521</t>
  </si>
  <si>
    <t>001-012-038119612</t>
  </si>
  <si>
    <t>COLON S-N</t>
  </si>
  <si>
    <t>1615002068A</t>
  </si>
  <si>
    <t>001-012-031519938</t>
  </si>
  <si>
    <t>001-012-032265150</t>
  </si>
  <si>
    <t>001-012-032983352</t>
  </si>
  <si>
    <t>001-012-033705758</t>
  </si>
  <si>
    <t>001-012-034423953</t>
  </si>
  <si>
    <t>001-012-035144343</t>
  </si>
  <si>
    <t>001-012-036012191</t>
  </si>
  <si>
    <t>001-012-036732598</t>
  </si>
  <si>
    <t>001-012-037438539</t>
  </si>
  <si>
    <t>001-012-038119620</t>
  </si>
  <si>
    <t>CUERO Y CAICEDO S-N</t>
  </si>
  <si>
    <t>1615002069A</t>
  </si>
  <si>
    <t>001-012-031519950</t>
  </si>
  <si>
    <t>001-012-032265155</t>
  </si>
  <si>
    <t>001-012-032983755</t>
  </si>
  <si>
    <t>001-012-033705768</t>
  </si>
  <si>
    <t>001-012-034423976</t>
  </si>
  <si>
    <t>001-012-035144366</t>
  </si>
  <si>
    <t>001-012-036012210</t>
  </si>
  <si>
    <t>001-012-036732608</t>
  </si>
  <si>
    <t>001-012-037438548</t>
  </si>
  <si>
    <t>001-012-038119633</t>
  </si>
  <si>
    <t>CHIMBACALLE S-N</t>
  </si>
  <si>
    <t>82ABC</t>
  </si>
  <si>
    <t>001-012-031519970</t>
  </si>
  <si>
    <t>001-012-032265160</t>
  </si>
  <si>
    <t>001-012-032983368</t>
  </si>
  <si>
    <t>001-012-033705785</t>
  </si>
  <si>
    <t>001-012-034423979</t>
  </si>
  <si>
    <t>001-012-035144372</t>
  </si>
  <si>
    <t>001-012-036012214</t>
  </si>
  <si>
    <t>001-012-036732625</t>
  </si>
  <si>
    <t>001-012-037438552</t>
  </si>
  <si>
    <t>001-012-038119638</t>
  </si>
  <si>
    <t>CUERO Y CAICEDO N-S</t>
  </si>
  <si>
    <t>1615002067A</t>
  </si>
  <si>
    <t>001-012-031519972</t>
  </si>
  <si>
    <t>001-012-032265929</t>
  </si>
  <si>
    <t>001-012-032983371</t>
  </si>
  <si>
    <t>001-012-033705788</t>
  </si>
  <si>
    <t>001-012-034423982</t>
  </si>
  <si>
    <t>001-012-035144381</t>
  </si>
  <si>
    <t>001-012-036012223</t>
  </si>
  <si>
    <t>001-012-036732628</t>
  </si>
  <si>
    <t>001-012-037438565</t>
  </si>
  <si>
    <t>001-012-038119654</t>
  </si>
  <si>
    <t>MARIANA DE JESUS N-S</t>
  </si>
  <si>
    <t>1615001468A</t>
  </si>
  <si>
    <t>001-012-031519990</t>
  </si>
  <si>
    <t>001-012-032265173</t>
  </si>
  <si>
    <t>001-012-032983381</t>
  </si>
  <si>
    <t>001-012-033705806</t>
  </si>
  <si>
    <t>001-012-034424000</t>
  </si>
  <si>
    <t>001-012-035144393</t>
  </si>
  <si>
    <t>001-012-036012233</t>
  </si>
  <si>
    <t>001-012-036732646</t>
  </si>
  <si>
    <t>001-012-037438572</t>
  </si>
  <si>
    <t>001-012-038119674</t>
  </si>
  <si>
    <t>BS CAROLINA N-S</t>
  </si>
  <si>
    <t>1615006400A</t>
  </si>
  <si>
    <t>AV DE LA REPUBLICA SN</t>
  </si>
  <si>
    <t>001-012-031519991</t>
  </si>
  <si>
    <t>001-012-032265945</t>
  </si>
  <si>
    <t>001-012-032983382</t>
  </si>
  <si>
    <t>001-012-033705807</t>
  </si>
  <si>
    <t>001-012-034424001</t>
  </si>
  <si>
    <t>001-012-035144398</t>
  </si>
  <si>
    <t>001-012-036012234</t>
  </si>
  <si>
    <t>001-012-036732647</t>
  </si>
  <si>
    <t>001-012-037438571</t>
  </si>
  <si>
    <t>001-012-038119673</t>
  </si>
  <si>
    <t>EL FLORON N-S</t>
  </si>
  <si>
    <t>1615006228A</t>
  </si>
  <si>
    <t>001-012-031519995</t>
  </si>
  <si>
    <t>001-012-032265174</t>
  </si>
  <si>
    <t>001-012-032983383</t>
  </si>
  <si>
    <t>001-012-033705808</t>
  </si>
  <si>
    <t>001-012-034424006</t>
  </si>
  <si>
    <t>001-012-035144397</t>
  </si>
  <si>
    <t>001-012-036012249</t>
  </si>
  <si>
    <t>001-012-036732648</t>
  </si>
  <si>
    <t>001-012-037438587</t>
  </si>
  <si>
    <t>001-012-038119675</t>
  </si>
  <si>
    <t>MARIANA DE JESUS S-N</t>
  </si>
  <si>
    <t>1615003128A</t>
  </si>
  <si>
    <t>001-012-031520065</t>
  </si>
  <si>
    <t>001-012-032265966</t>
  </si>
  <si>
    <t>001-012-032983791</t>
  </si>
  <si>
    <t>001-012-033705881</t>
  </si>
  <si>
    <t>001-012-034424079</t>
  </si>
  <si>
    <t>001-012-035144464</t>
  </si>
  <si>
    <t>001-012-036012308</t>
  </si>
  <si>
    <t>001-012-036732720</t>
  </si>
  <si>
    <t>001-012-037438646</t>
  </si>
  <si>
    <t>001-012-038119733</t>
  </si>
  <si>
    <t>EL FLORON S-N</t>
  </si>
  <si>
    <t>001-012-031520070</t>
  </si>
  <si>
    <t>001-012-032265968</t>
  </si>
  <si>
    <t>001-012-032983805</t>
  </si>
  <si>
    <t>001-012-033705882</t>
  </si>
  <si>
    <t>001-012-034424081</t>
  </si>
  <si>
    <t>001-012-035144468</t>
  </si>
  <si>
    <t>001-012-036012309</t>
  </si>
  <si>
    <t>001-012-036732721</t>
  </si>
  <si>
    <t>001-012-037438650</t>
  </si>
  <si>
    <t>001-012-038119740</t>
  </si>
  <si>
    <t>BS 6 DE DICIEMBRE</t>
  </si>
  <si>
    <t>1715009934A</t>
  </si>
  <si>
    <t>AV 6 DE DICIEMBRE N38-44</t>
  </si>
  <si>
    <t>001-012-031520149</t>
  </si>
  <si>
    <t>001-012-032266008</t>
  </si>
  <si>
    <t>001-012-032983470</t>
  </si>
  <si>
    <t>001-012-033705967</t>
  </si>
  <si>
    <t>001-012-034424160</t>
  </si>
  <si>
    <t>001-012-035144567</t>
  </si>
  <si>
    <t>001-012-036012407</t>
  </si>
  <si>
    <t>001-012-036732806</t>
  </si>
  <si>
    <t>001-012-037438745</t>
  </si>
  <si>
    <t>001-012-038119832</t>
  </si>
  <si>
    <t>AV 6 DICIEMBRE IÑAQUITO</t>
  </si>
  <si>
    <t>AV 6 DE DICIEMBRE SN</t>
  </si>
  <si>
    <t>001-012-031520160</t>
  </si>
  <si>
    <t>001-012-032265267</t>
  </si>
  <si>
    <t>001-012-032983476</t>
  </si>
  <si>
    <t>001-012-033705978</t>
  </si>
  <si>
    <t>001-012-034424174</t>
  </si>
  <si>
    <t>001-012-035144564</t>
  </si>
  <si>
    <t>001-012-036012406</t>
  </si>
  <si>
    <t>001-012-036732817</t>
  </si>
  <si>
    <t>001-012-037438744</t>
  </si>
  <si>
    <t>001-012-038119831</t>
  </si>
  <si>
    <t>BS LA Y S-N</t>
  </si>
  <si>
    <t>1615005928B</t>
  </si>
  <si>
    <t>001-012-031520162</t>
  </si>
  <si>
    <t>001-012-032265269</t>
  </si>
  <si>
    <t>001-012-032983478</t>
  </si>
  <si>
    <t>001-012-033705980</t>
  </si>
  <si>
    <t>001-012-034424173</t>
  </si>
  <si>
    <t>001-012-035144563</t>
  </si>
  <si>
    <t>001-012-036012410</t>
  </si>
  <si>
    <t>001-012-036732819</t>
  </si>
  <si>
    <t>001-012-037438749</t>
  </si>
  <si>
    <t>001-012-038119834</t>
  </si>
  <si>
    <t>BS LA Y N-S</t>
  </si>
  <si>
    <t>1615006095A</t>
  </si>
  <si>
    <t>CA E2 IÑAQUITO SN</t>
  </si>
  <si>
    <t>001-012-031520163</t>
  </si>
  <si>
    <t>001-012-032265270</t>
  </si>
  <si>
    <t>001-012-032983479</t>
  </si>
  <si>
    <t>001-012-033705981</t>
  </si>
  <si>
    <t>001-012-034424179</t>
  </si>
  <si>
    <t>001-012-035144569</t>
  </si>
  <si>
    <t>001-012-036012413</t>
  </si>
  <si>
    <t>001-012-036732820</t>
  </si>
  <si>
    <t>001-012-037438750</t>
  </si>
  <si>
    <t>001-012-038119838</t>
  </si>
  <si>
    <t>SAN BARTOLO</t>
  </si>
  <si>
    <t>CA S12I PINLLOPATA SN</t>
  </si>
  <si>
    <t>001-012-031546102</t>
  </si>
  <si>
    <t>001-012-032266062</t>
  </si>
  <si>
    <t>001-012-032983895</t>
  </si>
  <si>
    <t>001-012-033706100</t>
  </si>
  <si>
    <t>001-012-034424294</t>
  </si>
  <si>
    <t>001-012-035144706</t>
  </si>
  <si>
    <t>001-012-036012526</t>
  </si>
  <si>
    <t>001-012-036732946</t>
  </si>
  <si>
    <t>001-012-037438864</t>
  </si>
  <si>
    <t>001-012-038119955</t>
  </si>
  <si>
    <t>QUITO SUR</t>
  </si>
  <si>
    <t>1615003576A</t>
  </si>
  <si>
    <t>AV Oe3 Ten HUGO ORTIZ SN</t>
  </si>
  <si>
    <t>001-012-031546103</t>
  </si>
  <si>
    <t>001-012-032266059</t>
  </si>
  <si>
    <t>001-012-032983551</t>
  </si>
  <si>
    <t>001-012-033706101</t>
  </si>
  <si>
    <t>001-012-034424295</t>
  </si>
  <si>
    <t>001-012-035144699</t>
  </si>
  <si>
    <t>001-012-036012532</t>
  </si>
  <si>
    <t>001-012-036732947</t>
  </si>
  <si>
    <t>001-012-037438865</t>
  </si>
  <si>
    <t>001-012-038119971</t>
  </si>
  <si>
    <t>LA INTERNACIONAL</t>
  </si>
  <si>
    <t>1615003900A</t>
  </si>
  <si>
    <t>001-012-031546124</t>
  </si>
  <si>
    <t>001-012-032266080</t>
  </si>
  <si>
    <t>001-012-032983893</t>
  </si>
  <si>
    <t>001-012-033706123</t>
  </si>
  <si>
    <t>001-012-034424318</t>
  </si>
  <si>
    <t>001-012-035144744</t>
  </si>
  <si>
    <t>001-012-036012551</t>
  </si>
  <si>
    <t>001-012-036732969</t>
  </si>
  <si>
    <t>001-012-037438887</t>
  </si>
  <si>
    <t>001-012-038119993</t>
  </si>
  <si>
    <t>AV HUGO ORTIZ LT SOLANDA</t>
  </si>
  <si>
    <t>1615003909A</t>
  </si>
  <si>
    <t>AV Oe3 Ten HUGO ORTIZ Placa</t>
  </si>
  <si>
    <t>001-012-031546168</t>
  </si>
  <si>
    <t>001-012-032266124</t>
  </si>
  <si>
    <t>001-012-032983599</t>
  </si>
  <si>
    <t>001-012-033706167</t>
  </si>
  <si>
    <t>001-012-034424363</t>
  </si>
  <si>
    <t>001-012-035144758</t>
  </si>
  <si>
    <t>001-012-036012595</t>
  </si>
  <si>
    <t>001-012-036733015</t>
  </si>
  <si>
    <t>001-012-037438930</t>
  </si>
  <si>
    <t>001-012-038120018</t>
  </si>
  <si>
    <t>SOLANDA</t>
  </si>
  <si>
    <t>1615003654B</t>
  </si>
  <si>
    <t>001-012-031546169</t>
  </si>
  <si>
    <t>001-012-032266125</t>
  </si>
  <si>
    <t>001-012-032983600</t>
  </si>
  <si>
    <t>001-012-033706168</t>
  </si>
  <si>
    <t>001-012-034424364</t>
  </si>
  <si>
    <t>001-012-035144759</t>
  </si>
  <si>
    <t>001-012-036012596</t>
  </si>
  <si>
    <t>001-012-036733016</t>
  </si>
  <si>
    <t>001-012-037438932</t>
  </si>
  <si>
    <t>001-012-038120024</t>
  </si>
  <si>
    <t>BS MAYORISTA</t>
  </si>
  <si>
    <t>1615003922B</t>
  </si>
  <si>
    <t>001-012-031546171</t>
  </si>
  <si>
    <t>001-012-032266127</t>
  </si>
  <si>
    <t>001-012-032983601</t>
  </si>
  <si>
    <t>001-012-033706169</t>
  </si>
  <si>
    <t>001-012-034424369</t>
  </si>
  <si>
    <t>001-012-035144760</t>
  </si>
  <si>
    <t>001-012-036012601</t>
  </si>
  <si>
    <t>001-012-036733017</t>
  </si>
  <si>
    <t>001-012-037438937</t>
  </si>
  <si>
    <t>001-012-038120023</t>
  </si>
  <si>
    <t>PARADA AJAVI</t>
  </si>
  <si>
    <t>1615005248A</t>
  </si>
  <si>
    <t>001-012-031546177</t>
  </si>
  <si>
    <t>001-012-032266131</t>
  </si>
  <si>
    <t>001-012-032983602</t>
  </si>
  <si>
    <t>001-012-033706170</t>
  </si>
  <si>
    <t>001-012-034424370</t>
  </si>
  <si>
    <t>001-012-035144761</t>
  </si>
  <si>
    <t>001-012-036012602</t>
  </si>
  <si>
    <t>001-012-036733018</t>
  </si>
  <si>
    <t>001-012-037438938</t>
  </si>
  <si>
    <t>001-012-038120035</t>
  </si>
  <si>
    <t>AV SUCRE ANTONIO POTRERILLOS</t>
  </si>
  <si>
    <t>001-012-031546208</t>
  </si>
  <si>
    <t>001-012-032265349</t>
  </si>
  <si>
    <t>001-012-032983625</t>
  </si>
  <si>
    <t>001-012-033706206</t>
  </si>
  <si>
    <t>001-012-034424400</t>
  </si>
  <si>
    <t>001-012-035144804</t>
  </si>
  <si>
    <t>001-012-036012632</t>
  </si>
  <si>
    <t>001-012-036733054</t>
  </si>
  <si>
    <t>001-012-037438968</t>
  </si>
  <si>
    <t>001-012-038120061</t>
  </si>
  <si>
    <t>REGISTRO CIVIL</t>
  </si>
  <si>
    <t>1615003902A</t>
  </si>
  <si>
    <t>CA S26K SN</t>
  </si>
  <si>
    <t>001-012-031546212</t>
  </si>
  <si>
    <t>001-012-032266176</t>
  </si>
  <si>
    <t>001-012-032983632</t>
  </si>
  <si>
    <t>001-012-033706214</t>
  </si>
  <si>
    <t>001-012-034424415</t>
  </si>
  <si>
    <t>001-012-035144812</t>
  </si>
  <si>
    <t>001-012-036012655</t>
  </si>
  <si>
    <t>001-012-036733062</t>
  </si>
  <si>
    <t>001-012-037439001</t>
  </si>
  <si>
    <t>001-012-038120095</t>
  </si>
  <si>
    <t>BS LAS CUADRAS</t>
  </si>
  <si>
    <t>001-012-031546241</t>
  </si>
  <si>
    <t>001-012-032266197</t>
  </si>
  <si>
    <t>001-012-032983948</t>
  </si>
  <si>
    <t>001-012-033706245</t>
  </si>
  <si>
    <t>001-012-034424438</t>
  </si>
  <si>
    <t>001-012-035144843</t>
  </si>
  <si>
    <t>001-012-036012673</t>
  </si>
  <si>
    <t>001-012-036733094</t>
  </si>
  <si>
    <t>001-012-037439008</t>
  </si>
  <si>
    <t>001-012-038120135</t>
  </si>
  <si>
    <t>BS AV QUITUMBE ÑAN</t>
  </si>
  <si>
    <t>1615005508B</t>
  </si>
  <si>
    <t>001-012-031546242</t>
  </si>
  <si>
    <t>001-012-032266198</t>
  </si>
  <si>
    <t>001-012-032983949</t>
  </si>
  <si>
    <t>001-012-033706246</t>
  </si>
  <si>
    <t>001-012-034424441</t>
  </si>
  <si>
    <t>001-012-035144844</t>
  </si>
  <si>
    <t>001-012-036012681</t>
  </si>
  <si>
    <t>001-012-036733095</t>
  </si>
  <si>
    <t>001-012-037439011</t>
  </si>
  <si>
    <t>001-012-038120146</t>
  </si>
  <si>
    <t>TERMINAL GUAMANI</t>
  </si>
  <si>
    <t>001-012-031546362</t>
  </si>
  <si>
    <t>001-012-032266333</t>
  </si>
  <si>
    <t>001-012-032984081</t>
  </si>
  <si>
    <t>001-012-033706366</t>
  </si>
  <si>
    <t>001-012-034424575</t>
  </si>
  <si>
    <t>001-012-035144962</t>
  </si>
  <si>
    <t>001-012-036012806</t>
  </si>
  <si>
    <t>001-012-036733214</t>
  </si>
  <si>
    <t>001-012-037439143</t>
  </si>
  <si>
    <t>001-012-038120316</t>
  </si>
  <si>
    <t>PARQUE LA MAGDALENA</t>
  </si>
  <si>
    <t>MDMQ PARQUE (RUC 1760003410001)</t>
  </si>
  <si>
    <t>ELABORADO Y REVISADO POR:</t>
  </si>
  <si>
    <t>ERNESTO BARAHONA ROJAS</t>
  </si>
  <si>
    <t>Analista Administrativo 1</t>
  </si>
  <si>
    <t>FECHA RECEPCION FACTURAS</t>
  </si>
  <si>
    <t>PAGAR HASTA :</t>
  </si>
  <si>
    <t>MORALES JUAN</t>
  </si>
  <si>
    <t>MORALES JUAN 602 J</t>
  </si>
  <si>
    <t>La Santiago</t>
  </si>
  <si>
    <t>AV SUCRE ANTONIO S/N SS HH LA SANTIAGO</t>
  </si>
  <si>
    <t>HIEDRAS LT S/N San Isidro</t>
  </si>
  <si>
    <t>HIEDRAS LT S/N San Isidro del Inca</t>
  </si>
  <si>
    <t>I</t>
  </si>
  <si>
    <t>F</t>
  </si>
  <si>
    <t>G</t>
  </si>
  <si>
    <t>Q</t>
  </si>
  <si>
    <t>N</t>
  </si>
  <si>
    <t>O</t>
  </si>
  <si>
    <t>Y</t>
  </si>
  <si>
    <t>V</t>
  </si>
  <si>
    <t>W</t>
  </si>
  <si>
    <t>AG</t>
  </si>
  <si>
    <t>AD</t>
  </si>
  <si>
    <t>AE</t>
  </si>
  <si>
    <t>AO</t>
  </si>
  <si>
    <t>AL</t>
  </si>
  <si>
    <t>AM</t>
  </si>
  <si>
    <t>AW</t>
  </si>
  <si>
    <t>AT</t>
  </si>
  <si>
    <t>AU</t>
  </si>
  <si>
    <t>BE</t>
  </si>
  <si>
    <t>BB</t>
  </si>
  <si>
    <t>BC</t>
  </si>
  <si>
    <t>BM</t>
  </si>
  <si>
    <t>BJ</t>
  </si>
  <si>
    <t>BK</t>
  </si>
  <si>
    <t>BU</t>
  </si>
  <si>
    <t>BR</t>
  </si>
  <si>
    <t>BS</t>
  </si>
  <si>
    <t>CC</t>
  </si>
  <si>
    <t>BZ</t>
  </si>
  <si>
    <t>CA</t>
  </si>
  <si>
    <t>CK</t>
  </si>
  <si>
    <t>CH</t>
  </si>
  <si>
    <t>CI</t>
  </si>
  <si>
    <t>CS</t>
  </si>
  <si>
    <t>CP</t>
  </si>
  <si>
    <t>CQ</t>
  </si>
  <si>
    <t>MAGDALENA - Acciona Metro 1792627621001</t>
  </si>
  <si>
    <t>CA E1C ANDRES PEREZ SN</t>
  </si>
  <si>
    <t>EPM Metro de Quito - 1768164650001</t>
  </si>
  <si>
    <t>I16984885</t>
  </si>
  <si>
    <t>AV RIO AMAZONAS PA LABRADOR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</si>
</sst>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0000"/>
    <numFmt numFmtId="165" formatCode="0000"/>
    <numFmt numFmtId="166" formatCode="000\-000\-000000000"/>
    <numFmt numFmtId="167" formatCode="&quot;$&quot;\ #,##0.00"/>
    <numFmt numFmtId="168" formatCode="&quot;$&quot;#,##0.00"/>
    <numFmt numFmtId="169" formatCode="_ &quot;$&quot;\ * #,##0.00_ ;_ &quot;$&quot;\ * \-#,##0.00_ ;_ &quot;$&quot;\ * &quot;-&quot;??_ ;_ @_ 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00A]dddd\ d&quot; de &quot;mmmm&quot; de &quot;yyyy;@"/>
  </numFmts>
  <fonts count="12" x14ac:knownFonts="1">
    <font>
      <sz val="10"/>
      <color theme="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vertAlign val="superscript"/>
      <sz val="8"/>
      <name val="Arial Narrow"/>
      <family val="2"/>
    </font>
    <font>
      <b/>
      <u/>
      <sz val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 wrapText="1"/>
    </xf>
    <xf numFmtId="0" fontId="4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164" fontId="2" fillId="0" borderId="0" xfId="3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right" vertical="center"/>
    </xf>
    <xf numFmtId="0" fontId="3" fillId="0" borderId="0" xfId="3" applyFont="1" applyFill="1" applyAlignment="1">
      <alignment horizontal="left" vertical="center" wrapText="1"/>
    </xf>
    <xf numFmtId="165" fontId="4" fillId="0" borderId="0" xfId="3" applyNumberFormat="1" applyFont="1" applyFill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5" fillId="0" borderId="0" xfId="3" applyFont="1" applyFill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3" borderId="3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17" fontId="4" fillId="3" borderId="4" xfId="3" applyNumberFormat="1" applyFont="1" applyFill="1" applyBorder="1" applyAlignment="1">
      <alignment horizontal="center" vertical="center" wrapText="1"/>
    </xf>
    <xf numFmtId="17" fontId="4" fillId="3" borderId="5" xfId="3" applyNumberFormat="1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17" fontId="4" fillId="0" borderId="5" xfId="3" applyNumberFormat="1" applyFont="1" applyFill="1" applyBorder="1" applyAlignment="1">
      <alignment horizontal="center" vertical="center" wrapText="1"/>
    </xf>
    <xf numFmtId="164" fontId="4" fillId="3" borderId="5" xfId="3" applyNumberFormat="1" applyFont="1" applyFill="1" applyBorder="1" applyAlignment="1">
      <alignment horizontal="center" vertical="center" wrapText="1"/>
    </xf>
    <xf numFmtId="17" fontId="4" fillId="3" borderId="6" xfId="3" applyNumberFormat="1" applyFont="1" applyFill="1" applyBorder="1" applyAlignment="1">
      <alignment horizontal="center" vertical="center" wrapText="1"/>
    </xf>
    <xf numFmtId="17" fontId="4" fillId="0" borderId="3" xfId="3" applyNumberFormat="1" applyFont="1" applyFill="1" applyBorder="1" applyAlignment="1">
      <alignment horizontal="center" vertical="center" wrapText="1"/>
    </xf>
    <xf numFmtId="17" fontId="4" fillId="0" borderId="2" xfId="3" applyNumberFormat="1" applyFont="1" applyFill="1" applyBorder="1" applyAlignment="1">
      <alignment horizontal="center" vertical="center" wrapText="1"/>
    </xf>
    <xf numFmtId="17" fontId="4" fillId="0" borderId="0" xfId="3" applyNumberFormat="1" applyFont="1" applyFill="1" applyBorder="1" applyAlignment="1">
      <alignment horizontal="center" vertical="center" wrapText="1"/>
    </xf>
    <xf numFmtId="17" fontId="4" fillId="3" borderId="3" xfId="3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4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left" vertical="center"/>
    </xf>
    <xf numFmtId="166" fontId="2" fillId="0" borderId="10" xfId="3" applyNumberFormat="1" applyFont="1" applyFill="1" applyBorder="1" applyAlignment="1">
      <alignment horizontal="center" vertical="center"/>
    </xf>
    <xf numFmtId="15" fontId="2" fillId="0" borderId="11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>
      <alignment vertical="center"/>
    </xf>
    <xf numFmtId="14" fontId="2" fillId="0" borderId="11" xfId="3" applyNumberFormat="1" applyFont="1" applyFill="1" applyBorder="1" applyAlignment="1">
      <alignment horizontal="center" vertical="center"/>
    </xf>
    <xf numFmtId="167" fontId="2" fillId="0" borderId="11" xfId="3" applyNumberFormat="1" applyFont="1" applyFill="1" applyBorder="1" applyAlignment="1">
      <alignment vertical="center"/>
    </xf>
    <xf numFmtId="164" fontId="2" fillId="0" borderId="11" xfId="3" applyNumberFormat="1" applyFont="1" applyFill="1" applyBorder="1" applyAlignment="1">
      <alignment horizontal="center" vertical="center"/>
    </xf>
    <xf numFmtId="15" fontId="2" fillId="0" borderId="12" xfId="3" applyNumberFormat="1" applyFont="1" applyFill="1" applyBorder="1" applyAlignment="1">
      <alignment horizontal="center" vertical="center"/>
    </xf>
    <xf numFmtId="166" fontId="2" fillId="0" borderId="10" xfId="3" applyNumberFormat="1" applyFont="1" applyFill="1" applyBorder="1" applyAlignment="1">
      <alignment vertical="center"/>
    </xf>
    <xf numFmtId="15" fontId="2" fillId="0" borderId="11" xfId="3" applyNumberFormat="1" applyFont="1" applyFill="1" applyBorder="1" applyAlignment="1">
      <alignment vertical="center"/>
    </xf>
    <xf numFmtId="167" fontId="2" fillId="0" borderId="13" xfId="3" applyNumberFormat="1" applyFont="1" applyFill="1" applyBorder="1" applyAlignment="1">
      <alignment horizontal="right" vertical="center"/>
    </xf>
    <xf numFmtId="168" fontId="2" fillId="0" borderId="13" xfId="3" applyNumberFormat="1" applyFont="1" applyFill="1" applyBorder="1" applyAlignment="1">
      <alignment horizontal="right" vertical="center"/>
    </xf>
    <xf numFmtId="0" fontId="4" fillId="0" borderId="14" xfId="3" applyNumberFormat="1" applyFont="1" applyFill="1" applyBorder="1" applyAlignment="1">
      <alignment horizontal="center" vertical="center"/>
    </xf>
    <xf numFmtId="167" fontId="2" fillId="0" borderId="0" xfId="3" applyNumberFormat="1" applyFont="1" applyFill="1" applyBorder="1" applyAlignment="1">
      <alignment vertical="center"/>
    </xf>
    <xf numFmtId="0" fontId="2" fillId="0" borderId="15" xfId="3" applyNumberFormat="1" applyFont="1" applyFill="1" applyBorder="1" applyAlignment="1">
      <alignment horizontal="right" vertical="center"/>
    </xf>
    <xf numFmtId="169" fontId="2" fillId="0" borderId="16" xfId="4" applyFont="1" applyFill="1" applyBorder="1" applyAlignment="1">
      <alignment vertical="center"/>
    </xf>
    <xf numFmtId="14" fontId="4" fillId="0" borderId="17" xfId="3" applyNumberFormat="1" applyFont="1" applyFill="1" applyBorder="1" applyAlignment="1">
      <alignment horizontal="left" vertical="center"/>
    </xf>
    <xf numFmtId="0" fontId="2" fillId="0" borderId="18" xfId="3" applyFont="1" applyFill="1" applyBorder="1" applyAlignment="1">
      <alignment horizontal="center" vertical="center"/>
    </xf>
    <xf numFmtId="0" fontId="2" fillId="2" borderId="18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left" vertical="center"/>
    </xf>
    <xf numFmtId="166" fontId="2" fillId="0" borderId="17" xfId="3" applyNumberFormat="1" applyFont="1" applyFill="1" applyBorder="1" applyAlignment="1">
      <alignment horizontal="center" vertical="center"/>
    </xf>
    <xf numFmtId="15" fontId="2" fillId="0" borderId="18" xfId="3" applyNumberFormat="1" applyFont="1" applyFill="1" applyBorder="1" applyAlignment="1">
      <alignment horizontal="center" vertical="center"/>
    </xf>
    <xf numFmtId="0" fontId="2" fillId="0" borderId="18" xfId="3" applyNumberFormat="1" applyFont="1" applyFill="1" applyBorder="1" applyAlignment="1">
      <alignment vertical="center"/>
    </xf>
    <xf numFmtId="14" fontId="2" fillId="0" borderId="18" xfId="3" applyNumberFormat="1" applyFont="1" applyFill="1" applyBorder="1" applyAlignment="1">
      <alignment horizontal="center" vertical="center"/>
    </xf>
    <xf numFmtId="167" fontId="2" fillId="0" borderId="18" xfId="3" applyNumberFormat="1" applyFont="1" applyFill="1" applyBorder="1" applyAlignment="1">
      <alignment vertical="center"/>
    </xf>
    <xf numFmtId="164" fontId="2" fillId="0" borderId="18" xfId="3" applyNumberFormat="1" applyFont="1" applyFill="1" applyBorder="1" applyAlignment="1">
      <alignment horizontal="center" vertical="center"/>
    </xf>
    <xf numFmtId="15" fontId="2" fillId="0" borderId="20" xfId="3" applyNumberFormat="1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vertical="center"/>
    </xf>
    <xf numFmtId="166" fontId="2" fillId="0" borderId="17" xfId="3" applyNumberFormat="1" applyFont="1" applyFill="1" applyBorder="1" applyAlignment="1">
      <alignment vertical="center"/>
    </xf>
    <xf numFmtId="15" fontId="2" fillId="0" borderId="18" xfId="3" applyNumberFormat="1" applyFont="1" applyFill="1" applyBorder="1" applyAlignment="1">
      <alignment vertical="center"/>
    </xf>
    <xf numFmtId="167" fontId="2" fillId="0" borderId="16" xfId="3" applyNumberFormat="1" applyFont="1" applyFill="1" applyBorder="1" applyAlignment="1">
      <alignment vertical="center"/>
    </xf>
    <xf numFmtId="168" fontId="2" fillId="0" borderId="16" xfId="3" applyNumberFormat="1" applyFont="1" applyFill="1" applyBorder="1" applyAlignment="1">
      <alignment vertical="center"/>
    </xf>
    <xf numFmtId="167" fontId="4" fillId="0" borderId="21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right" vertical="center"/>
    </xf>
    <xf numFmtId="168" fontId="2" fillId="0" borderId="16" xfId="3" applyNumberFormat="1" applyFont="1" applyFill="1" applyBorder="1" applyAlignment="1">
      <alignment horizontal="right" vertical="center"/>
    </xf>
    <xf numFmtId="167" fontId="2" fillId="0" borderId="16" xfId="3" applyNumberFormat="1" applyFont="1" applyFill="1" applyBorder="1" applyAlignment="1">
      <alignment horizontal="right" vertical="center"/>
    </xf>
    <xf numFmtId="0" fontId="4" fillId="0" borderId="21" xfId="3" applyNumberFormat="1" applyFont="1" applyFill="1" applyBorder="1" applyAlignment="1">
      <alignment horizontal="center" vertical="center"/>
    </xf>
    <xf numFmtId="0" fontId="2" fillId="4" borderId="18" xfId="3" applyFont="1" applyFill="1" applyBorder="1" applyAlignment="1">
      <alignment horizontal="center" vertical="center"/>
    </xf>
    <xf numFmtId="0" fontId="2" fillId="5" borderId="18" xfId="3" applyFont="1" applyFill="1" applyBorder="1" applyAlignment="1">
      <alignment horizontal="center" vertical="center"/>
    </xf>
    <xf numFmtId="0" fontId="2" fillId="0" borderId="18" xfId="3" applyNumberFormat="1" applyFont="1" applyFill="1" applyBorder="1" applyAlignment="1">
      <alignment horizontal="right" vertical="center"/>
    </xf>
    <xf numFmtId="14" fontId="4" fillId="6" borderId="17" xfId="3" applyNumberFormat="1" applyFont="1" applyFill="1" applyBorder="1" applyAlignment="1">
      <alignment horizontal="left" vertical="center"/>
    </xf>
    <xf numFmtId="0" fontId="4" fillId="6" borderId="17" xfId="3" applyFont="1" applyFill="1" applyBorder="1" applyAlignment="1">
      <alignment vertical="center"/>
    </xf>
    <xf numFmtId="167" fontId="2" fillId="5" borderId="18" xfId="3" applyNumberFormat="1" applyFont="1" applyFill="1" applyBorder="1" applyAlignment="1">
      <alignment vertical="center"/>
    </xf>
    <xf numFmtId="0" fontId="4" fillId="0" borderId="16" xfId="3" applyNumberFormat="1" applyFont="1" applyFill="1" applyBorder="1" applyAlignment="1">
      <alignment horizontal="center" vertical="center"/>
    </xf>
    <xf numFmtId="0" fontId="2" fillId="0" borderId="17" xfId="3" applyNumberFormat="1" applyFont="1" applyFill="1" applyBorder="1" applyAlignment="1">
      <alignment horizontal="right" vertical="center"/>
    </xf>
    <xf numFmtId="169" fontId="2" fillId="0" borderId="20" xfId="4" applyFont="1" applyFill="1" applyBorder="1" applyAlignment="1">
      <alignment vertical="center"/>
    </xf>
    <xf numFmtId="14" fontId="4" fillId="0" borderId="22" xfId="3" applyNumberFormat="1" applyFont="1" applyFill="1" applyBorder="1" applyAlignment="1">
      <alignment horizontal="left" vertical="center"/>
    </xf>
    <xf numFmtId="0" fontId="2" fillId="0" borderId="23" xfId="3" applyFont="1" applyFill="1" applyBorder="1" applyAlignment="1">
      <alignment horizontal="center" vertical="center"/>
    </xf>
    <xf numFmtId="0" fontId="2" fillId="2" borderId="23" xfId="3" applyFont="1" applyFill="1" applyBorder="1" applyAlignment="1">
      <alignment horizontal="center" vertical="center"/>
    </xf>
    <xf numFmtId="0" fontId="2" fillId="0" borderId="24" xfId="3" applyFont="1" applyFill="1" applyBorder="1" applyAlignment="1">
      <alignment horizontal="left" vertical="center"/>
    </xf>
    <xf numFmtId="166" fontId="2" fillId="0" borderId="22" xfId="3" applyNumberFormat="1" applyFont="1" applyFill="1" applyBorder="1" applyAlignment="1">
      <alignment horizontal="left" vertical="center"/>
    </xf>
    <xf numFmtId="15" fontId="2" fillId="0" borderId="23" xfId="3" applyNumberFormat="1" applyFont="1" applyFill="1" applyBorder="1" applyAlignment="1">
      <alignment horizontal="center" vertical="center"/>
    </xf>
    <xf numFmtId="0" fontId="2" fillId="0" borderId="23" xfId="3" applyNumberFormat="1" applyFont="1" applyFill="1" applyBorder="1" applyAlignment="1">
      <alignment vertical="center"/>
    </xf>
    <xf numFmtId="14" fontId="2" fillId="0" borderId="23" xfId="3" applyNumberFormat="1" applyFont="1" applyFill="1" applyBorder="1" applyAlignment="1">
      <alignment horizontal="center" vertical="center"/>
    </xf>
    <xf numFmtId="167" fontId="2" fillId="0" borderId="23" xfId="3" applyNumberFormat="1" applyFont="1" applyFill="1" applyBorder="1" applyAlignment="1">
      <alignment vertical="center"/>
    </xf>
    <xf numFmtId="164" fontId="2" fillId="0" borderId="23" xfId="3" applyNumberFormat="1" applyFont="1" applyFill="1" applyBorder="1" applyAlignment="1">
      <alignment horizontal="center" vertical="center"/>
    </xf>
    <xf numFmtId="15" fontId="2" fillId="0" borderId="25" xfId="3" applyNumberFormat="1" applyFont="1" applyFill="1" applyBorder="1" applyAlignment="1">
      <alignment horizontal="center" vertical="center"/>
    </xf>
    <xf numFmtId="166" fontId="2" fillId="0" borderId="22" xfId="3" applyNumberFormat="1" applyFont="1" applyFill="1" applyBorder="1" applyAlignment="1">
      <alignment horizontal="center" vertical="center"/>
    </xf>
    <xf numFmtId="166" fontId="2" fillId="0" borderId="22" xfId="3" applyNumberFormat="1" applyFont="1" applyFill="1" applyBorder="1" applyAlignment="1">
      <alignment vertical="center"/>
    </xf>
    <xf numFmtId="15" fontId="2" fillId="0" borderId="23" xfId="3" applyNumberFormat="1" applyFont="1" applyFill="1" applyBorder="1" applyAlignment="1">
      <alignment vertical="center"/>
    </xf>
    <xf numFmtId="167" fontId="2" fillId="0" borderId="26" xfId="3" applyNumberFormat="1" applyFont="1" applyFill="1" applyBorder="1" applyAlignment="1">
      <alignment horizontal="right" vertical="center"/>
    </xf>
    <xf numFmtId="168" fontId="2" fillId="0" borderId="26" xfId="3" applyNumberFormat="1" applyFont="1" applyFill="1" applyBorder="1" applyAlignment="1">
      <alignment horizontal="right" vertical="center"/>
    </xf>
    <xf numFmtId="0" fontId="4" fillId="0" borderId="27" xfId="3" applyNumberFormat="1" applyFont="1" applyFill="1" applyBorder="1" applyAlignment="1">
      <alignment horizontal="center" vertical="center"/>
    </xf>
    <xf numFmtId="0" fontId="2" fillId="0" borderId="26" xfId="3" applyNumberFormat="1" applyFont="1" applyFill="1" applyBorder="1" applyAlignment="1">
      <alignment horizontal="right" vertical="center"/>
    </xf>
    <xf numFmtId="169" fontId="2" fillId="0" borderId="26" xfId="4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horizontal="right" vertical="center"/>
    </xf>
    <xf numFmtId="169" fontId="2" fillId="0" borderId="0" xfId="4" applyFont="1" applyFill="1" applyBorder="1" applyAlignment="1">
      <alignment vertical="center"/>
    </xf>
    <xf numFmtId="0" fontId="4" fillId="0" borderId="0" xfId="3" applyFont="1" applyFill="1" applyAlignment="1">
      <alignment horizontal="center" vertical="center"/>
    </xf>
    <xf numFmtId="170" fontId="4" fillId="0" borderId="3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center" vertical="center"/>
    </xf>
    <xf numFmtId="170" fontId="4" fillId="0" borderId="3" xfId="2" applyFont="1" applyFill="1" applyBorder="1" applyAlignment="1">
      <alignment horizontal="center" vertical="center"/>
    </xf>
    <xf numFmtId="171" fontId="2" fillId="0" borderId="1" xfId="1" applyFont="1" applyFill="1" applyBorder="1" applyAlignment="1">
      <alignment vertical="center"/>
    </xf>
    <xf numFmtId="170" fontId="4" fillId="0" borderId="2" xfId="2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horizontal="center" vertical="center"/>
    </xf>
    <xf numFmtId="14" fontId="4" fillId="7" borderId="17" xfId="3" applyNumberFormat="1" applyFont="1" applyFill="1" applyBorder="1" applyAlignment="1">
      <alignment horizontal="left" vertical="center"/>
    </xf>
    <xf numFmtId="0" fontId="2" fillId="7" borderId="18" xfId="3" applyFont="1" applyFill="1" applyBorder="1" applyAlignment="1">
      <alignment horizontal="center" vertical="center"/>
    </xf>
    <xf numFmtId="0" fontId="2" fillId="8" borderId="18" xfId="3" applyFont="1" applyFill="1" applyBorder="1" applyAlignment="1">
      <alignment horizontal="center" vertical="center"/>
    </xf>
    <xf numFmtId="0" fontId="2" fillId="7" borderId="19" xfId="3" applyFont="1" applyFill="1" applyBorder="1" applyAlignment="1">
      <alignment horizontal="center" vertical="center"/>
    </xf>
    <xf numFmtId="164" fontId="9" fillId="0" borderId="18" xfId="3" applyNumberFormat="1" applyFont="1" applyFill="1" applyBorder="1" applyAlignment="1">
      <alignment horizontal="center" vertical="center"/>
    </xf>
    <xf numFmtId="167" fontId="2" fillId="0" borderId="28" xfId="3" applyNumberFormat="1" applyFont="1" applyFill="1" applyBorder="1" applyAlignment="1">
      <alignment horizontal="right" vertical="center"/>
    </xf>
    <xf numFmtId="168" fontId="2" fillId="0" borderId="29" xfId="3" applyNumberFormat="1" applyFont="1" applyFill="1" applyBorder="1" applyAlignment="1">
      <alignment horizontal="right" vertical="center"/>
    </xf>
    <xf numFmtId="167" fontId="2" fillId="0" borderId="30" xfId="3" applyNumberFormat="1" applyFont="1" applyFill="1" applyBorder="1" applyAlignment="1">
      <alignment horizontal="right" vertical="center"/>
    </xf>
    <xf numFmtId="0" fontId="4" fillId="0" borderId="31" xfId="3" applyNumberFormat="1" applyFont="1" applyFill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172" fontId="4" fillId="9" borderId="18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/>
    </xf>
    <xf numFmtId="15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vertical="center"/>
    </xf>
    <xf numFmtId="14" fontId="2" fillId="0" borderId="0" xfId="3" applyNumberFormat="1" applyFont="1" applyFill="1" applyBorder="1" applyAlignment="1">
      <alignment horizontal="center" vertical="center"/>
    </xf>
    <xf numFmtId="167" fontId="2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horizontal="center" vertical="center"/>
    </xf>
    <xf numFmtId="166" fontId="2" fillId="0" borderId="0" xfId="3" applyNumberFormat="1" applyFont="1" applyFill="1" applyBorder="1" applyAlignment="1">
      <alignment vertical="center"/>
    </xf>
    <xf numFmtId="15" fontId="2" fillId="0" borderId="0" xfId="3" applyNumberFormat="1" applyFont="1" applyFill="1" applyBorder="1" applyAlignment="1">
      <alignment vertical="center"/>
    </xf>
    <xf numFmtId="170" fontId="4" fillId="0" borderId="32" xfId="3" applyNumberFormat="1" applyFont="1" applyFill="1" applyBorder="1" applyAlignment="1">
      <alignment horizontal="center" vertical="center"/>
    </xf>
    <xf numFmtId="0" fontId="4" fillId="9" borderId="18" xfId="3" applyFont="1" applyFill="1" applyBorder="1" applyAlignment="1">
      <alignment horizontal="center" vertical="center"/>
    </xf>
    <xf numFmtId="172" fontId="4" fillId="10" borderId="18" xfId="3" applyNumberFormat="1" applyFont="1" applyFill="1" applyBorder="1" applyAlignment="1">
      <alignment horizontal="center" vertical="center" wrapText="1"/>
    </xf>
    <xf numFmtId="172" fontId="4" fillId="0" borderId="0" xfId="3" applyNumberFormat="1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vertical="center"/>
    </xf>
    <xf numFmtId="0" fontId="2" fillId="0" borderId="18" xfId="3" applyFont="1" applyFill="1" applyBorder="1" applyAlignment="1">
      <alignment horizontal="left" vertical="center"/>
    </xf>
    <xf numFmtId="14" fontId="4" fillId="0" borderId="18" xfId="3" applyNumberFormat="1" applyFont="1" applyFill="1" applyBorder="1" applyAlignment="1">
      <alignment horizontal="left" vertical="center"/>
    </xf>
    <xf numFmtId="0" fontId="2" fillId="11" borderId="18" xfId="3" applyFont="1" applyFill="1" applyBorder="1" applyAlignment="1">
      <alignment horizontal="center" vertical="center"/>
    </xf>
    <xf numFmtId="0" fontId="7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right"/>
    </xf>
  </cellXfs>
  <cellStyles count="5">
    <cellStyle name="Millares" xfId="1" builtinId="3"/>
    <cellStyle name="Moneda" xfId="2" builtinId="4"/>
    <cellStyle name="Moneda 2" xfId="4"/>
    <cellStyle name="Normal" xfId="0" builtinId="0"/>
    <cellStyle name="Normal 2" xfId="3"/>
  </cellStyles>
  <dxfs count="10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arahona\Desktop\CADM%20ERBR\CADM%202022\SERVICIOS%20BASICOS%202022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° Informe"/>
      <sheetName val="CxP Agua"/>
      <sheetName val="EPMAPS"/>
      <sheetName val="EEQ-EP"/>
      <sheetName val="CNT-EP"/>
      <sheetName val="ARCOTEL"/>
      <sheetName val="AVANCE"/>
      <sheetName val="Repor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00">
          <cell r="B100" t="str">
            <v>EPMAPS</v>
          </cell>
        </row>
        <row r="101">
          <cell r="B101" t="str">
            <v>EEQ-EP</v>
          </cell>
        </row>
        <row r="102">
          <cell r="B102" t="str">
            <v>CNT-EP</v>
          </cell>
        </row>
        <row r="103">
          <cell r="B103" t="str">
            <v>ARCOTEL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1:DD73"/>
  <sheetViews>
    <sheetView showGridLines="0" tabSelected="1" zoomScaleNormal="100" workbookViewId="0">
      <pane xSplit="9" ySplit="5" topLeftCell="J30" activePane="bottomRight" state="frozen"/>
      <selection pane="topRight" activeCell="J1" sqref="J1"/>
      <selection pane="bottomLeft" activeCell="A8" sqref="A8"/>
      <selection pane="bottomRight" activeCell="CW48" sqref="CW48:CY48"/>
    </sheetView>
  </sheetViews>
  <sheetFormatPr baseColWidth="10" defaultRowHeight="12.75" x14ac:dyDescent="0.2"/>
  <cols>
    <col min="1" max="1" width="32.33203125" style="12" bestFit="1" customWidth="1"/>
    <col min="2" max="2" width="12" style="12" bestFit="1" customWidth="1"/>
    <col min="3" max="3" width="12.33203125" style="12" bestFit="1" customWidth="1"/>
    <col min="4" max="4" width="39.33203125" style="12" bestFit="1" customWidth="1"/>
    <col min="5" max="5" width="14.6640625" style="13" hidden="1" customWidth="1"/>
    <col min="6" max="6" width="7.5" style="12" hidden="1" customWidth="1"/>
    <col min="7" max="7" width="8" style="12" hidden="1" customWidth="1"/>
    <col min="8" max="8" width="9.1640625" style="12" hidden="1" customWidth="1"/>
    <col min="9" max="9" width="10.6640625" style="12" hidden="1" customWidth="1"/>
    <col min="10" max="10" width="9.83203125" style="12" hidden="1" customWidth="1"/>
    <col min="11" max="11" width="11.83203125" style="12" hidden="1" customWidth="1"/>
    <col min="12" max="12" width="10.83203125" style="12" hidden="1" customWidth="1"/>
    <col min="13" max="13" width="14.6640625" style="13" hidden="1" customWidth="1"/>
    <col min="14" max="15" width="8" style="12" hidden="1" customWidth="1"/>
    <col min="16" max="16" width="9.33203125" style="12" hidden="1" customWidth="1"/>
    <col min="17" max="17" width="10.6640625" style="12" hidden="1" customWidth="1"/>
    <col min="18" max="18" width="9.83203125" style="12" hidden="1" customWidth="1"/>
    <col min="19" max="19" width="11.83203125" style="12" hidden="1" customWidth="1"/>
    <col min="20" max="20" width="10.83203125" style="12" hidden="1" customWidth="1"/>
    <col min="21" max="21" width="14.6640625" style="13" hidden="1" customWidth="1"/>
    <col min="22" max="22" width="8" style="13" hidden="1" customWidth="1"/>
    <col min="23" max="23" width="8.1640625" style="13" hidden="1" customWidth="1"/>
    <col min="24" max="24" width="9.1640625" style="12" hidden="1" customWidth="1"/>
    <col min="25" max="25" width="10.6640625" style="12" hidden="1" customWidth="1"/>
    <col min="26" max="26" width="10.5" style="12" hidden="1" customWidth="1"/>
    <col min="27" max="27" width="11.83203125" style="12" hidden="1" customWidth="1"/>
    <col min="28" max="28" width="10.83203125" style="12" hidden="1" customWidth="1"/>
    <col min="29" max="29" width="14.6640625" style="12" hidden="1" customWidth="1"/>
    <col min="30" max="30" width="8.1640625" style="12" hidden="1" customWidth="1"/>
    <col min="31" max="31" width="8.5" style="12" hidden="1" customWidth="1"/>
    <col min="32" max="32" width="9.33203125" style="12" hidden="1" customWidth="1"/>
    <col min="33" max="33" width="10.6640625" style="12" hidden="1" customWidth="1"/>
    <col min="34" max="34" width="9.83203125" style="12" hidden="1" customWidth="1"/>
    <col min="35" max="35" width="11.83203125" style="12" hidden="1" customWidth="1"/>
    <col min="36" max="36" width="10.83203125" style="12" hidden="1" customWidth="1"/>
    <col min="37" max="37" width="14.6640625" style="12" hidden="1" customWidth="1"/>
    <col min="38" max="38" width="7.6640625" style="12" hidden="1" customWidth="1"/>
    <col min="39" max="39" width="8.6640625" style="12" hidden="1" customWidth="1"/>
    <col min="40" max="40" width="9.33203125" style="12" hidden="1" customWidth="1"/>
    <col min="41" max="41" width="10.6640625" style="12" hidden="1" customWidth="1"/>
    <col min="42" max="42" width="9.83203125" style="12" hidden="1" customWidth="1"/>
    <col min="43" max="43" width="11.83203125" style="12" hidden="1" customWidth="1"/>
    <col min="44" max="44" width="10.83203125" style="12" hidden="1" customWidth="1"/>
    <col min="45" max="45" width="15" style="13" hidden="1" customWidth="1"/>
    <col min="46" max="47" width="8.83203125" style="13" hidden="1" customWidth="1"/>
    <col min="48" max="48" width="9.5" style="12" hidden="1" customWidth="1"/>
    <col min="49" max="49" width="10.6640625" style="12" hidden="1" customWidth="1"/>
    <col min="50" max="50" width="9.83203125" style="12" hidden="1" customWidth="1"/>
    <col min="51" max="51" width="9.1640625" style="12" hidden="1" customWidth="1"/>
    <col min="52" max="52" width="10.83203125" style="12" hidden="1" customWidth="1"/>
    <col min="53" max="53" width="15.5" style="13" hidden="1" customWidth="1"/>
    <col min="54" max="54" width="8.5" style="13" hidden="1" customWidth="1"/>
    <col min="55" max="55" width="8" style="13" hidden="1" customWidth="1"/>
    <col min="56" max="56" width="9.33203125" style="12" hidden="1" customWidth="1"/>
    <col min="57" max="57" width="10.6640625" style="12" hidden="1" customWidth="1"/>
    <col min="58" max="58" width="9.5" style="12" hidden="1" customWidth="1"/>
    <col min="59" max="59" width="11.83203125" style="12" hidden="1" customWidth="1"/>
    <col min="60" max="60" width="10.83203125" style="12" hidden="1" customWidth="1"/>
    <col min="61" max="61" width="15.5" style="13" hidden="1" customWidth="1"/>
    <col min="62" max="63" width="8.1640625" style="13" hidden="1" customWidth="1"/>
    <col min="64" max="64" width="9.33203125" style="12" hidden="1" customWidth="1"/>
    <col min="65" max="65" width="10.6640625" style="12" hidden="1" customWidth="1"/>
    <col min="66" max="66" width="10" style="12" hidden="1" customWidth="1"/>
    <col min="67" max="67" width="11.83203125" style="12" hidden="1" customWidth="1"/>
    <col min="68" max="68" width="10.83203125" style="12" hidden="1" customWidth="1"/>
    <col min="69" max="69" width="14.6640625" style="13" hidden="1" customWidth="1"/>
    <col min="70" max="71" width="8" style="13" hidden="1" customWidth="1"/>
    <col min="72" max="72" width="9.33203125" style="12" hidden="1" customWidth="1"/>
    <col min="73" max="73" width="10.6640625" style="12" hidden="1" customWidth="1"/>
    <col min="74" max="74" width="9.5" style="12" hidden="1" customWidth="1"/>
    <col min="75" max="75" width="11.83203125" style="12" hidden="1" customWidth="1"/>
    <col min="76" max="76" width="10.83203125" style="12" hidden="1" customWidth="1"/>
    <col min="77" max="77" width="14.6640625" style="13" customWidth="1"/>
    <col min="78" max="78" width="11.1640625" style="13" customWidth="1"/>
    <col min="79" max="79" width="10.6640625" style="13" customWidth="1"/>
    <col min="80" max="80" width="9.33203125" style="12" customWidth="1"/>
    <col min="81" max="81" width="10.6640625" style="12" customWidth="1"/>
    <col min="82" max="82" width="11" style="12" customWidth="1"/>
    <col min="83" max="83" width="10.5" style="12" hidden="1" customWidth="1"/>
    <col min="84" max="84" width="10.83203125" style="12" hidden="1" customWidth="1"/>
    <col min="85" max="85" width="14.6640625" style="13" hidden="1" customWidth="1"/>
    <col min="86" max="86" width="9.1640625" style="13" hidden="1" customWidth="1"/>
    <col min="87" max="87" width="9.5" style="13" hidden="1" customWidth="1"/>
    <col min="88" max="88" width="9.33203125" style="12" hidden="1" customWidth="1"/>
    <col min="89" max="90" width="10.6640625" style="12" hidden="1" customWidth="1"/>
    <col min="91" max="91" width="11.83203125" style="12" hidden="1" customWidth="1"/>
    <col min="92" max="92" width="10.83203125" style="12" hidden="1" customWidth="1"/>
    <col min="93" max="93" width="14.5" style="12" hidden="1" customWidth="1"/>
    <col min="94" max="96" width="9.33203125" style="12" hidden="1" customWidth="1"/>
    <col min="97" max="97" width="10.6640625" style="12" hidden="1" customWidth="1"/>
    <col min="98" max="98" width="11" style="12" hidden="1" customWidth="1"/>
    <col min="99" max="99" width="11.83203125" style="12" hidden="1" customWidth="1"/>
    <col min="100" max="100" width="10.83203125" style="12" hidden="1" customWidth="1"/>
    <col min="101" max="101" width="7.83203125" style="12" bestFit="1" customWidth="1"/>
    <col min="102" max="102" width="8.83203125" style="12" customWidth="1"/>
    <col min="103" max="103" width="9.5" style="12" hidden="1" customWidth="1"/>
    <col min="104" max="104" width="6.83203125" style="12" hidden="1" customWidth="1"/>
    <col min="105" max="105" width="3.6640625" style="12" customWidth="1"/>
    <col min="106" max="106" width="12" style="12" bestFit="1" customWidth="1"/>
    <col min="107" max="107" width="11.1640625" style="12" bestFit="1" customWidth="1"/>
    <col min="108" max="16384" width="12" style="12"/>
  </cols>
  <sheetData>
    <row r="1" spans="1:108" s="1" customFormat="1" ht="3.75" customHeight="1" x14ac:dyDescent="0.2">
      <c r="B1" s="2"/>
      <c r="C1" s="2"/>
      <c r="D1" s="2"/>
      <c r="E1" s="3"/>
      <c r="F1" s="3"/>
      <c r="G1" s="3"/>
      <c r="K1" s="4"/>
      <c r="M1" s="5"/>
      <c r="N1" s="3"/>
      <c r="O1" s="5"/>
      <c r="P1" s="3"/>
      <c r="Q1" s="3"/>
      <c r="R1" s="3"/>
      <c r="S1" s="4"/>
      <c r="U1" s="3"/>
      <c r="V1" s="4"/>
      <c r="W1" s="4"/>
      <c r="Y1" s="5"/>
      <c r="Z1" s="3"/>
      <c r="AA1" s="4"/>
      <c r="AC1" s="3"/>
      <c r="AD1" s="3"/>
      <c r="AE1" s="3"/>
      <c r="AI1" s="4"/>
      <c r="AK1" s="5"/>
      <c r="AL1" s="3"/>
      <c r="AM1" s="3"/>
      <c r="AN1" s="3"/>
      <c r="AO1" s="3"/>
      <c r="AQ1" s="4"/>
      <c r="AS1" s="5"/>
      <c r="AT1" s="3"/>
      <c r="AU1" s="3"/>
      <c r="AV1" s="3"/>
      <c r="AW1" s="3"/>
      <c r="AY1" s="4"/>
      <c r="BA1" s="5"/>
      <c r="BB1" s="3"/>
      <c r="BC1" s="3"/>
      <c r="BD1" s="3"/>
      <c r="BE1" s="3"/>
      <c r="BG1" s="4"/>
      <c r="BI1" s="5"/>
      <c r="BJ1" s="3"/>
      <c r="BK1" s="3"/>
      <c r="BL1" s="3"/>
      <c r="BM1" s="3"/>
      <c r="BP1" s="4"/>
      <c r="BQ1" s="5"/>
      <c r="BR1" s="3"/>
      <c r="BS1" s="3"/>
      <c r="BT1" s="3"/>
      <c r="BU1" s="3"/>
      <c r="BW1" s="4"/>
      <c r="BY1" s="5"/>
      <c r="BZ1" s="3"/>
      <c r="CA1" s="3"/>
      <c r="CB1" s="3"/>
      <c r="CC1" s="3"/>
      <c r="CD1" s="6"/>
      <c r="CG1" s="5"/>
      <c r="CH1" s="3"/>
      <c r="CI1" s="3"/>
      <c r="CJ1" s="3"/>
      <c r="CK1" s="3"/>
      <c r="CO1" s="5"/>
      <c r="CP1" s="3"/>
      <c r="CQ1" s="3"/>
      <c r="CR1" s="3"/>
      <c r="CS1" s="3"/>
      <c r="CU1" s="4"/>
      <c r="CW1" s="5"/>
      <c r="CX1" s="3"/>
      <c r="CY1" s="5"/>
      <c r="CZ1" s="3"/>
      <c r="DC1" s="4"/>
    </row>
    <row r="2" spans="1:108" s="9" customFormat="1" ht="12.75" customHeight="1" x14ac:dyDescent="0.2">
      <c r="A2" s="7" t="s">
        <v>0</v>
      </c>
      <c r="B2" s="7"/>
      <c r="C2" s="7"/>
      <c r="D2" s="7"/>
      <c r="E2" s="8"/>
      <c r="F2" s="8"/>
      <c r="G2" s="8"/>
      <c r="H2" s="1"/>
      <c r="I2" s="1"/>
      <c r="K2" s="4"/>
      <c r="L2" s="1"/>
      <c r="M2" s="5"/>
      <c r="N2" s="8"/>
      <c r="O2" s="5"/>
      <c r="P2" s="8"/>
      <c r="Q2" s="8"/>
      <c r="R2" s="8"/>
      <c r="S2" s="4"/>
      <c r="T2" s="1"/>
      <c r="U2" s="8"/>
      <c r="V2" s="4"/>
      <c r="W2" s="4"/>
      <c r="X2" s="1"/>
      <c r="Y2" s="5"/>
      <c r="Z2" s="8"/>
      <c r="AA2" s="4"/>
      <c r="AB2" s="1"/>
      <c r="AC2" s="8"/>
      <c r="AD2" s="8"/>
      <c r="AE2" s="8"/>
      <c r="AF2" s="1"/>
      <c r="AG2" s="1"/>
      <c r="AH2" s="1"/>
      <c r="AI2" s="4"/>
      <c r="AJ2" s="1"/>
      <c r="AK2" s="5"/>
      <c r="AL2" s="8"/>
      <c r="AM2" s="8"/>
      <c r="AN2" s="8"/>
      <c r="AO2" s="8"/>
      <c r="AP2" s="1"/>
      <c r="AQ2" s="4"/>
      <c r="AR2" s="1"/>
      <c r="AS2" s="5"/>
      <c r="AT2" s="8"/>
      <c r="AU2" s="8"/>
      <c r="AV2" s="8"/>
      <c r="AW2" s="8"/>
      <c r="AX2" s="1"/>
      <c r="AY2" s="4"/>
      <c r="AZ2" s="1"/>
      <c r="BA2" s="5"/>
      <c r="BB2" s="8"/>
      <c r="BC2" s="8"/>
      <c r="BD2" s="8"/>
      <c r="BE2" s="8"/>
      <c r="BF2" s="1"/>
      <c r="BG2" s="4"/>
      <c r="BH2" s="1"/>
      <c r="BI2" s="5"/>
      <c r="BJ2" s="8"/>
      <c r="BK2" s="8"/>
      <c r="BL2" s="8"/>
      <c r="BM2" s="8"/>
      <c r="BN2" s="1"/>
      <c r="BO2" s="1"/>
      <c r="BP2" s="4"/>
      <c r="BQ2" s="5"/>
      <c r="BR2" s="8"/>
      <c r="BS2" s="8"/>
      <c r="BT2" s="8"/>
      <c r="BU2" s="8"/>
      <c r="BV2" s="1"/>
      <c r="BW2" s="4"/>
      <c r="BX2" s="1"/>
      <c r="BY2" s="5"/>
      <c r="BZ2" s="8"/>
      <c r="CA2" s="8"/>
      <c r="CB2" s="8"/>
      <c r="CC2" s="8"/>
      <c r="CD2" s="6"/>
      <c r="CE2" s="1"/>
      <c r="CF2" s="1"/>
      <c r="CG2" s="5"/>
      <c r="CH2" s="8"/>
      <c r="CI2" s="8"/>
      <c r="CJ2" s="8"/>
      <c r="CK2" s="8"/>
      <c r="CL2" s="1"/>
      <c r="CM2" s="1"/>
      <c r="CN2" s="1"/>
      <c r="CO2" s="5"/>
      <c r="CP2" s="8"/>
      <c r="CQ2" s="8"/>
      <c r="CR2" s="8"/>
      <c r="CS2" s="8"/>
      <c r="CT2" s="1"/>
      <c r="CU2" s="4"/>
      <c r="CV2" s="1"/>
      <c r="CW2" s="5"/>
      <c r="CX2" s="8"/>
      <c r="CY2" s="5"/>
      <c r="CZ2" s="8"/>
      <c r="DA2" s="8"/>
      <c r="DB2" s="8"/>
      <c r="DC2" s="8"/>
      <c r="DD2" s="8"/>
    </row>
    <row r="3" spans="1:108" s="9" customFormat="1" ht="13.5" x14ac:dyDescent="0.2">
      <c r="A3" s="10" t="s">
        <v>1</v>
      </c>
      <c r="B3" s="10"/>
      <c r="C3" s="10"/>
      <c r="D3" s="10"/>
      <c r="E3" s="3"/>
      <c r="F3" s="3"/>
      <c r="G3" s="3"/>
      <c r="H3" s="1"/>
      <c r="I3" s="1"/>
      <c r="K3" s="4"/>
      <c r="L3" s="1"/>
      <c r="M3" s="5"/>
      <c r="N3" s="3"/>
      <c r="O3" s="5"/>
      <c r="P3" s="3"/>
      <c r="Q3" s="3"/>
      <c r="R3" s="3"/>
      <c r="S3" s="4"/>
      <c r="T3" s="1"/>
      <c r="U3" s="3"/>
      <c r="V3" s="4"/>
      <c r="W3" s="4"/>
      <c r="X3" s="1"/>
      <c r="Y3" s="5"/>
      <c r="Z3" s="3"/>
      <c r="AA3" s="4"/>
      <c r="AB3" s="1"/>
      <c r="AC3" s="3"/>
      <c r="AD3" s="3"/>
      <c r="AE3" s="3"/>
      <c r="AF3" s="1"/>
      <c r="AG3" s="1"/>
      <c r="AH3" s="1"/>
      <c r="AI3" s="4"/>
      <c r="AJ3" s="1"/>
      <c r="AK3" s="5"/>
      <c r="AL3" s="3"/>
      <c r="AM3" s="3"/>
      <c r="AN3" s="3"/>
      <c r="AO3" s="3"/>
      <c r="AP3" s="1"/>
      <c r="AQ3" s="4"/>
      <c r="AR3" s="1"/>
      <c r="AS3" s="5"/>
      <c r="AT3" s="3"/>
      <c r="AU3" s="3"/>
      <c r="AV3" s="3"/>
      <c r="AW3" s="3"/>
      <c r="AX3" s="1"/>
      <c r="AY3" s="4"/>
      <c r="AZ3" s="1"/>
      <c r="BA3" s="5"/>
      <c r="BB3" s="3"/>
      <c r="BC3" s="3"/>
      <c r="BD3" s="3"/>
      <c r="BE3" s="3"/>
      <c r="BF3" s="1"/>
      <c r="BG3" s="4"/>
      <c r="BH3" s="1"/>
      <c r="BI3" s="5"/>
      <c r="BJ3" s="3"/>
      <c r="BK3" s="3"/>
      <c r="BL3" s="3"/>
      <c r="BM3" s="3"/>
      <c r="BN3" s="1"/>
      <c r="BO3" s="1"/>
      <c r="BP3" s="4"/>
      <c r="BQ3" s="5"/>
      <c r="BR3" s="3"/>
      <c r="BS3" s="3"/>
      <c r="BT3" s="3"/>
      <c r="BU3" s="3"/>
      <c r="BV3" s="1"/>
      <c r="BW3" s="4"/>
      <c r="BX3" s="1"/>
      <c r="BY3" s="5"/>
      <c r="BZ3" s="3"/>
      <c r="CA3" s="3"/>
      <c r="CB3" s="3"/>
      <c r="CC3" s="3"/>
      <c r="CD3" s="6"/>
      <c r="CE3" s="1"/>
      <c r="CF3" s="1"/>
      <c r="CG3" s="5"/>
      <c r="CH3" s="3"/>
      <c r="CI3" s="3"/>
      <c r="CJ3" s="3"/>
      <c r="CK3" s="3"/>
      <c r="CL3" s="1"/>
      <c r="CM3" s="1"/>
      <c r="CN3" s="1"/>
      <c r="CO3" s="5"/>
      <c r="CP3" s="3"/>
      <c r="CQ3" s="3"/>
      <c r="CR3" s="3"/>
      <c r="CS3" s="3"/>
      <c r="CT3" s="1"/>
      <c r="CU3" s="4"/>
      <c r="CV3" s="1"/>
      <c r="CW3" s="5"/>
      <c r="CX3" s="3"/>
      <c r="CY3" s="5"/>
      <c r="CZ3" s="3"/>
      <c r="DA3" s="3"/>
      <c r="DB3" s="3"/>
      <c r="DC3" s="3"/>
      <c r="DD3" s="3"/>
    </row>
    <row r="4" spans="1:108" ht="3.75" customHeight="1" thickBot="1" x14ac:dyDescent="0.25"/>
    <row r="5" spans="1:108" s="26" customFormat="1" ht="26.25" thickBot="1" x14ac:dyDescent="0.25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9">
        <v>44562</v>
      </c>
      <c r="K5" s="20" t="s">
        <v>11</v>
      </c>
      <c r="L5" s="21" t="s">
        <v>12</v>
      </c>
      <c r="M5" s="16" t="s">
        <v>6</v>
      </c>
      <c r="N5" s="17" t="s">
        <v>7</v>
      </c>
      <c r="O5" s="17" t="s">
        <v>8</v>
      </c>
      <c r="P5" s="18" t="s">
        <v>9</v>
      </c>
      <c r="Q5" s="18" t="s">
        <v>10</v>
      </c>
      <c r="R5" s="19">
        <v>44593</v>
      </c>
      <c r="S5" s="20" t="s">
        <v>11</v>
      </c>
      <c r="T5" s="21" t="s">
        <v>12</v>
      </c>
      <c r="U5" s="16" t="s">
        <v>6</v>
      </c>
      <c r="V5" s="17" t="s">
        <v>7</v>
      </c>
      <c r="W5" s="17" t="s">
        <v>8</v>
      </c>
      <c r="X5" s="18" t="s">
        <v>9</v>
      </c>
      <c r="Y5" s="18" t="s">
        <v>10</v>
      </c>
      <c r="Z5" s="19">
        <v>44621</v>
      </c>
      <c r="AA5" s="20" t="s">
        <v>11</v>
      </c>
      <c r="AB5" s="21" t="s">
        <v>12</v>
      </c>
      <c r="AC5" s="16" t="s">
        <v>6</v>
      </c>
      <c r="AD5" s="17" t="s">
        <v>7</v>
      </c>
      <c r="AE5" s="17" t="s">
        <v>8</v>
      </c>
      <c r="AF5" s="18" t="s">
        <v>9</v>
      </c>
      <c r="AG5" s="18" t="s">
        <v>10</v>
      </c>
      <c r="AH5" s="19">
        <v>44652</v>
      </c>
      <c r="AI5" s="20" t="s">
        <v>11</v>
      </c>
      <c r="AJ5" s="21" t="s">
        <v>12</v>
      </c>
      <c r="AK5" s="16" t="s">
        <v>6</v>
      </c>
      <c r="AL5" s="17" t="s">
        <v>7</v>
      </c>
      <c r="AM5" s="17" t="s">
        <v>8</v>
      </c>
      <c r="AN5" s="18" t="s">
        <v>9</v>
      </c>
      <c r="AO5" s="18" t="s">
        <v>10</v>
      </c>
      <c r="AP5" s="19">
        <v>44682</v>
      </c>
      <c r="AQ5" s="20" t="s">
        <v>11</v>
      </c>
      <c r="AR5" s="21" t="s">
        <v>12</v>
      </c>
      <c r="AS5" s="16" t="s">
        <v>6</v>
      </c>
      <c r="AT5" s="17" t="s">
        <v>7</v>
      </c>
      <c r="AU5" s="17" t="s">
        <v>8</v>
      </c>
      <c r="AV5" s="18" t="s">
        <v>9</v>
      </c>
      <c r="AW5" s="18" t="s">
        <v>10</v>
      </c>
      <c r="AX5" s="19">
        <v>44713</v>
      </c>
      <c r="AY5" s="20" t="s">
        <v>11</v>
      </c>
      <c r="AZ5" s="21" t="s">
        <v>12</v>
      </c>
      <c r="BA5" s="16" t="s">
        <v>6</v>
      </c>
      <c r="BB5" s="17" t="s">
        <v>7</v>
      </c>
      <c r="BC5" s="17" t="s">
        <v>8</v>
      </c>
      <c r="BD5" s="18" t="s">
        <v>9</v>
      </c>
      <c r="BE5" s="18" t="s">
        <v>10</v>
      </c>
      <c r="BF5" s="19">
        <v>44743</v>
      </c>
      <c r="BG5" s="20" t="s">
        <v>11</v>
      </c>
      <c r="BH5" s="21" t="s">
        <v>12</v>
      </c>
      <c r="BI5" s="16" t="s">
        <v>6</v>
      </c>
      <c r="BJ5" s="17" t="s">
        <v>7</v>
      </c>
      <c r="BK5" s="17" t="s">
        <v>8</v>
      </c>
      <c r="BL5" s="18" t="s">
        <v>9</v>
      </c>
      <c r="BM5" s="18" t="s">
        <v>10</v>
      </c>
      <c r="BN5" s="19">
        <v>44774</v>
      </c>
      <c r="BO5" s="20" t="s">
        <v>11</v>
      </c>
      <c r="BP5" s="21" t="s">
        <v>12</v>
      </c>
      <c r="BQ5" s="16" t="s">
        <v>6</v>
      </c>
      <c r="BR5" s="17" t="s">
        <v>7</v>
      </c>
      <c r="BS5" s="17" t="s">
        <v>8</v>
      </c>
      <c r="BT5" s="18" t="s">
        <v>9</v>
      </c>
      <c r="BU5" s="18" t="s">
        <v>10</v>
      </c>
      <c r="BV5" s="19">
        <v>44805</v>
      </c>
      <c r="BW5" s="20" t="s">
        <v>11</v>
      </c>
      <c r="BX5" s="21" t="s">
        <v>12</v>
      </c>
      <c r="BY5" s="16" t="s">
        <v>6</v>
      </c>
      <c r="BZ5" s="17" t="s">
        <v>7</v>
      </c>
      <c r="CA5" s="17" t="s">
        <v>8</v>
      </c>
      <c r="CB5" s="18" t="s">
        <v>9</v>
      </c>
      <c r="CC5" s="18" t="s">
        <v>10</v>
      </c>
      <c r="CD5" s="19">
        <v>44835</v>
      </c>
      <c r="CE5" s="20" t="s">
        <v>11</v>
      </c>
      <c r="CF5" s="21" t="s">
        <v>12</v>
      </c>
      <c r="CG5" s="16" t="s">
        <v>6</v>
      </c>
      <c r="CH5" s="17" t="s">
        <v>7</v>
      </c>
      <c r="CI5" s="17" t="s">
        <v>8</v>
      </c>
      <c r="CJ5" s="18" t="s">
        <v>9</v>
      </c>
      <c r="CK5" s="18" t="s">
        <v>10</v>
      </c>
      <c r="CL5" s="19">
        <v>44866</v>
      </c>
      <c r="CM5" s="20" t="s">
        <v>11</v>
      </c>
      <c r="CN5" s="21" t="s">
        <v>12</v>
      </c>
      <c r="CO5" s="16" t="s">
        <v>6</v>
      </c>
      <c r="CP5" s="17" t="s">
        <v>7</v>
      </c>
      <c r="CQ5" s="17" t="s">
        <v>8</v>
      </c>
      <c r="CR5" s="18" t="s">
        <v>9</v>
      </c>
      <c r="CS5" s="18" t="s">
        <v>10</v>
      </c>
      <c r="CT5" s="19">
        <v>44896</v>
      </c>
      <c r="CU5" s="20" t="s">
        <v>11</v>
      </c>
      <c r="CV5" s="21" t="s">
        <v>12</v>
      </c>
      <c r="CW5" s="22" t="s">
        <v>13</v>
      </c>
      <c r="CX5" s="22" t="s">
        <v>14</v>
      </c>
      <c r="CY5" s="22" t="s">
        <v>15</v>
      </c>
      <c r="CZ5" s="23" t="s">
        <v>16</v>
      </c>
      <c r="DA5" s="24"/>
      <c r="DB5" s="14" t="s">
        <v>9</v>
      </c>
      <c r="DC5" s="25" t="s">
        <v>17</v>
      </c>
    </row>
    <row r="6" spans="1:108" s="1" customFormat="1" x14ac:dyDescent="0.2">
      <c r="A6" s="27" t="s">
        <v>18</v>
      </c>
      <c r="B6" s="28" t="s">
        <v>19</v>
      </c>
      <c r="C6" s="29">
        <v>69172873</v>
      </c>
      <c r="D6" s="30" t="s">
        <v>20</v>
      </c>
      <c r="E6" s="31" t="s">
        <v>21</v>
      </c>
      <c r="F6" s="32"/>
      <c r="G6" s="32"/>
      <c r="H6" s="33"/>
      <c r="I6" s="34">
        <v>44598</v>
      </c>
      <c r="J6" s="35">
        <v>217.77</v>
      </c>
      <c r="K6" s="36"/>
      <c r="L6" s="37"/>
      <c r="M6" s="31" t="s">
        <v>22</v>
      </c>
      <c r="N6" s="32"/>
      <c r="O6" s="32"/>
      <c r="P6" s="33"/>
      <c r="Q6" s="34">
        <v>44634</v>
      </c>
      <c r="R6" s="35">
        <v>239.24</v>
      </c>
      <c r="S6" s="36"/>
      <c r="T6" s="37"/>
      <c r="U6" s="31" t="s">
        <v>23</v>
      </c>
      <c r="V6" s="32"/>
      <c r="W6" s="32"/>
      <c r="X6" s="33"/>
      <c r="Y6" s="34">
        <v>44657</v>
      </c>
      <c r="Z6" s="35">
        <v>260.70999999999998</v>
      </c>
      <c r="AA6" s="36"/>
      <c r="AB6" s="37"/>
      <c r="AC6" s="31" t="s">
        <v>24</v>
      </c>
      <c r="AD6" s="32">
        <v>44632</v>
      </c>
      <c r="AE6" s="32">
        <v>44662</v>
      </c>
      <c r="AF6" s="33">
        <v>25</v>
      </c>
      <c r="AG6" s="34">
        <v>44687</v>
      </c>
      <c r="AH6" s="35">
        <f>282.65-9.56-62.16</f>
        <v>210.92999999999998</v>
      </c>
      <c r="AI6" s="36"/>
      <c r="AJ6" s="37"/>
      <c r="AK6" s="31" t="s">
        <v>25</v>
      </c>
      <c r="AL6" s="32">
        <v>44663</v>
      </c>
      <c r="AM6" s="32">
        <v>44692</v>
      </c>
      <c r="AN6" s="33">
        <v>25</v>
      </c>
      <c r="AO6" s="34">
        <v>44726</v>
      </c>
      <c r="AP6" s="35">
        <f>304.59-9.56-64</f>
        <v>231.02999999999997</v>
      </c>
      <c r="AQ6" s="36"/>
      <c r="AR6" s="37"/>
      <c r="AS6" s="31" t="s">
        <v>26</v>
      </c>
      <c r="AT6" s="32">
        <v>44693</v>
      </c>
      <c r="AU6" s="32">
        <v>44723</v>
      </c>
      <c r="AV6" s="33">
        <v>25</v>
      </c>
      <c r="AW6" s="34">
        <v>44749</v>
      </c>
      <c r="AX6" s="35">
        <f>326.69-9.56-66</f>
        <v>251.13</v>
      </c>
      <c r="AY6" s="36"/>
      <c r="AZ6" s="37"/>
      <c r="BA6" s="31" t="s">
        <v>27</v>
      </c>
      <c r="BB6" s="32">
        <v>44724</v>
      </c>
      <c r="BC6" s="32">
        <v>44753</v>
      </c>
      <c r="BD6" s="33">
        <v>25</v>
      </c>
      <c r="BE6" s="34">
        <v>44781</v>
      </c>
      <c r="BF6" s="35">
        <f>348.96-9.56-68.17</f>
        <v>271.22999999999996</v>
      </c>
      <c r="BG6" s="36"/>
      <c r="BH6" s="37"/>
      <c r="BI6" s="31" t="s">
        <v>28</v>
      </c>
      <c r="BJ6" s="32">
        <v>44754</v>
      </c>
      <c r="BK6" s="32">
        <v>44784</v>
      </c>
      <c r="BL6" s="33">
        <v>25</v>
      </c>
      <c r="BM6" s="34">
        <v>44827</v>
      </c>
      <c r="BN6" s="35">
        <f>371.39+9.56-70.5</f>
        <v>310.45</v>
      </c>
      <c r="BO6" s="36"/>
      <c r="BP6" s="37"/>
      <c r="BQ6" s="31" t="s">
        <v>29</v>
      </c>
      <c r="BR6" s="32">
        <v>44785</v>
      </c>
      <c r="BS6" s="32">
        <v>44815</v>
      </c>
      <c r="BT6" s="33">
        <v>25</v>
      </c>
      <c r="BU6" s="34">
        <v>44840</v>
      </c>
      <c r="BV6" s="35">
        <v>311.43</v>
      </c>
      <c r="BW6" s="36"/>
      <c r="BX6" s="37"/>
      <c r="BY6" s="31" t="s">
        <v>30</v>
      </c>
      <c r="BZ6" s="32">
        <v>44816</v>
      </c>
      <c r="CA6" s="32">
        <v>44845</v>
      </c>
      <c r="CB6" s="33">
        <v>25</v>
      </c>
      <c r="CC6" s="34">
        <v>44871</v>
      </c>
      <c r="CD6" s="35">
        <v>334.37</v>
      </c>
      <c r="CE6" s="36"/>
      <c r="CF6" s="37"/>
      <c r="CG6" s="31"/>
      <c r="CH6" s="32"/>
      <c r="CI6" s="32"/>
      <c r="CJ6" s="33"/>
      <c r="CK6" s="34"/>
      <c r="CL6" s="35"/>
      <c r="CM6" s="36"/>
      <c r="CN6" s="37"/>
      <c r="CO6" s="38"/>
      <c r="CP6" s="39"/>
      <c r="CQ6" s="39"/>
      <c r="CR6" s="33"/>
      <c r="CS6" s="34"/>
      <c r="CT6" s="35"/>
      <c r="CU6" s="36"/>
      <c r="CV6" s="37"/>
      <c r="CW6" s="40">
        <v>9.56</v>
      </c>
      <c r="CX6" s="41">
        <v>72.989999999999995</v>
      </c>
      <c r="CY6" s="40"/>
      <c r="CZ6" s="42"/>
      <c r="DA6" s="43"/>
      <c r="DB6" s="44">
        <f t="shared" ref="DB6:DB40" si="0">+H6+P6+X6+AF6+AN6+AV6+BD6+BL6+BT6+CB6+CJ6+CR6</f>
        <v>175</v>
      </c>
      <c r="DC6" s="45">
        <f t="shared" ref="DC6:DC40" si="1">J6+R6+Z6+AH6+AP6+AX6+BF6+BN6+BV6+CD6+CL6+CT6</f>
        <v>2638.29</v>
      </c>
    </row>
    <row r="7" spans="1:108" s="1" customFormat="1" x14ac:dyDescent="0.2">
      <c r="A7" s="46" t="s">
        <v>31</v>
      </c>
      <c r="B7" s="47" t="s">
        <v>32</v>
      </c>
      <c r="C7" s="48">
        <v>13205213</v>
      </c>
      <c r="D7" s="49" t="s">
        <v>33</v>
      </c>
      <c r="E7" s="50" t="s">
        <v>34</v>
      </c>
      <c r="F7" s="51"/>
      <c r="G7" s="51"/>
      <c r="H7" s="52"/>
      <c r="I7" s="53">
        <v>44606</v>
      </c>
      <c r="J7" s="54">
        <v>303.24</v>
      </c>
      <c r="K7" s="55"/>
      <c r="L7" s="56"/>
      <c r="M7" s="50" t="s">
        <v>35</v>
      </c>
      <c r="N7" s="51"/>
      <c r="O7" s="51"/>
      <c r="P7" s="52"/>
      <c r="Q7" s="53">
        <v>44638</v>
      </c>
      <c r="R7" s="54">
        <v>311.3</v>
      </c>
      <c r="S7" s="55"/>
      <c r="T7" s="56"/>
      <c r="U7" s="50" t="s">
        <v>36</v>
      </c>
      <c r="V7" s="51"/>
      <c r="W7" s="51"/>
      <c r="X7" s="52"/>
      <c r="Y7" s="53">
        <v>44666</v>
      </c>
      <c r="Z7" s="54">
        <v>319.41000000000003</v>
      </c>
      <c r="AA7" s="55"/>
      <c r="AB7" s="56"/>
      <c r="AC7" s="50" t="s">
        <v>37</v>
      </c>
      <c r="AD7" s="51">
        <v>44641</v>
      </c>
      <c r="AE7" s="51">
        <v>44671</v>
      </c>
      <c r="AF7" s="52">
        <v>6</v>
      </c>
      <c r="AG7" s="53">
        <v>44696</v>
      </c>
      <c r="AH7" s="54">
        <f>327.57-9.56-88.34</f>
        <v>229.67</v>
      </c>
      <c r="AI7" s="55"/>
      <c r="AJ7" s="56"/>
      <c r="AK7" s="50" t="s">
        <v>38</v>
      </c>
      <c r="AL7" s="51">
        <v>44672</v>
      </c>
      <c r="AM7" s="51">
        <v>44701</v>
      </c>
      <c r="AN7" s="52">
        <v>15</v>
      </c>
      <c r="AO7" s="53">
        <v>44726</v>
      </c>
      <c r="AP7" s="54">
        <f>342.26-9.56-90.13</f>
        <v>242.57</v>
      </c>
      <c r="AQ7" s="55"/>
      <c r="AR7" s="56"/>
      <c r="AS7" s="50" t="s">
        <v>39</v>
      </c>
      <c r="AT7" s="51">
        <v>44702</v>
      </c>
      <c r="AU7" s="51">
        <v>44732</v>
      </c>
      <c r="AV7" s="52">
        <v>15</v>
      </c>
      <c r="AW7" s="53">
        <v>44757</v>
      </c>
      <c r="AX7" s="54">
        <f>357.05-9.56-92.02</f>
        <v>255.47000000000003</v>
      </c>
      <c r="AY7" s="55"/>
      <c r="AZ7" s="56"/>
      <c r="BA7" s="50" t="s">
        <v>40</v>
      </c>
      <c r="BB7" s="51">
        <v>44733</v>
      </c>
      <c r="BC7" s="51">
        <v>44762</v>
      </c>
      <c r="BD7" s="52">
        <v>15</v>
      </c>
      <c r="BE7" s="53">
        <v>44788</v>
      </c>
      <c r="BF7" s="54">
        <f>371.96-9.56-94.03</f>
        <v>268.37</v>
      </c>
      <c r="BG7" s="55"/>
      <c r="BH7" s="56"/>
      <c r="BI7" s="50" t="s">
        <v>41</v>
      </c>
      <c r="BJ7" s="51">
        <v>44763</v>
      </c>
      <c r="BK7" s="51">
        <v>44793</v>
      </c>
      <c r="BL7" s="52">
        <v>15</v>
      </c>
      <c r="BM7" s="53">
        <v>44827</v>
      </c>
      <c r="BN7" s="54">
        <f>386.98-9.56-96.15</f>
        <v>281.27</v>
      </c>
      <c r="BO7" s="55"/>
      <c r="BP7" s="56"/>
      <c r="BQ7" s="50" t="s">
        <v>42</v>
      </c>
      <c r="BR7" s="51">
        <v>44794</v>
      </c>
      <c r="BS7" s="51">
        <v>44824</v>
      </c>
      <c r="BT7" s="57">
        <v>15</v>
      </c>
      <c r="BU7" s="53">
        <v>44849</v>
      </c>
      <c r="BV7" s="54">
        <v>291.3</v>
      </c>
      <c r="BW7" s="55"/>
      <c r="BX7" s="56"/>
      <c r="BY7" s="50" t="s">
        <v>43</v>
      </c>
      <c r="BZ7" s="51">
        <v>44825</v>
      </c>
      <c r="CA7" s="51">
        <v>44854</v>
      </c>
      <c r="CB7" s="52">
        <v>15</v>
      </c>
      <c r="CC7" s="53">
        <v>44879</v>
      </c>
      <c r="CD7" s="54">
        <v>307.07</v>
      </c>
      <c r="CE7" s="55"/>
      <c r="CF7" s="56"/>
      <c r="CG7" s="50"/>
      <c r="CH7" s="51"/>
      <c r="CI7" s="51"/>
      <c r="CJ7" s="52"/>
      <c r="CK7" s="53"/>
      <c r="CL7" s="54"/>
      <c r="CM7" s="55"/>
      <c r="CN7" s="56"/>
      <c r="CO7" s="58"/>
      <c r="CP7" s="59"/>
      <c r="CQ7" s="59"/>
      <c r="CR7" s="52"/>
      <c r="CS7" s="53"/>
      <c r="CT7" s="54"/>
      <c r="CU7" s="55"/>
      <c r="CV7" s="56"/>
      <c r="CW7" s="60">
        <v>9.56</v>
      </c>
      <c r="CX7" s="61">
        <v>101.25</v>
      </c>
      <c r="CY7" s="60"/>
      <c r="CZ7" s="62"/>
      <c r="DA7" s="43"/>
      <c r="DB7" s="63">
        <f t="shared" si="0"/>
        <v>96</v>
      </c>
      <c r="DC7" s="45">
        <f t="shared" si="1"/>
        <v>2809.6700000000005</v>
      </c>
    </row>
    <row r="8" spans="1:108" s="1" customFormat="1" x14ac:dyDescent="0.2">
      <c r="A8" s="46" t="s">
        <v>44</v>
      </c>
      <c r="B8" s="47">
        <v>1715970005</v>
      </c>
      <c r="C8" s="48">
        <v>45539811</v>
      </c>
      <c r="D8" s="49" t="s">
        <v>45</v>
      </c>
      <c r="E8" s="50" t="s">
        <v>46</v>
      </c>
      <c r="F8" s="51"/>
      <c r="G8" s="51"/>
      <c r="H8" s="52"/>
      <c r="I8" s="53">
        <v>44606</v>
      </c>
      <c r="J8" s="54">
        <v>1025.55</v>
      </c>
      <c r="K8" s="55"/>
      <c r="L8" s="56"/>
      <c r="M8" s="50" t="s">
        <v>47</v>
      </c>
      <c r="N8" s="51"/>
      <c r="O8" s="51"/>
      <c r="P8" s="52"/>
      <c r="Q8" s="53">
        <v>44637</v>
      </c>
      <c r="R8" s="54">
        <v>1045.02</v>
      </c>
      <c r="S8" s="55"/>
      <c r="T8" s="56"/>
      <c r="U8" s="50" t="s">
        <v>48</v>
      </c>
      <c r="V8" s="51"/>
      <c r="W8" s="51"/>
      <c r="X8" s="52"/>
      <c r="Y8" s="53">
        <v>44667</v>
      </c>
      <c r="Z8" s="54">
        <v>1064.5899999999999</v>
      </c>
      <c r="AA8" s="55"/>
      <c r="AB8" s="56"/>
      <c r="AC8" s="50" t="s">
        <v>49</v>
      </c>
      <c r="AD8" s="51">
        <v>44641</v>
      </c>
      <c r="AE8" s="51">
        <v>44671</v>
      </c>
      <c r="AF8" s="52">
        <v>19</v>
      </c>
      <c r="AG8" s="53">
        <v>44696</v>
      </c>
      <c r="AH8" s="54">
        <f>1084.83-9.56-215.8</f>
        <v>859.47</v>
      </c>
      <c r="AI8" s="55"/>
      <c r="AJ8" s="56"/>
      <c r="AK8" s="50" t="s">
        <v>50</v>
      </c>
      <c r="AL8" s="51">
        <v>44672</v>
      </c>
      <c r="AM8" s="51">
        <v>44701</v>
      </c>
      <c r="AN8" s="52">
        <v>19</v>
      </c>
      <c r="AO8" s="53">
        <v>44726</v>
      </c>
      <c r="AP8" s="54">
        <f>1105.17-9.56-222.44</f>
        <v>873.17000000000007</v>
      </c>
      <c r="AQ8" s="55"/>
      <c r="AR8" s="56"/>
      <c r="AS8" s="50" t="s">
        <v>51</v>
      </c>
      <c r="AT8" s="51">
        <v>44702</v>
      </c>
      <c r="AU8" s="51">
        <v>44732</v>
      </c>
      <c r="AV8" s="52">
        <v>19</v>
      </c>
      <c r="AW8" s="53">
        <v>44757</v>
      </c>
      <c r="AX8" s="54">
        <f>1151.61-9.56-229.18</f>
        <v>912.86999999999989</v>
      </c>
      <c r="AY8" s="55"/>
      <c r="AZ8" s="56"/>
      <c r="BA8" s="50" t="s">
        <v>52</v>
      </c>
      <c r="BB8" s="51">
        <v>44733</v>
      </c>
      <c r="BC8" s="51">
        <v>44762</v>
      </c>
      <c r="BD8" s="52">
        <v>19</v>
      </c>
      <c r="BE8" s="53">
        <v>44788</v>
      </c>
      <c r="BF8" s="54">
        <f>1146.46-9.56-236.33</f>
        <v>900.57</v>
      </c>
      <c r="BG8" s="55"/>
      <c r="BH8" s="56"/>
      <c r="BI8" s="50" t="s">
        <v>53</v>
      </c>
      <c r="BJ8" s="51">
        <v>44763</v>
      </c>
      <c r="BK8" s="51">
        <v>44793</v>
      </c>
      <c r="BL8" s="52">
        <v>19</v>
      </c>
      <c r="BM8" s="53">
        <v>44827</v>
      </c>
      <c r="BN8" s="54">
        <f>1167.43-9.56-243.6</f>
        <v>914.2700000000001</v>
      </c>
      <c r="BO8" s="55"/>
      <c r="BP8" s="56"/>
      <c r="BQ8" s="50" t="s">
        <v>54</v>
      </c>
      <c r="BR8" s="51">
        <v>44794</v>
      </c>
      <c r="BS8" s="51">
        <v>44824</v>
      </c>
      <c r="BT8" s="52">
        <v>19</v>
      </c>
      <c r="BU8" s="53">
        <v>44849</v>
      </c>
      <c r="BV8" s="54">
        <v>919.52</v>
      </c>
      <c r="BW8" s="55"/>
      <c r="BX8" s="56"/>
      <c r="BY8" s="50" t="s">
        <v>55</v>
      </c>
      <c r="BZ8" s="51">
        <v>44825</v>
      </c>
      <c r="CA8" s="51">
        <v>44854</v>
      </c>
      <c r="CB8" s="52">
        <v>19</v>
      </c>
      <c r="CC8" s="53">
        <v>44879</v>
      </c>
      <c r="CD8" s="54">
        <v>941.67000000000007</v>
      </c>
      <c r="CE8" s="55"/>
      <c r="CF8" s="56"/>
      <c r="CG8" s="50"/>
      <c r="CH8" s="51"/>
      <c r="CI8" s="51"/>
      <c r="CJ8" s="52"/>
      <c r="CK8" s="53"/>
      <c r="CL8" s="54"/>
      <c r="CM8" s="55"/>
      <c r="CN8" s="56"/>
      <c r="CO8" s="58"/>
      <c r="CP8" s="51"/>
      <c r="CQ8" s="51"/>
      <c r="CR8" s="52"/>
      <c r="CS8" s="53"/>
      <c r="CT8" s="54"/>
      <c r="CU8" s="55"/>
      <c r="CV8" s="56"/>
      <c r="CW8" s="60">
        <v>9.56</v>
      </c>
      <c r="CX8" s="64">
        <v>259.44</v>
      </c>
      <c r="CY8" s="65"/>
      <c r="CZ8" s="66"/>
      <c r="DA8" s="43"/>
      <c r="DB8" s="63">
        <f t="shared" si="0"/>
        <v>133</v>
      </c>
      <c r="DC8" s="45">
        <f t="shared" si="1"/>
        <v>9456.7000000000007</v>
      </c>
    </row>
    <row r="9" spans="1:108" s="1" customFormat="1" x14ac:dyDescent="0.2">
      <c r="A9" s="46" t="s">
        <v>56</v>
      </c>
      <c r="B9" s="67" t="s">
        <v>57</v>
      </c>
      <c r="C9" s="48">
        <v>11151241</v>
      </c>
      <c r="D9" s="49" t="s">
        <v>58</v>
      </c>
      <c r="E9" s="50" t="s">
        <v>59</v>
      </c>
      <c r="F9" s="51"/>
      <c r="G9" s="51"/>
      <c r="H9" s="52"/>
      <c r="I9" s="53">
        <v>44612</v>
      </c>
      <c r="J9" s="54">
        <v>107.31</v>
      </c>
      <c r="K9" s="55"/>
      <c r="L9" s="56"/>
      <c r="M9" s="50" t="s">
        <v>60</v>
      </c>
      <c r="N9" s="51"/>
      <c r="O9" s="51"/>
      <c r="P9" s="52"/>
      <c r="Q9" s="53">
        <v>44644</v>
      </c>
      <c r="R9" s="54">
        <v>110.27</v>
      </c>
      <c r="S9" s="55"/>
      <c r="T9" s="56"/>
      <c r="U9" s="50" t="s">
        <v>61</v>
      </c>
      <c r="V9" s="51"/>
      <c r="W9" s="51"/>
      <c r="X9" s="52"/>
      <c r="Y9" s="53">
        <v>44673</v>
      </c>
      <c r="Z9" s="54">
        <v>113.21</v>
      </c>
      <c r="AA9" s="55"/>
      <c r="AB9" s="56"/>
      <c r="AC9" s="50" t="s">
        <v>62</v>
      </c>
      <c r="AD9" s="51">
        <v>44641</v>
      </c>
      <c r="AE9" s="51">
        <v>44671</v>
      </c>
      <c r="AF9" s="52">
        <v>0</v>
      </c>
      <c r="AG9" s="53">
        <v>44704</v>
      </c>
      <c r="AH9" s="54">
        <f>116.16-5.11-18.65</f>
        <v>92.4</v>
      </c>
      <c r="AI9" s="55"/>
      <c r="AJ9" s="56"/>
      <c r="AK9" s="50" t="s">
        <v>63</v>
      </c>
      <c r="AL9" s="51">
        <v>44672</v>
      </c>
      <c r="AM9" s="51">
        <v>44701</v>
      </c>
      <c r="AN9" s="52">
        <v>0</v>
      </c>
      <c r="AO9" s="53">
        <v>44726</v>
      </c>
      <c r="AP9" s="54">
        <f>119.13-5.11-19.52</f>
        <v>94.5</v>
      </c>
      <c r="AQ9" s="55"/>
      <c r="AR9" s="56"/>
      <c r="AS9" s="50" t="s">
        <v>64</v>
      </c>
      <c r="AT9" s="51">
        <v>44702</v>
      </c>
      <c r="AU9" s="51">
        <v>44732</v>
      </c>
      <c r="AV9" s="52">
        <v>0</v>
      </c>
      <c r="AW9" s="53">
        <v>44764</v>
      </c>
      <c r="AX9" s="54">
        <f>122.12-5.11-20.41</f>
        <v>96.600000000000009</v>
      </c>
      <c r="AY9" s="55"/>
      <c r="AZ9" s="56"/>
      <c r="BA9" s="50" t="s">
        <v>65</v>
      </c>
      <c r="BB9" s="51">
        <v>44733</v>
      </c>
      <c r="BC9" s="51">
        <v>44762</v>
      </c>
      <c r="BD9" s="52">
        <v>0</v>
      </c>
      <c r="BE9" s="53">
        <v>44794</v>
      </c>
      <c r="BF9" s="54">
        <f>125.13-5.11-21.32</f>
        <v>98.699999999999989</v>
      </c>
      <c r="BG9" s="55"/>
      <c r="BH9" s="56"/>
      <c r="BI9" s="50" t="s">
        <v>66</v>
      </c>
      <c r="BJ9" s="51">
        <v>44763</v>
      </c>
      <c r="BK9" s="51">
        <v>44793</v>
      </c>
      <c r="BL9" s="52">
        <v>0</v>
      </c>
      <c r="BM9" s="53">
        <v>44827</v>
      </c>
      <c r="BN9" s="54">
        <f>127.31-5.11-22.25</f>
        <v>99.95</v>
      </c>
      <c r="BO9" s="55"/>
      <c r="BP9" s="56"/>
      <c r="BQ9" s="50" t="s">
        <v>67</v>
      </c>
      <c r="BR9" s="51">
        <v>44794</v>
      </c>
      <c r="BS9" s="51">
        <v>44824</v>
      </c>
      <c r="BT9" s="52">
        <v>0</v>
      </c>
      <c r="BU9" s="53">
        <v>44856</v>
      </c>
      <c r="BV9" s="54">
        <v>102.05000000000001</v>
      </c>
      <c r="BW9" s="55"/>
      <c r="BX9" s="56"/>
      <c r="BY9" s="50" t="s">
        <v>68</v>
      </c>
      <c r="BZ9" s="51">
        <v>44825</v>
      </c>
      <c r="CA9" s="51">
        <v>44854</v>
      </c>
      <c r="CB9" s="52">
        <v>0</v>
      </c>
      <c r="CC9" s="53">
        <v>44888</v>
      </c>
      <c r="CD9" s="54">
        <v>104.14999999999999</v>
      </c>
      <c r="CE9" s="55"/>
      <c r="CF9" s="56"/>
      <c r="CG9" s="50"/>
      <c r="CH9" s="51"/>
      <c r="CI9" s="51"/>
      <c r="CJ9" s="52"/>
      <c r="CK9" s="53"/>
      <c r="CL9" s="54"/>
      <c r="CM9" s="55"/>
      <c r="CN9" s="56"/>
      <c r="CO9" s="58"/>
      <c r="CP9" s="59"/>
      <c r="CQ9" s="59"/>
      <c r="CR9" s="52"/>
      <c r="CS9" s="53"/>
      <c r="CT9" s="54"/>
      <c r="CU9" s="55"/>
      <c r="CV9" s="56"/>
      <c r="CW9" s="60">
        <v>5.1100000000000003</v>
      </c>
      <c r="CX9" s="61">
        <v>24.17</v>
      </c>
      <c r="CY9" s="60"/>
      <c r="CZ9" s="62"/>
      <c r="DB9" s="63">
        <f t="shared" si="0"/>
        <v>0</v>
      </c>
      <c r="DC9" s="45">
        <f t="shared" si="1"/>
        <v>1019.14</v>
      </c>
    </row>
    <row r="10" spans="1:108" s="1" customFormat="1" x14ac:dyDescent="0.2">
      <c r="A10" s="46" t="s">
        <v>69</v>
      </c>
      <c r="B10" s="67" t="s">
        <v>70</v>
      </c>
      <c r="C10" s="48">
        <v>11151330</v>
      </c>
      <c r="D10" s="49" t="s">
        <v>71</v>
      </c>
      <c r="E10" s="50" t="s">
        <v>72</v>
      </c>
      <c r="F10" s="51"/>
      <c r="G10" s="51"/>
      <c r="H10" s="52"/>
      <c r="I10" s="53">
        <v>44612</v>
      </c>
      <c r="J10" s="54">
        <v>106.07</v>
      </c>
      <c r="K10" s="55"/>
      <c r="L10" s="56"/>
      <c r="M10" s="50" t="s">
        <v>73</v>
      </c>
      <c r="N10" s="51"/>
      <c r="O10" s="51"/>
      <c r="P10" s="52"/>
      <c r="Q10" s="53">
        <v>44644</v>
      </c>
      <c r="R10" s="54">
        <v>109.02</v>
      </c>
      <c r="S10" s="55"/>
      <c r="T10" s="56"/>
      <c r="U10" s="50" t="s">
        <v>74</v>
      </c>
      <c r="V10" s="51"/>
      <c r="W10" s="51"/>
      <c r="X10" s="52"/>
      <c r="Y10" s="53">
        <v>44673</v>
      </c>
      <c r="Z10" s="54">
        <v>111.94</v>
      </c>
      <c r="AA10" s="55"/>
      <c r="AB10" s="56"/>
      <c r="AC10" s="50" t="s">
        <v>75</v>
      </c>
      <c r="AD10" s="51">
        <v>44641</v>
      </c>
      <c r="AE10" s="51">
        <v>44671</v>
      </c>
      <c r="AF10" s="52">
        <v>0</v>
      </c>
      <c r="AG10" s="53">
        <v>44704</v>
      </c>
      <c r="AH10" s="54">
        <f>114.89-4.72-18.22</f>
        <v>91.95</v>
      </c>
      <c r="AI10" s="55"/>
      <c r="AJ10" s="56"/>
      <c r="AK10" s="50" t="s">
        <v>76</v>
      </c>
      <c r="AL10" s="51">
        <v>44672</v>
      </c>
      <c r="AM10" s="51">
        <v>44701</v>
      </c>
      <c r="AN10" s="52">
        <v>0</v>
      </c>
      <c r="AO10" s="53">
        <v>44726</v>
      </c>
      <c r="AP10" s="54">
        <f>117.85-4.72-19.08</f>
        <v>94.05</v>
      </c>
      <c r="AQ10" s="55"/>
      <c r="AR10" s="56"/>
      <c r="AS10" s="50" t="s">
        <v>77</v>
      </c>
      <c r="AT10" s="51">
        <v>44702</v>
      </c>
      <c r="AU10" s="51">
        <v>44732</v>
      </c>
      <c r="AV10" s="52">
        <v>0</v>
      </c>
      <c r="AW10" s="53">
        <v>44764</v>
      </c>
      <c r="AX10" s="54">
        <f>120.83-4.72-19.96</f>
        <v>96.15</v>
      </c>
      <c r="AY10" s="55"/>
      <c r="AZ10" s="56"/>
      <c r="BA10" s="50" t="s">
        <v>78</v>
      </c>
      <c r="BB10" s="51">
        <v>44733</v>
      </c>
      <c r="BC10" s="51">
        <v>44762</v>
      </c>
      <c r="BD10" s="52">
        <v>0</v>
      </c>
      <c r="BE10" s="53">
        <v>44794</v>
      </c>
      <c r="BF10" s="54">
        <f>123.83-4.72-20.86</f>
        <v>98.25</v>
      </c>
      <c r="BG10" s="55"/>
      <c r="BH10" s="56"/>
      <c r="BI10" s="50" t="s">
        <v>79</v>
      </c>
      <c r="BJ10" s="51">
        <v>44763</v>
      </c>
      <c r="BK10" s="51">
        <v>44793</v>
      </c>
      <c r="BL10" s="52">
        <v>0</v>
      </c>
      <c r="BM10" s="53">
        <v>44827</v>
      </c>
      <c r="BN10" s="54">
        <f>125.99-4.72-21.78</f>
        <v>99.49</v>
      </c>
      <c r="BO10" s="55"/>
      <c r="BP10" s="56"/>
      <c r="BQ10" s="50" t="s">
        <v>80</v>
      </c>
      <c r="BR10" s="51">
        <v>44794</v>
      </c>
      <c r="BS10" s="51">
        <v>44824</v>
      </c>
      <c r="BT10" s="52">
        <v>0</v>
      </c>
      <c r="BU10" s="53">
        <v>44856</v>
      </c>
      <c r="BV10" s="54">
        <v>101.6</v>
      </c>
      <c r="BW10" s="55"/>
      <c r="BX10" s="56"/>
      <c r="BY10" s="50" t="s">
        <v>81</v>
      </c>
      <c r="BZ10" s="51">
        <v>44825</v>
      </c>
      <c r="CA10" s="51">
        <v>44854</v>
      </c>
      <c r="CB10" s="52">
        <v>0</v>
      </c>
      <c r="CC10" s="53">
        <v>44888</v>
      </c>
      <c r="CD10" s="54">
        <v>103.69999999999999</v>
      </c>
      <c r="CE10" s="55"/>
      <c r="CF10" s="56"/>
      <c r="CG10" s="50"/>
      <c r="CH10" s="51"/>
      <c r="CI10" s="51"/>
      <c r="CJ10" s="52"/>
      <c r="CK10" s="53"/>
      <c r="CL10" s="54"/>
      <c r="CM10" s="55"/>
      <c r="CN10" s="56"/>
      <c r="CO10" s="58"/>
      <c r="CP10" s="59"/>
      <c r="CQ10" s="59"/>
      <c r="CR10" s="52"/>
      <c r="CS10" s="53"/>
      <c r="CT10" s="54"/>
      <c r="CU10" s="55"/>
      <c r="CV10" s="56"/>
      <c r="CW10" s="60">
        <v>4.72</v>
      </c>
      <c r="CX10" s="61">
        <v>23.68</v>
      </c>
      <c r="CY10" s="60"/>
      <c r="CZ10" s="66"/>
      <c r="DA10" s="43"/>
      <c r="DB10" s="63">
        <f t="shared" si="0"/>
        <v>0</v>
      </c>
      <c r="DC10" s="45">
        <f t="shared" si="1"/>
        <v>1012.22</v>
      </c>
    </row>
    <row r="11" spans="1:108" s="1" customFormat="1" x14ac:dyDescent="0.2">
      <c r="A11" s="46" t="s">
        <v>82</v>
      </c>
      <c r="B11" s="68" t="s">
        <v>83</v>
      </c>
      <c r="C11" s="48">
        <v>11171745</v>
      </c>
      <c r="D11" s="49" t="s">
        <v>84</v>
      </c>
      <c r="E11" s="50" t="s">
        <v>85</v>
      </c>
      <c r="F11" s="51"/>
      <c r="G11" s="51"/>
      <c r="H11" s="52"/>
      <c r="I11" s="53">
        <v>44612</v>
      </c>
      <c r="J11" s="54">
        <v>122.1</v>
      </c>
      <c r="K11" s="55"/>
      <c r="L11" s="56"/>
      <c r="M11" s="50" t="s">
        <v>86</v>
      </c>
      <c r="N11" s="51"/>
      <c r="O11" s="51"/>
      <c r="P11" s="52"/>
      <c r="Q11" s="53">
        <v>44644</v>
      </c>
      <c r="R11" s="54">
        <v>128.06</v>
      </c>
      <c r="S11" s="55"/>
      <c r="T11" s="56"/>
      <c r="U11" s="50" t="s">
        <v>87</v>
      </c>
      <c r="V11" s="51"/>
      <c r="W11" s="51"/>
      <c r="X11" s="52"/>
      <c r="Y11" s="53">
        <v>44665</v>
      </c>
      <c r="Z11" s="54">
        <v>161.56</v>
      </c>
      <c r="AA11" s="55"/>
      <c r="AB11" s="56"/>
      <c r="AC11" s="50" t="s">
        <v>88</v>
      </c>
      <c r="AD11" s="51">
        <v>44641</v>
      </c>
      <c r="AE11" s="51">
        <v>44671</v>
      </c>
      <c r="AF11" s="52">
        <v>5</v>
      </c>
      <c r="AG11" s="53">
        <v>44704</v>
      </c>
      <c r="AH11" s="54">
        <f>161.98-5.12-19.19</f>
        <v>137.66999999999999</v>
      </c>
      <c r="AI11" s="55"/>
      <c r="AJ11" s="56"/>
      <c r="AK11" s="50" t="s">
        <v>89</v>
      </c>
      <c r="AL11" s="51">
        <v>44672</v>
      </c>
      <c r="AM11" s="51">
        <v>44701</v>
      </c>
      <c r="AN11" s="52">
        <v>25</v>
      </c>
      <c r="AO11" s="53">
        <v>44736</v>
      </c>
      <c r="AP11" s="54">
        <f>194.49-5.12-20.5</f>
        <v>168.87</v>
      </c>
      <c r="AQ11" s="55"/>
      <c r="AR11" s="56"/>
      <c r="AS11" s="50" t="s">
        <v>90</v>
      </c>
      <c r="AT11" s="51">
        <v>44702</v>
      </c>
      <c r="AU11" s="51">
        <v>44732</v>
      </c>
      <c r="AV11" s="52">
        <v>25</v>
      </c>
      <c r="AW11" s="53">
        <v>44764</v>
      </c>
      <c r="AX11" s="54">
        <f>215.93-5.12-21.9</f>
        <v>188.91</v>
      </c>
      <c r="AY11" s="55"/>
      <c r="AZ11" s="56"/>
      <c r="BA11" s="50" t="s">
        <v>91</v>
      </c>
      <c r="BB11" s="51">
        <v>44733</v>
      </c>
      <c r="BC11" s="51">
        <v>44762</v>
      </c>
      <c r="BD11" s="52">
        <v>25</v>
      </c>
      <c r="BE11" s="53">
        <v>44794</v>
      </c>
      <c r="BF11" s="54">
        <f>237.74-5.12-23.61</f>
        <v>209.01</v>
      </c>
      <c r="BG11" s="55"/>
      <c r="BH11" s="56"/>
      <c r="BI11" s="50" t="s">
        <v>92</v>
      </c>
      <c r="BJ11" s="51">
        <v>44763</v>
      </c>
      <c r="BK11" s="51">
        <v>44793</v>
      </c>
      <c r="BL11" s="52">
        <v>25</v>
      </c>
      <c r="BM11" s="53">
        <v>44827</v>
      </c>
      <c r="BN11" s="54">
        <f>257.06-5.12-25.39</f>
        <v>226.55</v>
      </c>
      <c r="BO11" s="55"/>
      <c r="BP11" s="56"/>
      <c r="BQ11" s="50" t="s">
        <v>93</v>
      </c>
      <c r="BR11" s="51">
        <v>44794</v>
      </c>
      <c r="BS11" s="51">
        <v>44824</v>
      </c>
      <c r="BT11" s="52">
        <v>25</v>
      </c>
      <c r="BU11" s="53">
        <v>44856</v>
      </c>
      <c r="BV11" s="54">
        <v>246.66000000000003</v>
      </c>
      <c r="BW11" s="55"/>
      <c r="BX11" s="56"/>
      <c r="BY11" s="50" t="s">
        <v>94</v>
      </c>
      <c r="BZ11" s="51">
        <v>44825</v>
      </c>
      <c r="CA11" s="51">
        <v>44854</v>
      </c>
      <c r="CB11" s="52">
        <v>25</v>
      </c>
      <c r="CC11" s="53">
        <v>44888</v>
      </c>
      <c r="CD11" s="54">
        <v>266.88</v>
      </c>
      <c r="CE11" s="55"/>
      <c r="CF11" s="56"/>
      <c r="CG11" s="50"/>
      <c r="CH11" s="51"/>
      <c r="CI11" s="51"/>
      <c r="CJ11" s="52"/>
      <c r="CK11" s="53"/>
      <c r="CL11" s="54"/>
      <c r="CM11" s="55"/>
      <c r="CN11" s="56"/>
      <c r="CO11" s="58"/>
      <c r="CP11" s="59"/>
      <c r="CQ11" s="59"/>
      <c r="CR11" s="52"/>
      <c r="CS11" s="53"/>
      <c r="CT11" s="54"/>
      <c r="CU11" s="55"/>
      <c r="CV11" s="56"/>
      <c r="CW11" s="60">
        <v>5.12</v>
      </c>
      <c r="CX11" s="61">
        <v>29.56</v>
      </c>
      <c r="CY11" s="60"/>
      <c r="CZ11" s="62"/>
      <c r="DA11" s="43"/>
      <c r="DB11" s="63">
        <f t="shared" si="0"/>
        <v>155</v>
      </c>
      <c r="DC11" s="45">
        <f t="shared" si="1"/>
        <v>1856.27</v>
      </c>
    </row>
    <row r="12" spans="1:108" s="1" customFormat="1" x14ac:dyDescent="0.2">
      <c r="A12" s="46" t="s">
        <v>95</v>
      </c>
      <c r="B12" s="67" t="s">
        <v>96</v>
      </c>
      <c r="C12" s="48">
        <v>13151261</v>
      </c>
      <c r="D12" s="49" t="s">
        <v>33</v>
      </c>
      <c r="E12" s="50" t="s">
        <v>97</v>
      </c>
      <c r="F12" s="51"/>
      <c r="G12" s="51"/>
      <c r="H12" s="52"/>
      <c r="I12" s="53">
        <v>44612</v>
      </c>
      <c r="J12" s="54">
        <v>106.04</v>
      </c>
      <c r="K12" s="55"/>
      <c r="L12" s="56"/>
      <c r="M12" s="50" t="s">
        <v>98</v>
      </c>
      <c r="N12" s="51"/>
      <c r="O12" s="51"/>
      <c r="P12" s="52"/>
      <c r="Q12" s="53">
        <v>44644</v>
      </c>
      <c r="R12" s="54">
        <v>108.99</v>
      </c>
      <c r="S12" s="55"/>
      <c r="T12" s="56"/>
      <c r="U12" s="50" t="s">
        <v>99</v>
      </c>
      <c r="V12" s="51"/>
      <c r="W12" s="51"/>
      <c r="X12" s="52"/>
      <c r="Y12" s="53">
        <v>44674</v>
      </c>
      <c r="Z12" s="54">
        <v>111.91</v>
      </c>
      <c r="AA12" s="55"/>
      <c r="AB12" s="56"/>
      <c r="AC12" s="50" t="s">
        <v>100</v>
      </c>
      <c r="AD12" s="51">
        <v>44641</v>
      </c>
      <c r="AE12" s="51">
        <v>44671</v>
      </c>
      <c r="AF12" s="52">
        <v>0</v>
      </c>
      <c r="AG12" s="53">
        <v>44704</v>
      </c>
      <c r="AH12" s="54">
        <f>114.86-4.69-18.22</f>
        <v>91.95</v>
      </c>
      <c r="AI12" s="55"/>
      <c r="AJ12" s="56"/>
      <c r="AK12" s="50" t="s">
        <v>101</v>
      </c>
      <c r="AL12" s="51">
        <v>44672</v>
      </c>
      <c r="AM12" s="51">
        <v>44701</v>
      </c>
      <c r="AN12" s="52">
        <v>0</v>
      </c>
      <c r="AO12" s="53">
        <v>44736</v>
      </c>
      <c r="AP12" s="54">
        <f>117.82-4.69-19.08</f>
        <v>94.05</v>
      </c>
      <c r="AQ12" s="55"/>
      <c r="AR12" s="56"/>
      <c r="AS12" s="50" t="s">
        <v>102</v>
      </c>
      <c r="AT12" s="51">
        <v>44702</v>
      </c>
      <c r="AU12" s="51">
        <v>44732</v>
      </c>
      <c r="AV12" s="52">
        <v>0</v>
      </c>
      <c r="AW12" s="53">
        <v>44764</v>
      </c>
      <c r="AX12" s="54">
        <f>120.8-4.69-19.96</f>
        <v>96.15</v>
      </c>
      <c r="AY12" s="55"/>
      <c r="AZ12" s="56"/>
      <c r="BA12" s="50" t="s">
        <v>103</v>
      </c>
      <c r="BB12" s="51">
        <v>44733</v>
      </c>
      <c r="BC12" s="51">
        <v>44762</v>
      </c>
      <c r="BD12" s="69">
        <v>0</v>
      </c>
      <c r="BE12" s="53">
        <v>44794</v>
      </c>
      <c r="BF12" s="54">
        <f>123.8-4.69-20.86</f>
        <v>98.25</v>
      </c>
      <c r="BG12" s="55"/>
      <c r="BH12" s="56"/>
      <c r="BI12" s="50" t="s">
        <v>104</v>
      </c>
      <c r="BJ12" s="51">
        <v>44763</v>
      </c>
      <c r="BK12" s="51">
        <v>44793</v>
      </c>
      <c r="BL12" s="52">
        <v>0</v>
      </c>
      <c r="BM12" s="53">
        <v>44827</v>
      </c>
      <c r="BN12" s="54">
        <f>125.96-4.69-21.78</f>
        <v>99.49</v>
      </c>
      <c r="BO12" s="55"/>
      <c r="BP12" s="56"/>
      <c r="BQ12" s="50" t="s">
        <v>105</v>
      </c>
      <c r="BR12" s="51">
        <v>44794</v>
      </c>
      <c r="BS12" s="51">
        <v>44824</v>
      </c>
      <c r="BT12" s="52">
        <v>0</v>
      </c>
      <c r="BU12" s="53">
        <v>44856</v>
      </c>
      <c r="BV12" s="54">
        <v>101.6</v>
      </c>
      <c r="BW12" s="55"/>
      <c r="BX12" s="56"/>
      <c r="BY12" s="50" t="s">
        <v>106</v>
      </c>
      <c r="BZ12" s="51">
        <v>44825</v>
      </c>
      <c r="CA12" s="51">
        <v>44854</v>
      </c>
      <c r="CB12" s="52">
        <v>0</v>
      </c>
      <c r="CC12" s="53">
        <v>44888</v>
      </c>
      <c r="CD12" s="54">
        <v>103.69999999999999</v>
      </c>
      <c r="CE12" s="55"/>
      <c r="CF12" s="56"/>
      <c r="CG12" s="50"/>
      <c r="CH12" s="51"/>
      <c r="CI12" s="51"/>
      <c r="CJ12" s="52"/>
      <c r="CK12" s="53"/>
      <c r="CL12" s="54"/>
      <c r="CM12" s="55"/>
      <c r="CN12" s="56"/>
      <c r="CO12" s="58"/>
      <c r="CP12" s="59"/>
      <c r="CQ12" s="59"/>
      <c r="CR12" s="52"/>
      <c r="CS12" s="53"/>
      <c r="CT12" s="54"/>
      <c r="CU12" s="55"/>
      <c r="CV12" s="56"/>
      <c r="CW12" s="60">
        <v>4.6900000000000004</v>
      </c>
      <c r="CX12" s="61">
        <v>23.68</v>
      </c>
      <c r="CY12" s="60"/>
      <c r="CZ12" s="66"/>
      <c r="DA12" s="43"/>
      <c r="DB12" s="63">
        <f t="shared" si="0"/>
        <v>0</v>
      </c>
      <c r="DC12" s="45">
        <f t="shared" si="1"/>
        <v>1012.1299999999999</v>
      </c>
    </row>
    <row r="13" spans="1:108" s="1" customFormat="1" x14ac:dyDescent="0.2">
      <c r="A13" s="46" t="s">
        <v>107</v>
      </c>
      <c r="B13" s="47" t="s">
        <v>108</v>
      </c>
      <c r="C13" s="48">
        <v>14169536</v>
      </c>
      <c r="D13" s="49" t="s">
        <v>109</v>
      </c>
      <c r="E13" s="50" t="s">
        <v>110</v>
      </c>
      <c r="F13" s="51"/>
      <c r="G13" s="51"/>
      <c r="H13" s="52"/>
      <c r="I13" s="53">
        <v>44612</v>
      </c>
      <c r="J13" s="54">
        <v>1142.1600000000001</v>
      </c>
      <c r="K13" s="55"/>
      <c r="L13" s="56"/>
      <c r="M13" s="50" t="s">
        <v>111</v>
      </c>
      <c r="N13" s="51"/>
      <c r="O13" s="51"/>
      <c r="P13" s="52"/>
      <c r="Q13" s="53">
        <v>44644</v>
      </c>
      <c r="R13" s="54">
        <v>1152.01</v>
      </c>
      <c r="S13" s="55"/>
      <c r="T13" s="56"/>
      <c r="U13" s="50" t="s">
        <v>112</v>
      </c>
      <c r="V13" s="51"/>
      <c r="W13" s="51"/>
      <c r="X13" s="52"/>
      <c r="Y13" s="53">
        <v>44674</v>
      </c>
      <c r="Z13" s="54">
        <v>1313.8</v>
      </c>
      <c r="AA13" s="55"/>
      <c r="AB13" s="56"/>
      <c r="AC13" s="50" t="s">
        <v>113</v>
      </c>
      <c r="AD13" s="51">
        <v>44638</v>
      </c>
      <c r="AE13" s="51">
        <v>44668</v>
      </c>
      <c r="AF13" s="52">
        <v>0</v>
      </c>
      <c r="AG13" s="53">
        <v>44704</v>
      </c>
      <c r="AH13" s="54">
        <f>1171.62-5.23-199.08</f>
        <v>967.30999999999983</v>
      </c>
      <c r="AI13" s="55"/>
      <c r="AJ13" s="56"/>
      <c r="AK13" s="50" t="s">
        <v>114</v>
      </c>
      <c r="AL13" s="51">
        <v>44669</v>
      </c>
      <c r="AM13" s="51">
        <v>44698</v>
      </c>
      <c r="AN13" s="52">
        <v>0</v>
      </c>
      <c r="AO13" s="53">
        <v>44736</v>
      </c>
      <c r="AP13" s="54">
        <f>1181.38-5.23-206.74</f>
        <v>969.41000000000008</v>
      </c>
      <c r="AQ13" s="55"/>
      <c r="AR13" s="56"/>
      <c r="AS13" s="50" t="s">
        <v>115</v>
      </c>
      <c r="AT13" s="51">
        <v>44699</v>
      </c>
      <c r="AU13" s="51">
        <v>44729</v>
      </c>
      <c r="AV13" s="52">
        <v>0</v>
      </c>
      <c r="AW13" s="53">
        <v>44764</v>
      </c>
      <c r="AX13" s="54">
        <f>1191.16-5.23-214.42</f>
        <v>971.5100000000001</v>
      </c>
      <c r="AY13" s="55"/>
      <c r="AZ13" s="56"/>
      <c r="BA13" s="50" t="s">
        <v>116</v>
      </c>
      <c r="BB13" s="51">
        <v>44730</v>
      </c>
      <c r="BC13" s="51">
        <v>44759</v>
      </c>
      <c r="BD13" s="52">
        <v>0</v>
      </c>
      <c r="BE13" s="53">
        <v>44794</v>
      </c>
      <c r="BF13" s="54">
        <f>1201.09-5.23-222.25</f>
        <v>973.6099999999999</v>
      </c>
      <c r="BG13" s="55"/>
      <c r="BH13" s="56"/>
      <c r="BI13" s="50" t="s">
        <v>117</v>
      </c>
      <c r="BJ13" s="51">
        <v>44760</v>
      </c>
      <c r="BK13" s="51">
        <v>44790</v>
      </c>
      <c r="BL13" s="52">
        <v>0</v>
      </c>
      <c r="BM13" s="53">
        <v>44827</v>
      </c>
      <c r="BN13" s="54">
        <f>1211.04-5.23-230.1</f>
        <v>975.70999999999992</v>
      </c>
      <c r="BO13" s="55"/>
      <c r="BP13" s="56"/>
      <c r="BQ13" s="50" t="s">
        <v>118</v>
      </c>
      <c r="BR13" s="51">
        <v>44791</v>
      </c>
      <c r="BS13" s="51">
        <v>44821</v>
      </c>
      <c r="BT13" s="52">
        <v>0</v>
      </c>
      <c r="BU13" s="53">
        <v>44856</v>
      </c>
      <c r="BV13" s="54">
        <v>977.81</v>
      </c>
      <c r="BW13" s="55"/>
      <c r="BX13" s="56"/>
      <c r="BY13" s="50" t="s">
        <v>119</v>
      </c>
      <c r="BZ13" s="51">
        <v>44822</v>
      </c>
      <c r="CA13" s="51">
        <v>44851</v>
      </c>
      <c r="CB13" s="52">
        <v>0</v>
      </c>
      <c r="CC13" s="53">
        <v>44888</v>
      </c>
      <c r="CD13" s="54">
        <v>979.91</v>
      </c>
      <c r="CE13" s="55"/>
      <c r="CF13" s="56"/>
      <c r="CG13" s="50"/>
      <c r="CH13" s="51"/>
      <c r="CI13" s="51"/>
      <c r="CJ13" s="52"/>
      <c r="CK13" s="53"/>
      <c r="CL13" s="54"/>
      <c r="CM13" s="55"/>
      <c r="CN13" s="56"/>
      <c r="CO13" s="58"/>
      <c r="CP13" s="59"/>
      <c r="CQ13" s="59"/>
      <c r="CR13" s="52"/>
      <c r="CS13" s="53"/>
      <c r="CT13" s="54"/>
      <c r="CU13" s="55"/>
      <c r="CV13" s="56"/>
      <c r="CW13" s="60">
        <v>5.23</v>
      </c>
      <c r="CX13" s="61">
        <v>246.91</v>
      </c>
      <c r="CY13" s="60"/>
      <c r="CZ13" s="62"/>
      <c r="DA13" s="43"/>
      <c r="DB13" s="63">
        <f t="shared" si="0"/>
        <v>0</v>
      </c>
      <c r="DC13" s="45">
        <f t="shared" si="1"/>
        <v>10423.239999999998</v>
      </c>
    </row>
    <row r="14" spans="1:108" s="1" customFormat="1" x14ac:dyDescent="0.2">
      <c r="A14" s="46" t="s">
        <v>120</v>
      </c>
      <c r="B14" s="67" t="s">
        <v>121</v>
      </c>
      <c r="C14" s="48">
        <v>14205223</v>
      </c>
      <c r="D14" s="49" t="s">
        <v>122</v>
      </c>
      <c r="E14" s="50" t="s">
        <v>123</v>
      </c>
      <c r="F14" s="51"/>
      <c r="G14" s="51"/>
      <c r="H14" s="52"/>
      <c r="I14" s="53">
        <v>44612</v>
      </c>
      <c r="J14" s="54">
        <v>108.81</v>
      </c>
      <c r="K14" s="55"/>
      <c r="L14" s="56"/>
      <c r="M14" s="50" t="s">
        <v>124</v>
      </c>
      <c r="N14" s="51"/>
      <c r="O14" s="51"/>
      <c r="P14" s="52"/>
      <c r="Q14" s="53">
        <v>44644</v>
      </c>
      <c r="R14" s="54">
        <v>111.73</v>
      </c>
      <c r="S14" s="55"/>
      <c r="T14" s="56"/>
      <c r="U14" s="50" t="s">
        <v>125</v>
      </c>
      <c r="V14" s="51"/>
      <c r="W14" s="51"/>
      <c r="X14" s="52"/>
      <c r="Y14" s="53">
        <v>44674</v>
      </c>
      <c r="Z14" s="54">
        <v>114.67</v>
      </c>
      <c r="AA14" s="55"/>
      <c r="AB14" s="56"/>
      <c r="AC14" s="50" t="s">
        <v>126</v>
      </c>
      <c r="AD14" s="51">
        <v>44638</v>
      </c>
      <c r="AE14" s="51">
        <v>44668</v>
      </c>
      <c r="AF14" s="52">
        <v>0</v>
      </c>
      <c r="AG14" s="53">
        <v>44704</v>
      </c>
      <c r="AH14" s="54">
        <f>117.63-5.93-19.07</f>
        <v>92.63</v>
      </c>
      <c r="AI14" s="55"/>
      <c r="AJ14" s="56"/>
      <c r="AK14" s="50" t="s">
        <v>127</v>
      </c>
      <c r="AL14" s="51">
        <v>44669</v>
      </c>
      <c r="AM14" s="51">
        <v>44698</v>
      </c>
      <c r="AN14" s="52">
        <v>25</v>
      </c>
      <c r="AO14" s="53">
        <v>44736</v>
      </c>
      <c r="AP14" s="54">
        <f>138.61-5.93-19.95</f>
        <v>112.73</v>
      </c>
      <c r="AQ14" s="55"/>
      <c r="AR14" s="56"/>
      <c r="AS14" s="50" t="s">
        <v>128</v>
      </c>
      <c r="AT14" s="51">
        <v>44699</v>
      </c>
      <c r="AU14" s="51">
        <v>44729</v>
      </c>
      <c r="AV14" s="52">
        <v>25</v>
      </c>
      <c r="AW14" s="53">
        <v>44764</v>
      </c>
      <c r="AX14" s="54">
        <f>159.61-5.93-20.85</f>
        <v>132.83000000000001</v>
      </c>
      <c r="AY14" s="55"/>
      <c r="AZ14" s="56"/>
      <c r="BA14" s="50" t="s">
        <v>129</v>
      </c>
      <c r="BB14" s="51">
        <v>44730</v>
      </c>
      <c r="BC14" s="51">
        <v>44759</v>
      </c>
      <c r="BD14" s="52">
        <v>25</v>
      </c>
      <c r="BE14" s="53">
        <v>44794</v>
      </c>
      <c r="BF14" s="54">
        <f>180.91-5.93-22.05</f>
        <v>152.92999999999998</v>
      </c>
      <c r="BG14" s="55"/>
      <c r="BH14" s="56"/>
      <c r="BI14" s="50" t="s">
        <v>130</v>
      </c>
      <c r="BJ14" s="51">
        <v>44760</v>
      </c>
      <c r="BK14" s="51">
        <v>44790</v>
      </c>
      <c r="BL14" s="52">
        <v>25</v>
      </c>
      <c r="BM14" s="53">
        <v>44827</v>
      </c>
      <c r="BN14" s="54">
        <f>202.37-5.93-23.41</f>
        <v>173.03</v>
      </c>
      <c r="BO14" s="55"/>
      <c r="BP14" s="56"/>
      <c r="BQ14" s="50" t="s">
        <v>131</v>
      </c>
      <c r="BR14" s="51">
        <v>44791</v>
      </c>
      <c r="BS14" s="51">
        <v>44821</v>
      </c>
      <c r="BT14" s="52">
        <v>25</v>
      </c>
      <c r="BU14" s="53">
        <v>44856</v>
      </c>
      <c r="BV14" s="54">
        <v>193.13</v>
      </c>
      <c r="BW14" s="55"/>
      <c r="BX14" s="56"/>
      <c r="BY14" s="50" t="s">
        <v>132</v>
      </c>
      <c r="BZ14" s="51">
        <v>44822</v>
      </c>
      <c r="CA14" s="51">
        <v>44851</v>
      </c>
      <c r="CB14" s="52">
        <v>25</v>
      </c>
      <c r="CC14" s="53">
        <v>44888</v>
      </c>
      <c r="CD14" s="54">
        <v>213.23</v>
      </c>
      <c r="CE14" s="55"/>
      <c r="CF14" s="56"/>
      <c r="CG14" s="50"/>
      <c r="CH14" s="51"/>
      <c r="CI14" s="51"/>
      <c r="CJ14" s="52"/>
      <c r="CK14" s="53"/>
      <c r="CL14" s="54"/>
      <c r="CM14" s="55"/>
      <c r="CN14" s="56"/>
      <c r="CO14" s="58"/>
      <c r="CP14" s="59"/>
      <c r="CQ14" s="59"/>
      <c r="CR14" s="52"/>
      <c r="CS14" s="53"/>
      <c r="CT14" s="54"/>
      <c r="CU14" s="55"/>
      <c r="CV14" s="56"/>
      <c r="CW14" s="60">
        <v>5.93</v>
      </c>
      <c r="CX14" s="61">
        <v>26.69</v>
      </c>
      <c r="CY14" s="60"/>
      <c r="CZ14" s="62"/>
      <c r="DA14" s="43"/>
      <c r="DB14" s="63">
        <f t="shared" si="0"/>
        <v>150</v>
      </c>
      <c r="DC14" s="45">
        <f t="shared" si="1"/>
        <v>1405.72</v>
      </c>
    </row>
    <row r="15" spans="1:108" s="1" customFormat="1" x14ac:dyDescent="0.2">
      <c r="A15" s="70" t="s">
        <v>133</v>
      </c>
      <c r="B15" s="47" t="s">
        <v>134</v>
      </c>
      <c r="C15" s="48">
        <v>21110396</v>
      </c>
      <c r="D15" s="49" t="s">
        <v>135</v>
      </c>
      <c r="E15" s="50" t="s">
        <v>136</v>
      </c>
      <c r="F15" s="51"/>
      <c r="G15" s="51"/>
      <c r="H15" s="52"/>
      <c r="I15" s="53">
        <v>44612</v>
      </c>
      <c r="J15" s="54">
        <v>390.07</v>
      </c>
      <c r="K15" s="55"/>
      <c r="L15" s="56"/>
      <c r="M15" s="50" t="s">
        <v>137</v>
      </c>
      <c r="N15" s="51"/>
      <c r="O15" s="51"/>
      <c r="P15" s="52"/>
      <c r="Q15" s="53">
        <v>44644</v>
      </c>
      <c r="R15" s="54">
        <v>400.82</v>
      </c>
      <c r="S15" s="55"/>
      <c r="T15" s="56"/>
      <c r="U15" s="50" t="s">
        <v>138</v>
      </c>
      <c r="V15" s="51"/>
      <c r="W15" s="51"/>
      <c r="X15" s="52"/>
      <c r="Y15" s="53">
        <v>44674</v>
      </c>
      <c r="Z15" s="54">
        <v>411.57</v>
      </c>
      <c r="AA15" s="55"/>
      <c r="AB15" s="56"/>
      <c r="AC15" s="50" t="s">
        <v>139</v>
      </c>
      <c r="AD15" s="51">
        <v>44641</v>
      </c>
      <c r="AE15" s="51">
        <v>44671</v>
      </c>
      <c r="AF15" s="52">
        <v>13</v>
      </c>
      <c r="AG15" s="53">
        <v>44704</v>
      </c>
      <c r="AH15" s="54">
        <f>422.64-6.81-66.02</f>
        <v>349.81</v>
      </c>
      <c r="AI15" s="55"/>
      <c r="AJ15" s="56"/>
      <c r="AK15" s="50" t="s">
        <v>140</v>
      </c>
      <c r="AL15" s="51">
        <v>44672</v>
      </c>
      <c r="AM15" s="51">
        <v>44701</v>
      </c>
      <c r="AN15" s="52">
        <v>13</v>
      </c>
      <c r="AO15" s="53">
        <v>44736</v>
      </c>
      <c r="AP15" s="54">
        <f>433.76-6.81-68.62</f>
        <v>358.33</v>
      </c>
      <c r="AQ15" s="55"/>
      <c r="AR15" s="56"/>
      <c r="AS15" s="50" t="s">
        <v>141</v>
      </c>
      <c r="AT15" s="51">
        <v>44702</v>
      </c>
      <c r="AU15" s="51">
        <v>44732</v>
      </c>
      <c r="AV15" s="52">
        <v>13</v>
      </c>
      <c r="AW15" s="53">
        <v>44764</v>
      </c>
      <c r="AX15" s="54">
        <f>444.96-6.81-71.3</f>
        <v>366.84999999999997</v>
      </c>
      <c r="AY15" s="55"/>
      <c r="AZ15" s="56"/>
      <c r="BA15" s="50" t="s">
        <v>142</v>
      </c>
      <c r="BB15" s="51">
        <v>44733</v>
      </c>
      <c r="BC15" s="51">
        <v>44762</v>
      </c>
      <c r="BD15" s="52">
        <v>13</v>
      </c>
      <c r="BE15" s="53">
        <v>44794</v>
      </c>
      <c r="BF15" s="54">
        <f>462.11-6.81-74.07</f>
        <v>381.23</v>
      </c>
      <c r="BG15" s="55"/>
      <c r="BH15" s="56"/>
      <c r="BI15" s="50" t="s">
        <v>143</v>
      </c>
      <c r="BJ15" s="51">
        <v>44763</v>
      </c>
      <c r="BK15" s="51">
        <v>44793</v>
      </c>
      <c r="BL15" s="52">
        <v>13</v>
      </c>
      <c r="BM15" s="53">
        <v>44827</v>
      </c>
      <c r="BN15" s="54">
        <f>472.62-6.81-76.91</f>
        <v>388.9</v>
      </c>
      <c r="BO15" s="55"/>
      <c r="BP15" s="56"/>
      <c r="BQ15" s="50" t="s">
        <v>144</v>
      </c>
      <c r="BR15" s="51">
        <v>44794</v>
      </c>
      <c r="BS15" s="51">
        <v>44824</v>
      </c>
      <c r="BT15" s="52">
        <v>13</v>
      </c>
      <c r="BU15" s="53">
        <v>44856</v>
      </c>
      <c r="BV15" s="54">
        <v>397.41999999999996</v>
      </c>
      <c r="BW15" s="55"/>
      <c r="BX15" s="56"/>
      <c r="BY15" s="50" t="s">
        <v>145</v>
      </c>
      <c r="BZ15" s="51">
        <v>44825</v>
      </c>
      <c r="CA15" s="51">
        <v>44854</v>
      </c>
      <c r="CB15" s="52">
        <v>13</v>
      </c>
      <c r="CC15" s="53">
        <v>44888</v>
      </c>
      <c r="CD15" s="54">
        <v>405.94</v>
      </c>
      <c r="CE15" s="55"/>
      <c r="CF15" s="56"/>
      <c r="CG15" s="50"/>
      <c r="CH15" s="51"/>
      <c r="CI15" s="51"/>
      <c r="CJ15" s="52"/>
      <c r="CK15" s="53"/>
      <c r="CL15" s="54"/>
      <c r="CM15" s="55"/>
      <c r="CN15" s="56"/>
      <c r="CO15" s="58"/>
      <c r="CP15" s="59"/>
      <c r="CQ15" s="59"/>
      <c r="CR15" s="52"/>
      <c r="CS15" s="53"/>
      <c r="CT15" s="54"/>
      <c r="CU15" s="55"/>
      <c r="CV15" s="56"/>
      <c r="CW15" s="65">
        <v>6.81</v>
      </c>
      <c r="CX15" s="64">
        <v>83.42</v>
      </c>
      <c r="CY15" s="65"/>
      <c r="CZ15" s="66"/>
      <c r="DA15" s="43"/>
      <c r="DB15" s="63">
        <f t="shared" si="0"/>
        <v>91</v>
      </c>
      <c r="DC15" s="45">
        <f t="shared" si="1"/>
        <v>3850.94</v>
      </c>
    </row>
    <row r="16" spans="1:108" s="1" customFormat="1" x14ac:dyDescent="0.2">
      <c r="A16" s="46" t="s">
        <v>146</v>
      </c>
      <c r="B16" s="67" t="s">
        <v>147</v>
      </c>
      <c r="C16" s="48">
        <v>22167557</v>
      </c>
      <c r="D16" s="49" t="s">
        <v>109</v>
      </c>
      <c r="E16" s="50" t="s">
        <v>148</v>
      </c>
      <c r="F16" s="51"/>
      <c r="G16" s="51"/>
      <c r="H16" s="52"/>
      <c r="I16" s="53">
        <v>44612</v>
      </c>
      <c r="J16" s="54">
        <v>106.6</v>
      </c>
      <c r="K16" s="55"/>
      <c r="L16" s="56"/>
      <c r="M16" s="50" t="s">
        <v>149</v>
      </c>
      <c r="N16" s="51"/>
      <c r="O16" s="51"/>
      <c r="P16" s="52"/>
      <c r="Q16" s="53">
        <v>44644</v>
      </c>
      <c r="R16" s="54">
        <v>109.51</v>
      </c>
      <c r="S16" s="55"/>
      <c r="T16" s="56"/>
      <c r="U16" s="50" t="s">
        <v>150</v>
      </c>
      <c r="V16" s="51"/>
      <c r="W16" s="51"/>
      <c r="X16" s="52"/>
      <c r="Y16" s="53">
        <v>44673</v>
      </c>
      <c r="Z16" s="54">
        <v>112.44</v>
      </c>
      <c r="AA16" s="55"/>
      <c r="AB16" s="56"/>
      <c r="AC16" s="50" t="s">
        <v>151</v>
      </c>
      <c r="AD16" s="51">
        <v>44638</v>
      </c>
      <c r="AE16" s="51">
        <v>44668</v>
      </c>
      <c r="AF16" s="52">
        <v>0</v>
      </c>
      <c r="AG16" s="53">
        <v>44704</v>
      </c>
      <c r="AH16" s="54">
        <f>115.39-5.14-19.17</f>
        <v>91.08</v>
      </c>
      <c r="AI16" s="55"/>
      <c r="AJ16" s="56"/>
      <c r="AK16" s="50" t="s">
        <v>152</v>
      </c>
      <c r="AL16" s="51">
        <v>44669</v>
      </c>
      <c r="AM16" s="51">
        <v>44698</v>
      </c>
      <c r="AN16" s="52">
        <v>0</v>
      </c>
      <c r="AO16" s="53">
        <v>44736</v>
      </c>
      <c r="AP16" s="54">
        <f>118.36-5.14-20.04</f>
        <v>93.18</v>
      </c>
      <c r="AQ16" s="55"/>
      <c r="AR16" s="56"/>
      <c r="AS16" s="50" t="s">
        <v>153</v>
      </c>
      <c r="AT16" s="51">
        <v>44699</v>
      </c>
      <c r="AU16" s="51">
        <v>44729</v>
      </c>
      <c r="AV16" s="52">
        <v>0</v>
      </c>
      <c r="AW16" s="53">
        <v>44764</v>
      </c>
      <c r="AX16" s="54">
        <f>121.35-5.14-20.93</f>
        <v>95.28</v>
      </c>
      <c r="AY16" s="55"/>
      <c r="AZ16" s="56"/>
      <c r="BA16" s="50" t="s">
        <v>154</v>
      </c>
      <c r="BB16" s="51">
        <v>44730</v>
      </c>
      <c r="BC16" s="51">
        <v>44759</v>
      </c>
      <c r="BD16" s="52">
        <v>0</v>
      </c>
      <c r="BE16" s="53">
        <v>44794</v>
      </c>
      <c r="BF16" s="54">
        <f>124.36-5.14-21.84</f>
        <v>97.38</v>
      </c>
      <c r="BG16" s="55"/>
      <c r="BH16" s="56"/>
      <c r="BI16" s="50" t="s">
        <v>155</v>
      </c>
      <c r="BJ16" s="51">
        <v>44760</v>
      </c>
      <c r="BK16" s="51">
        <v>44790</v>
      </c>
      <c r="BL16" s="52">
        <v>0</v>
      </c>
      <c r="BM16" s="53">
        <v>44827</v>
      </c>
      <c r="BN16" s="54">
        <f>127.39-5.14-22.77</f>
        <v>99.48</v>
      </c>
      <c r="BO16" s="55"/>
      <c r="BP16" s="56"/>
      <c r="BQ16" s="50" t="s">
        <v>156</v>
      </c>
      <c r="BR16" s="51">
        <v>44791</v>
      </c>
      <c r="BS16" s="51">
        <v>44821</v>
      </c>
      <c r="BT16" s="52">
        <v>0</v>
      </c>
      <c r="BU16" s="53">
        <v>44856</v>
      </c>
      <c r="BV16" s="54">
        <v>101.58</v>
      </c>
      <c r="BW16" s="55"/>
      <c r="BX16" s="56"/>
      <c r="BY16" s="50" t="s">
        <v>157</v>
      </c>
      <c r="BZ16" s="51">
        <v>44822</v>
      </c>
      <c r="CA16" s="51">
        <v>44851</v>
      </c>
      <c r="CB16" s="52">
        <v>0</v>
      </c>
      <c r="CC16" s="53">
        <v>44888</v>
      </c>
      <c r="CD16" s="54">
        <v>103.68</v>
      </c>
      <c r="CE16" s="55"/>
      <c r="CF16" s="56"/>
      <c r="CG16" s="50"/>
      <c r="CH16" s="51"/>
      <c r="CI16" s="51"/>
      <c r="CJ16" s="52"/>
      <c r="CK16" s="53"/>
      <c r="CL16" s="54"/>
      <c r="CM16" s="55"/>
      <c r="CN16" s="56"/>
      <c r="CO16" s="58"/>
      <c r="CP16" s="59"/>
      <c r="CQ16" s="59"/>
      <c r="CR16" s="52"/>
      <c r="CS16" s="53"/>
      <c r="CT16" s="54"/>
      <c r="CU16" s="55"/>
      <c r="CV16" s="56"/>
      <c r="CW16" s="65">
        <v>5.14</v>
      </c>
      <c r="CX16" s="64">
        <v>24.69</v>
      </c>
      <c r="CY16" s="65"/>
      <c r="CZ16" s="66"/>
      <c r="DA16" s="43"/>
      <c r="DB16" s="63">
        <f t="shared" si="0"/>
        <v>0</v>
      </c>
      <c r="DC16" s="45">
        <f t="shared" si="1"/>
        <v>1010.21</v>
      </c>
    </row>
    <row r="17" spans="1:107" s="1" customFormat="1" x14ac:dyDescent="0.2">
      <c r="A17" s="46" t="s">
        <v>158</v>
      </c>
      <c r="B17" s="67" t="s">
        <v>159</v>
      </c>
      <c r="C17" s="48">
        <v>24169550</v>
      </c>
      <c r="D17" s="49" t="s">
        <v>109</v>
      </c>
      <c r="E17" s="50" t="s">
        <v>160</v>
      </c>
      <c r="F17" s="51"/>
      <c r="G17" s="51"/>
      <c r="H17" s="52"/>
      <c r="I17" s="53">
        <v>44612</v>
      </c>
      <c r="J17" s="54">
        <v>126.57</v>
      </c>
      <c r="K17" s="55"/>
      <c r="L17" s="56"/>
      <c r="M17" s="50" t="s">
        <v>161</v>
      </c>
      <c r="N17" s="51"/>
      <c r="O17" s="51"/>
      <c r="P17" s="52"/>
      <c r="Q17" s="53">
        <v>44644</v>
      </c>
      <c r="R17" s="54">
        <v>133.18</v>
      </c>
      <c r="S17" s="55"/>
      <c r="T17" s="56"/>
      <c r="U17" s="50" t="s">
        <v>162</v>
      </c>
      <c r="V17" s="51"/>
      <c r="W17" s="51"/>
      <c r="X17" s="52"/>
      <c r="Y17" s="53">
        <v>44674</v>
      </c>
      <c r="Z17" s="54">
        <v>136.22</v>
      </c>
      <c r="AA17" s="55"/>
      <c r="AB17" s="56"/>
      <c r="AC17" s="50" t="s">
        <v>163</v>
      </c>
      <c r="AD17" s="51">
        <v>44638</v>
      </c>
      <c r="AE17" s="51">
        <v>44668</v>
      </c>
      <c r="AF17" s="52">
        <v>0</v>
      </c>
      <c r="AG17" s="53">
        <v>44704</v>
      </c>
      <c r="AH17" s="54">
        <f>139.32-8.16-22.01</f>
        <v>109.14999999999999</v>
      </c>
      <c r="AI17" s="55"/>
      <c r="AJ17" s="56"/>
      <c r="AK17" s="50" t="s">
        <v>164</v>
      </c>
      <c r="AL17" s="51">
        <v>44669</v>
      </c>
      <c r="AM17" s="51">
        <v>44698</v>
      </c>
      <c r="AN17" s="52">
        <v>0</v>
      </c>
      <c r="AO17" s="53">
        <v>44736</v>
      </c>
      <c r="AP17" s="54">
        <f>142.41-8.16-23</f>
        <v>111.25</v>
      </c>
      <c r="AQ17" s="55"/>
      <c r="AR17" s="56"/>
      <c r="AS17" s="50" t="s">
        <v>165</v>
      </c>
      <c r="AT17" s="51">
        <v>44699</v>
      </c>
      <c r="AU17" s="51">
        <v>44729</v>
      </c>
      <c r="AV17" s="52">
        <v>0</v>
      </c>
      <c r="AW17" s="53">
        <v>44764</v>
      </c>
      <c r="AX17" s="54">
        <f>145.52-8.16-24.01</f>
        <v>113.35000000000001</v>
      </c>
      <c r="AY17" s="55"/>
      <c r="AZ17" s="56"/>
      <c r="BA17" s="50" t="s">
        <v>166</v>
      </c>
      <c r="BB17" s="51">
        <v>44730</v>
      </c>
      <c r="BC17" s="51">
        <v>44759</v>
      </c>
      <c r="BD17" s="52">
        <v>0</v>
      </c>
      <c r="BE17" s="53">
        <v>44794</v>
      </c>
      <c r="BF17" s="54">
        <f>148.66-8.16-25.05</f>
        <v>115.45</v>
      </c>
      <c r="BG17" s="55"/>
      <c r="BH17" s="56"/>
      <c r="BI17" s="50" t="s">
        <v>167</v>
      </c>
      <c r="BJ17" s="51">
        <v>44760</v>
      </c>
      <c r="BK17" s="51">
        <v>44790</v>
      </c>
      <c r="BL17" s="52">
        <v>0</v>
      </c>
      <c r="BM17" s="53">
        <v>44827</v>
      </c>
      <c r="BN17" s="54">
        <f>151.82-8.16-26.11</f>
        <v>117.55</v>
      </c>
      <c r="BO17" s="55"/>
      <c r="BP17" s="56"/>
      <c r="BQ17" s="50" t="s">
        <v>168</v>
      </c>
      <c r="BR17" s="51">
        <v>44791</v>
      </c>
      <c r="BS17" s="51">
        <v>44821</v>
      </c>
      <c r="BT17" s="52">
        <v>1</v>
      </c>
      <c r="BU17" s="53">
        <v>44856</v>
      </c>
      <c r="BV17" s="54">
        <v>120.37</v>
      </c>
      <c r="BW17" s="55"/>
      <c r="BX17" s="56"/>
      <c r="BY17" s="50" t="s">
        <v>169</v>
      </c>
      <c r="BZ17" s="51">
        <v>44822</v>
      </c>
      <c r="CA17" s="51">
        <v>44851</v>
      </c>
      <c r="CB17" s="52">
        <v>1</v>
      </c>
      <c r="CC17" s="53">
        <v>44888</v>
      </c>
      <c r="CD17" s="54">
        <v>123.19000000000001</v>
      </c>
      <c r="CE17" s="55"/>
      <c r="CF17" s="56"/>
      <c r="CG17" s="50"/>
      <c r="CH17" s="51"/>
      <c r="CI17" s="51"/>
      <c r="CJ17" s="52"/>
      <c r="CK17" s="53"/>
      <c r="CL17" s="54"/>
      <c r="CM17" s="55"/>
      <c r="CN17" s="56"/>
      <c r="CO17" s="58"/>
      <c r="CP17" s="59"/>
      <c r="CQ17" s="59"/>
      <c r="CR17" s="52"/>
      <c r="CS17" s="53"/>
      <c r="CT17" s="54"/>
      <c r="CU17" s="55"/>
      <c r="CV17" s="56"/>
      <c r="CW17" s="65">
        <v>8.16</v>
      </c>
      <c r="CX17" s="64">
        <v>28.33</v>
      </c>
      <c r="CY17" s="65"/>
      <c r="CZ17" s="66"/>
      <c r="DA17" s="43"/>
      <c r="DB17" s="63">
        <f t="shared" si="0"/>
        <v>2</v>
      </c>
      <c r="DC17" s="45">
        <f t="shared" si="1"/>
        <v>1206.2800000000002</v>
      </c>
    </row>
    <row r="18" spans="1:107" s="1" customFormat="1" x14ac:dyDescent="0.2">
      <c r="A18" s="46" t="s">
        <v>170</v>
      </c>
      <c r="B18" s="47" t="s">
        <v>171</v>
      </c>
      <c r="C18" s="48">
        <v>25152686</v>
      </c>
      <c r="D18" s="49" t="s">
        <v>33</v>
      </c>
      <c r="E18" s="50" t="s">
        <v>172</v>
      </c>
      <c r="F18" s="51"/>
      <c r="G18" s="51"/>
      <c r="H18" s="52"/>
      <c r="I18" s="53">
        <v>44612</v>
      </c>
      <c r="J18" s="54">
        <v>240.95</v>
      </c>
      <c r="K18" s="55"/>
      <c r="L18" s="56"/>
      <c r="M18" s="50" t="s">
        <v>173</v>
      </c>
      <c r="N18" s="51"/>
      <c r="O18" s="51"/>
      <c r="P18" s="52"/>
      <c r="Q18" s="53">
        <v>44644</v>
      </c>
      <c r="R18" s="54">
        <v>251.15</v>
      </c>
      <c r="S18" s="55"/>
      <c r="T18" s="56"/>
      <c r="U18" s="50" t="s">
        <v>174</v>
      </c>
      <c r="V18" s="51"/>
      <c r="W18" s="51"/>
      <c r="X18" s="52"/>
      <c r="Y18" s="53">
        <v>44673</v>
      </c>
      <c r="Z18" s="54">
        <v>272.86</v>
      </c>
      <c r="AA18" s="55"/>
      <c r="AB18" s="56"/>
      <c r="AC18" s="50" t="s">
        <v>175</v>
      </c>
      <c r="AD18" s="51">
        <v>44630</v>
      </c>
      <c r="AE18" s="51">
        <v>44660</v>
      </c>
      <c r="AF18" s="52">
        <v>25</v>
      </c>
      <c r="AG18" s="53">
        <v>44704</v>
      </c>
      <c r="AH18" s="54">
        <f>294.68-6.5-40.9</f>
        <v>247.28</v>
      </c>
      <c r="AI18" s="55"/>
      <c r="AJ18" s="56"/>
      <c r="AK18" s="50" t="s">
        <v>176</v>
      </c>
      <c r="AL18" s="51">
        <v>44661</v>
      </c>
      <c r="AM18" s="51">
        <v>44690</v>
      </c>
      <c r="AN18" s="52">
        <v>25</v>
      </c>
      <c r="AO18" s="53">
        <v>44736</v>
      </c>
      <c r="AP18" s="54">
        <f>316.74-6.5-42.86</f>
        <v>267.38</v>
      </c>
      <c r="AQ18" s="55"/>
      <c r="AR18" s="56"/>
      <c r="AS18" s="50" t="s">
        <v>177</v>
      </c>
      <c r="AT18" s="51">
        <v>44691</v>
      </c>
      <c r="AU18" s="51">
        <v>44721</v>
      </c>
      <c r="AV18" s="52">
        <v>25</v>
      </c>
      <c r="AW18" s="53">
        <v>44764</v>
      </c>
      <c r="AX18" s="54">
        <f>338.96-6.5-44.98</f>
        <v>287.47999999999996</v>
      </c>
      <c r="AY18" s="55"/>
      <c r="AZ18" s="56"/>
      <c r="BA18" s="50" t="s">
        <v>178</v>
      </c>
      <c r="BB18" s="51">
        <v>44722</v>
      </c>
      <c r="BC18" s="51">
        <v>44751</v>
      </c>
      <c r="BD18" s="52">
        <v>25</v>
      </c>
      <c r="BE18" s="53">
        <v>44794</v>
      </c>
      <c r="BF18" s="54">
        <f>361.34-6.5-47.26</f>
        <v>307.58</v>
      </c>
      <c r="BG18" s="55"/>
      <c r="BH18" s="56"/>
      <c r="BI18" s="50" t="s">
        <v>179</v>
      </c>
      <c r="BJ18" s="51">
        <v>44752</v>
      </c>
      <c r="BK18" s="51">
        <v>44782</v>
      </c>
      <c r="BL18" s="52">
        <v>25</v>
      </c>
      <c r="BM18" s="53">
        <v>44827</v>
      </c>
      <c r="BN18" s="54">
        <f>383.02-6.5-49.7</f>
        <v>326.82</v>
      </c>
      <c r="BO18" s="55"/>
      <c r="BP18" s="56"/>
      <c r="BQ18" s="50" t="s">
        <v>180</v>
      </c>
      <c r="BR18" s="51">
        <v>44783</v>
      </c>
      <c r="BS18" s="51">
        <v>44813</v>
      </c>
      <c r="BT18" s="52">
        <v>25</v>
      </c>
      <c r="BU18" s="53">
        <v>44856</v>
      </c>
      <c r="BV18" s="54">
        <v>346.93</v>
      </c>
      <c r="BW18" s="55"/>
      <c r="BX18" s="56"/>
      <c r="BY18" s="50" t="s">
        <v>181</v>
      </c>
      <c r="BZ18" s="51">
        <v>44814</v>
      </c>
      <c r="CA18" s="51">
        <v>44843</v>
      </c>
      <c r="CB18" s="52">
        <v>25</v>
      </c>
      <c r="CC18" s="53">
        <v>44888</v>
      </c>
      <c r="CD18" s="54">
        <v>367.03000000000003</v>
      </c>
      <c r="CE18" s="55"/>
      <c r="CF18" s="56"/>
      <c r="CG18" s="50"/>
      <c r="CH18" s="51"/>
      <c r="CI18" s="51"/>
      <c r="CJ18" s="52"/>
      <c r="CK18" s="53"/>
      <c r="CL18" s="54"/>
      <c r="CM18" s="55"/>
      <c r="CN18" s="56"/>
      <c r="CO18" s="58"/>
      <c r="CP18" s="59"/>
      <c r="CQ18" s="59"/>
      <c r="CR18" s="52"/>
      <c r="CS18" s="53"/>
      <c r="CT18" s="54"/>
      <c r="CU18" s="55"/>
      <c r="CV18" s="56"/>
      <c r="CW18" s="65">
        <v>6.5</v>
      </c>
      <c r="CX18" s="64">
        <v>55.58</v>
      </c>
      <c r="CY18" s="65"/>
      <c r="CZ18" s="66"/>
      <c r="DA18" s="43"/>
      <c r="DB18" s="63">
        <f t="shared" si="0"/>
        <v>175</v>
      </c>
      <c r="DC18" s="45">
        <f t="shared" si="1"/>
        <v>2915.46</v>
      </c>
    </row>
    <row r="19" spans="1:107" s="1" customFormat="1" x14ac:dyDescent="0.2">
      <c r="A19" s="46" t="s">
        <v>182</v>
      </c>
      <c r="B19" s="67" t="s">
        <v>183</v>
      </c>
      <c r="C19" s="48">
        <v>26167565</v>
      </c>
      <c r="D19" s="49" t="s">
        <v>109</v>
      </c>
      <c r="E19" s="50" t="s">
        <v>184</v>
      </c>
      <c r="F19" s="51"/>
      <c r="G19" s="51"/>
      <c r="H19" s="52"/>
      <c r="I19" s="53">
        <v>44612</v>
      </c>
      <c r="J19" s="54">
        <v>107.1</v>
      </c>
      <c r="K19" s="55"/>
      <c r="L19" s="56"/>
      <c r="M19" s="50" t="s">
        <v>185</v>
      </c>
      <c r="N19" s="51"/>
      <c r="O19" s="51"/>
      <c r="P19" s="52"/>
      <c r="Q19" s="53">
        <v>44644</v>
      </c>
      <c r="R19" s="54">
        <v>110.01</v>
      </c>
      <c r="S19" s="55"/>
      <c r="T19" s="56"/>
      <c r="U19" s="50" t="s">
        <v>186</v>
      </c>
      <c r="V19" s="51"/>
      <c r="W19" s="51"/>
      <c r="X19" s="52"/>
      <c r="Y19" s="53">
        <v>44673</v>
      </c>
      <c r="Z19" s="54">
        <v>112.94</v>
      </c>
      <c r="AA19" s="55"/>
      <c r="AB19" s="56"/>
      <c r="AC19" s="50" t="s">
        <v>187</v>
      </c>
      <c r="AD19" s="51">
        <v>44638</v>
      </c>
      <c r="AE19" s="51">
        <v>44668</v>
      </c>
      <c r="AF19" s="52">
        <v>0</v>
      </c>
      <c r="AG19" s="53">
        <v>44704</v>
      </c>
      <c r="AH19" s="54">
        <f>115.89-5.27-18.78</f>
        <v>91.84</v>
      </c>
      <c r="AI19" s="55"/>
      <c r="AJ19" s="56"/>
      <c r="AK19" s="50" t="s">
        <v>188</v>
      </c>
      <c r="AL19" s="51">
        <v>44669</v>
      </c>
      <c r="AM19" s="51">
        <v>44698</v>
      </c>
      <c r="AN19" s="52">
        <v>0</v>
      </c>
      <c r="AO19" s="53">
        <v>44736</v>
      </c>
      <c r="AP19" s="54">
        <f>118.86-5.27-19.65</f>
        <v>93.94</v>
      </c>
      <c r="AQ19" s="55"/>
      <c r="AR19" s="56"/>
      <c r="AS19" s="50" t="s">
        <v>189</v>
      </c>
      <c r="AT19" s="51">
        <v>44699</v>
      </c>
      <c r="AU19" s="51">
        <v>44729</v>
      </c>
      <c r="AV19" s="52">
        <v>0</v>
      </c>
      <c r="AW19" s="53">
        <v>44764</v>
      </c>
      <c r="AX19" s="54">
        <f>121.85-5.27-20.54</f>
        <v>96.039999999999992</v>
      </c>
      <c r="AY19" s="55"/>
      <c r="AZ19" s="56"/>
      <c r="BA19" s="50" t="s">
        <v>190</v>
      </c>
      <c r="BB19" s="51">
        <v>44730</v>
      </c>
      <c r="BC19" s="51">
        <v>44759</v>
      </c>
      <c r="BD19" s="52">
        <v>0</v>
      </c>
      <c r="BE19" s="53">
        <v>44794</v>
      </c>
      <c r="BF19" s="54">
        <f>124.86-5.27-21.45</f>
        <v>98.14</v>
      </c>
      <c r="BG19" s="55"/>
      <c r="BH19" s="56"/>
      <c r="BI19" s="50" t="s">
        <v>191</v>
      </c>
      <c r="BJ19" s="51">
        <v>44760</v>
      </c>
      <c r="BK19" s="51">
        <v>44790</v>
      </c>
      <c r="BL19" s="52">
        <v>0</v>
      </c>
      <c r="BM19" s="53">
        <v>44827</v>
      </c>
      <c r="BN19" s="54">
        <f>127.89-5.27-22.38</f>
        <v>100.24000000000001</v>
      </c>
      <c r="BO19" s="55"/>
      <c r="BP19" s="56"/>
      <c r="BQ19" s="50" t="s">
        <v>192</v>
      </c>
      <c r="BR19" s="51">
        <v>44791</v>
      </c>
      <c r="BS19" s="51">
        <v>44821</v>
      </c>
      <c r="BT19" s="52">
        <v>0</v>
      </c>
      <c r="BU19" s="53">
        <v>44856</v>
      </c>
      <c r="BV19" s="54">
        <v>102.34</v>
      </c>
      <c r="BW19" s="55"/>
      <c r="BX19" s="56"/>
      <c r="BY19" s="50" t="s">
        <v>193</v>
      </c>
      <c r="BZ19" s="51">
        <v>44822</v>
      </c>
      <c r="CA19" s="51">
        <v>44851</v>
      </c>
      <c r="CB19" s="52">
        <v>0</v>
      </c>
      <c r="CC19" s="53">
        <v>44888</v>
      </c>
      <c r="CD19" s="54">
        <v>104.43999999999998</v>
      </c>
      <c r="CE19" s="55"/>
      <c r="CF19" s="56"/>
      <c r="CG19" s="50"/>
      <c r="CH19" s="51"/>
      <c r="CI19" s="51"/>
      <c r="CJ19" s="52"/>
      <c r="CK19" s="53"/>
      <c r="CL19" s="54"/>
      <c r="CM19" s="55"/>
      <c r="CN19" s="56"/>
      <c r="CO19" s="58"/>
      <c r="CP19" s="59"/>
      <c r="CQ19" s="59"/>
      <c r="CR19" s="52"/>
      <c r="CS19" s="53"/>
      <c r="CT19" s="54"/>
      <c r="CU19" s="55"/>
      <c r="CV19" s="56"/>
      <c r="CW19" s="65">
        <v>5.27</v>
      </c>
      <c r="CX19" s="64">
        <v>24.3</v>
      </c>
      <c r="CY19" s="65"/>
      <c r="CZ19" s="66"/>
      <c r="DA19" s="43"/>
      <c r="DB19" s="63">
        <f t="shared" si="0"/>
        <v>0</v>
      </c>
      <c r="DC19" s="45">
        <f t="shared" si="1"/>
        <v>1017.0299999999999</v>
      </c>
    </row>
    <row r="20" spans="1:107" s="1" customFormat="1" x14ac:dyDescent="0.2">
      <c r="A20" s="46" t="s">
        <v>194</v>
      </c>
      <c r="B20" s="47" t="s">
        <v>195</v>
      </c>
      <c r="C20" s="48">
        <v>28169409</v>
      </c>
      <c r="D20" s="49" t="s">
        <v>109</v>
      </c>
      <c r="E20" s="50" t="s">
        <v>196</v>
      </c>
      <c r="F20" s="51"/>
      <c r="G20" s="51"/>
      <c r="H20" s="52"/>
      <c r="I20" s="53">
        <v>44612</v>
      </c>
      <c r="J20" s="54">
        <v>560.47</v>
      </c>
      <c r="K20" s="55"/>
      <c r="L20" s="56"/>
      <c r="M20" s="50" t="s">
        <v>197</v>
      </c>
      <c r="N20" s="51"/>
      <c r="O20" s="51"/>
      <c r="P20" s="52"/>
      <c r="Q20" s="53">
        <v>44644</v>
      </c>
      <c r="R20" s="54">
        <v>570.49</v>
      </c>
      <c r="S20" s="55"/>
      <c r="T20" s="56"/>
      <c r="U20" s="50" t="s">
        <v>198</v>
      </c>
      <c r="V20" s="51"/>
      <c r="W20" s="51"/>
      <c r="X20" s="52"/>
      <c r="Y20" s="53">
        <v>44673</v>
      </c>
      <c r="Z20" s="54">
        <v>579.24</v>
      </c>
      <c r="AA20" s="55"/>
      <c r="AB20" s="56"/>
      <c r="AC20" s="50" t="s">
        <v>199</v>
      </c>
      <c r="AD20" s="51">
        <v>44642</v>
      </c>
      <c r="AE20" s="51">
        <v>44672</v>
      </c>
      <c r="AF20" s="52">
        <v>5</v>
      </c>
      <c r="AG20" s="53">
        <v>44704</v>
      </c>
      <c r="AH20" s="54">
        <f>590.54-3.33-92.57</f>
        <v>494.63999999999993</v>
      </c>
      <c r="AI20" s="55"/>
      <c r="AJ20" s="56"/>
      <c r="AK20" s="50" t="s">
        <v>200</v>
      </c>
      <c r="AL20" s="51">
        <v>44673</v>
      </c>
      <c r="AM20" s="51">
        <v>44702</v>
      </c>
      <c r="AN20" s="52">
        <v>3</v>
      </c>
      <c r="AO20" s="53">
        <v>44736</v>
      </c>
      <c r="AP20" s="54">
        <f>599.59-3.33-96.53</f>
        <v>499.73</v>
      </c>
      <c r="AQ20" s="55"/>
      <c r="AR20" s="56"/>
      <c r="AS20" s="50" t="s">
        <v>201</v>
      </c>
      <c r="AT20" s="51">
        <v>44703</v>
      </c>
      <c r="AU20" s="51">
        <v>44733</v>
      </c>
      <c r="AV20" s="52">
        <v>4</v>
      </c>
      <c r="AW20" s="53">
        <v>44764</v>
      </c>
      <c r="AX20" s="54">
        <f>609.71-3.33-100.56</f>
        <v>505.82</v>
      </c>
      <c r="AY20" s="55"/>
      <c r="AZ20" s="56"/>
      <c r="BA20" s="50" t="s">
        <v>202</v>
      </c>
      <c r="BB20" s="51">
        <v>44734</v>
      </c>
      <c r="BC20" s="51">
        <v>44763</v>
      </c>
      <c r="BD20" s="52">
        <v>3</v>
      </c>
      <c r="BE20" s="53">
        <v>44794</v>
      </c>
      <c r="BF20" s="54">
        <f>618.96-3.33-104.72</f>
        <v>510.90999999999997</v>
      </c>
      <c r="BG20" s="55"/>
      <c r="BH20" s="56"/>
      <c r="BI20" s="50" t="s">
        <v>203</v>
      </c>
      <c r="BJ20" s="51">
        <v>44764</v>
      </c>
      <c r="BK20" s="51">
        <v>44794</v>
      </c>
      <c r="BL20" s="52">
        <v>3</v>
      </c>
      <c r="BM20" s="53">
        <v>44827</v>
      </c>
      <c r="BN20" s="54">
        <f>628.26-3.33-108.93</f>
        <v>516</v>
      </c>
      <c r="BO20" s="55"/>
      <c r="BP20" s="56"/>
      <c r="BQ20" s="50" t="s">
        <v>204</v>
      </c>
      <c r="BR20" s="51">
        <v>44795</v>
      </c>
      <c r="BS20" s="51">
        <v>44825</v>
      </c>
      <c r="BT20" s="52">
        <v>4</v>
      </c>
      <c r="BU20" s="53">
        <v>44856</v>
      </c>
      <c r="BV20" s="54">
        <v>522.08999999999992</v>
      </c>
      <c r="BW20" s="55"/>
      <c r="BX20" s="56"/>
      <c r="BY20" s="50" t="s">
        <v>205</v>
      </c>
      <c r="BZ20" s="51">
        <v>44826</v>
      </c>
      <c r="CA20" s="51">
        <v>44855</v>
      </c>
      <c r="CB20" s="52">
        <v>3</v>
      </c>
      <c r="CC20" s="53">
        <v>44888</v>
      </c>
      <c r="CD20" s="54">
        <v>527.17999999999995</v>
      </c>
      <c r="CE20" s="55"/>
      <c r="CF20" s="56"/>
      <c r="CG20" s="50"/>
      <c r="CH20" s="51"/>
      <c r="CI20" s="51"/>
      <c r="CJ20" s="52"/>
      <c r="CK20" s="53"/>
      <c r="CL20" s="54"/>
      <c r="CM20" s="55"/>
      <c r="CN20" s="56"/>
      <c r="CO20" s="58"/>
      <c r="CP20" s="59"/>
      <c r="CQ20" s="59"/>
      <c r="CR20" s="52"/>
      <c r="CS20" s="53"/>
      <c r="CT20" s="54"/>
      <c r="CU20" s="55"/>
      <c r="CV20" s="56"/>
      <c r="CW20" s="65">
        <v>3.33</v>
      </c>
      <c r="CX20" s="64">
        <v>118</v>
      </c>
      <c r="CY20" s="65"/>
      <c r="CZ20" s="66"/>
      <c r="DA20" s="43"/>
      <c r="DB20" s="63">
        <f t="shared" si="0"/>
        <v>25</v>
      </c>
      <c r="DC20" s="45">
        <f t="shared" si="1"/>
        <v>5286.5700000000006</v>
      </c>
    </row>
    <row r="21" spans="1:107" s="1" customFormat="1" x14ac:dyDescent="0.2">
      <c r="A21" s="70" t="s">
        <v>206</v>
      </c>
      <c r="B21" s="67" t="s">
        <v>207</v>
      </c>
      <c r="C21" s="48">
        <v>28169832</v>
      </c>
      <c r="D21" s="49" t="s">
        <v>208</v>
      </c>
      <c r="E21" s="50" t="s">
        <v>209</v>
      </c>
      <c r="F21" s="51"/>
      <c r="G21" s="51"/>
      <c r="H21" s="52"/>
      <c r="I21" s="53">
        <v>44612</v>
      </c>
      <c r="J21" s="54">
        <v>107.43</v>
      </c>
      <c r="K21" s="55"/>
      <c r="L21" s="56"/>
      <c r="M21" s="50" t="s">
        <v>210</v>
      </c>
      <c r="N21" s="51"/>
      <c r="O21" s="51"/>
      <c r="P21" s="52"/>
      <c r="Q21" s="53">
        <v>44644</v>
      </c>
      <c r="R21" s="54">
        <v>110.36</v>
      </c>
      <c r="S21" s="55"/>
      <c r="T21" s="56"/>
      <c r="U21" s="50" t="s">
        <v>211</v>
      </c>
      <c r="V21" s="51"/>
      <c r="W21" s="51"/>
      <c r="X21" s="52"/>
      <c r="Y21" s="53">
        <v>44673</v>
      </c>
      <c r="Z21" s="54">
        <v>113.31</v>
      </c>
      <c r="AA21" s="55"/>
      <c r="AB21" s="56"/>
      <c r="AC21" s="50" t="s">
        <v>212</v>
      </c>
      <c r="AD21" s="51">
        <v>44642</v>
      </c>
      <c r="AE21" s="51">
        <v>44672</v>
      </c>
      <c r="AF21" s="52">
        <v>0</v>
      </c>
      <c r="AG21" s="53">
        <v>44704</v>
      </c>
      <c r="AH21" s="54">
        <f>116.28-3.06-18.84</f>
        <v>94.38</v>
      </c>
      <c r="AI21" s="55"/>
      <c r="AJ21" s="56"/>
      <c r="AK21" s="50" t="s">
        <v>213</v>
      </c>
      <c r="AL21" s="51">
        <v>44673</v>
      </c>
      <c r="AM21" s="51">
        <v>44702</v>
      </c>
      <c r="AN21" s="52">
        <v>0</v>
      </c>
      <c r="AO21" s="53">
        <v>44736</v>
      </c>
      <c r="AP21" s="54">
        <f>119.27-3.06-19.73</f>
        <v>96.47999999999999</v>
      </c>
      <c r="AQ21" s="55"/>
      <c r="AR21" s="56"/>
      <c r="AS21" s="50" t="s">
        <v>214</v>
      </c>
      <c r="AT21" s="51">
        <v>44703</v>
      </c>
      <c r="AU21" s="51">
        <v>44733</v>
      </c>
      <c r="AV21" s="52">
        <v>0</v>
      </c>
      <c r="AW21" s="53">
        <v>44764</v>
      </c>
      <c r="AX21" s="54">
        <f>122.28-3.06-20.64</f>
        <v>98.58</v>
      </c>
      <c r="AY21" s="55"/>
      <c r="AZ21" s="56"/>
      <c r="BA21" s="50" t="s">
        <v>215</v>
      </c>
      <c r="BB21" s="51">
        <v>44734</v>
      </c>
      <c r="BC21" s="51">
        <v>44763</v>
      </c>
      <c r="BD21" s="52">
        <v>0</v>
      </c>
      <c r="BE21" s="53">
        <v>44794</v>
      </c>
      <c r="BF21" s="54">
        <f>125.31-3.06-21.57</f>
        <v>100.68</v>
      </c>
      <c r="BG21" s="55"/>
      <c r="BH21" s="56"/>
      <c r="BI21" s="50" t="s">
        <v>216</v>
      </c>
      <c r="BJ21" s="51">
        <v>44764</v>
      </c>
      <c r="BK21" s="51">
        <v>44794</v>
      </c>
      <c r="BL21" s="52">
        <v>0</v>
      </c>
      <c r="BM21" s="53">
        <v>44827</v>
      </c>
      <c r="BN21" s="54">
        <f>128.36-3.06-22.52</f>
        <v>102.78000000000002</v>
      </c>
      <c r="BO21" s="55"/>
      <c r="BP21" s="56"/>
      <c r="BQ21" s="50" t="s">
        <v>217</v>
      </c>
      <c r="BR21" s="51">
        <v>44795</v>
      </c>
      <c r="BS21" s="51">
        <v>44825</v>
      </c>
      <c r="BT21" s="52">
        <v>0</v>
      </c>
      <c r="BU21" s="53">
        <v>44856</v>
      </c>
      <c r="BV21" s="54">
        <v>104.88000000000001</v>
      </c>
      <c r="BW21" s="55"/>
      <c r="BX21" s="56"/>
      <c r="BY21" s="50" t="s">
        <v>218</v>
      </c>
      <c r="BZ21" s="51">
        <v>44826</v>
      </c>
      <c r="CA21" s="51">
        <v>44855</v>
      </c>
      <c r="CB21" s="52">
        <v>0</v>
      </c>
      <c r="CC21" s="53">
        <v>44888</v>
      </c>
      <c r="CD21" s="54">
        <v>106.98</v>
      </c>
      <c r="CE21" s="55"/>
      <c r="CF21" s="56"/>
      <c r="CG21" s="50"/>
      <c r="CH21" s="51"/>
      <c r="CI21" s="51"/>
      <c r="CJ21" s="52"/>
      <c r="CK21" s="53"/>
      <c r="CL21" s="54"/>
      <c r="CM21" s="55"/>
      <c r="CN21" s="56"/>
      <c r="CO21" s="58"/>
      <c r="CP21" s="59"/>
      <c r="CQ21" s="59"/>
      <c r="CR21" s="52"/>
      <c r="CS21" s="53"/>
      <c r="CT21" s="54"/>
      <c r="CU21" s="55"/>
      <c r="CV21" s="56"/>
      <c r="CW21" s="65">
        <v>3.06</v>
      </c>
      <c r="CX21" s="64">
        <v>24.49</v>
      </c>
      <c r="CY21" s="65"/>
      <c r="CZ21" s="66"/>
      <c r="DA21" s="43"/>
      <c r="DB21" s="63">
        <f t="shared" si="0"/>
        <v>0</v>
      </c>
      <c r="DC21" s="45">
        <f t="shared" si="1"/>
        <v>1035.8599999999999</v>
      </c>
    </row>
    <row r="22" spans="1:107" s="1" customFormat="1" x14ac:dyDescent="0.2">
      <c r="A22" s="46" t="s">
        <v>219</v>
      </c>
      <c r="B22" s="67" t="s">
        <v>220</v>
      </c>
      <c r="C22" s="48">
        <v>28176237</v>
      </c>
      <c r="D22" s="49" t="s">
        <v>109</v>
      </c>
      <c r="E22" s="50" t="s">
        <v>221</v>
      </c>
      <c r="F22" s="51"/>
      <c r="G22" s="51"/>
      <c r="H22" s="52"/>
      <c r="I22" s="53">
        <v>44612</v>
      </c>
      <c r="J22" s="54">
        <v>459.04</v>
      </c>
      <c r="K22" s="55"/>
      <c r="L22" s="56"/>
      <c r="M22" s="50" t="s">
        <v>222</v>
      </c>
      <c r="N22" s="51"/>
      <c r="O22" s="51"/>
      <c r="P22" s="52"/>
      <c r="Q22" s="53">
        <v>44644</v>
      </c>
      <c r="R22" s="54">
        <v>469.63</v>
      </c>
      <c r="S22" s="55"/>
      <c r="T22" s="56"/>
      <c r="U22" s="50" t="s">
        <v>223</v>
      </c>
      <c r="V22" s="51"/>
      <c r="W22" s="51"/>
      <c r="X22" s="52"/>
      <c r="Y22" s="53">
        <v>44673</v>
      </c>
      <c r="Z22" s="54">
        <v>481.25</v>
      </c>
      <c r="AA22" s="55"/>
      <c r="AB22" s="56"/>
      <c r="AC22" s="50" t="s">
        <v>224</v>
      </c>
      <c r="AD22" s="51">
        <v>44642</v>
      </c>
      <c r="AE22" s="51">
        <v>44672</v>
      </c>
      <c r="AF22" s="52">
        <v>18</v>
      </c>
      <c r="AG22" s="53">
        <v>44704</v>
      </c>
      <c r="AH22" s="54">
        <f>504.81-3.39-43.05</f>
        <v>458.37</v>
      </c>
      <c r="AI22" s="55"/>
      <c r="AJ22" s="56"/>
      <c r="AK22" s="50" t="s">
        <v>225</v>
      </c>
      <c r="AL22" s="51">
        <v>44673</v>
      </c>
      <c r="AM22" s="51">
        <v>44702</v>
      </c>
      <c r="AN22" s="52">
        <v>7</v>
      </c>
      <c r="AO22" s="53">
        <v>44736</v>
      </c>
      <c r="AP22" s="54">
        <f>517.46-3.39-46.61</f>
        <v>467.46000000000004</v>
      </c>
      <c r="AQ22" s="55"/>
      <c r="AR22" s="56"/>
      <c r="AS22" s="50" t="s">
        <v>226</v>
      </c>
      <c r="AT22" s="51">
        <v>44703</v>
      </c>
      <c r="AU22" s="51">
        <v>44733</v>
      </c>
      <c r="AV22" s="52">
        <v>5</v>
      </c>
      <c r="AW22" s="53">
        <v>44764</v>
      </c>
      <c r="AX22" s="54">
        <f>528.37-3.39-50.43</f>
        <v>474.55</v>
      </c>
      <c r="AY22" s="55"/>
      <c r="AZ22" s="56"/>
      <c r="BA22" s="50" t="s">
        <v>227</v>
      </c>
      <c r="BB22" s="51">
        <v>44734</v>
      </c>
      <c r="BC22" s="51">
        <v>44763</v>
      </c>
      <c r="BD22" s="52">
        <v>7</v>
      </c>
      <c r="BE22" s="53">
        <v>44794</v>
      </c>
      <c r="BF22" s="54">
        <f>541.36-3.39-54.33</f>
        <v>483.64000000000004</v>
      </c>
      <c r="BG22" s="55"/>
      <c r="BH22" s="56"/>
      <c r="BI22" s="50" t="s">
        <v>228</v>
      </c>
      <c r="BJ22" s="51">
        <v>44764</v>
      </c>
      <c r="BK22" s="51">
        <v>44794</v>
      </c>
      <c r="BL22" s="52">
        <v>6</v>
      </c>
      <c r="BM22" s="53">
        <v>44827</v>
      </c>
      <c r="BN22" s="54">
        <f>553.4-3.39-58.28</f>
        <v>491.73</v>
      </c>
      <c r="BO22" s="55"/>
      <c r="BP22" s="56"/>
      <c r="BQ22" s="50" t="s">
        <v>229</v>
      </c>
      <c r="BR22" s="51">
        <v>44795</v>
      </c>
      <c r="BS22" s="51">
        <v>44825</v>
      </c>
      <c r="BT22" s="52">
        <v>6</v>
      </c>
      <c r="BU22" s="53">
        <v>44856</v>
      </c>
      <c r="BV22" s="54">
        <v>499.82</v>
      </c>
      <c r="BW22" s="55"/>
      <c r="BX22" s="56"/>
      <c r="BY22" s="50" t="s">
        <v>230</v>
      </c>
      <c r="BZ22" s="51">
        <v>44826</v>
      </c>
      <c r="CA22" s="51">
        <v>44855</v>
      </c>
      <c r="CB22" s="52">
        <v>8</v>
      </c>
      <c r="CC22" s="53">
        <v>44888</v>
      </c>
      <c r="CD22" s="54">
        <v>509.9</v>
      </c>
      <c r="CE22" s="55"/>
      <c r="CF22" s="56"/>
      <c r="CG22" s="50"/>
      <c r="CH22" s="51"/>
      <c r="CI22" s="51"/>
      <c r="CJ22" s="52"/>
      <c r="CK22" s="53"/>
      <c r="CL22" s="54"/>
      <c r="CM22" s="55"/>
      <c r="CN22" s="56"/>
      <c r="CO22" s="58"/>
      <c r="CP22" s="59"/>
      <c r="CQ22" s="59"/>
      <c r="CR22" s="52"/>
      <c r="CS22" s="53"/>
      <c r="CT22" s="54"/>
      <c r="CU22" s="55"/>
      <c r="CV22" s="56"/>
      <c r="CW22" s="65">
        <v>3.39</v>
      </c>
      <c r="CX22" s="64">
        <v>66.89</v>
      </c>
      <c r="CY22" s="65"/>
      <c r="CZ22" s="66"/>
      <c r="DA22" s="43"/>
      <c r="DB22" s="63">
        <f t="shared" si="0"/>
        <v>57</v>
      </c>
      <c r="DC22" s="45">
        <f t="shared" si="1"/>
        <v>4795.3899999999994</v>
      </c>
    </row>
    <row r="23" spans="1:107" s="1" customFormat="1" x14ac:dyDescent="0.2">
      <c r="A23" s="46" t="s">
        <v>231</v>
      </c>
      <c r="B23" s="67" t="s">
        <v>232</v>
      </c>
      <c r="C23" s="48">
        <v>30150356</v>
      </c>
      <c r="D23" s="49" t="s">
        <v>109</v>
      </c>
      <c r="E23" s="50" t="s">
        <v>233</v>
      </c>
      <c r="F23" s="51"/>
      <c r="G23" s="51"/>
      <c r="H23" s="52"/>
      <c r="I23" s="53">
        <v>44612</v>
      </c>
      <c r="J23" s="54">
        <v>128.76</v>
      </c>
      <c r="K23" s="55"/>
      <c r="L23" s="56"/>
      <c r="M23" s="50" t="s">
        <v>234</v>
      </c>
      <c r="N23" s="51"/>
      <c r="O23" s="51"/>
      <c r="P23" s="52"/>
      <c r="Q23" s="53">
        <v>44644</v>
      </c>
      <c r="R23" s="54">
        <v>131.78</v>
      </c>
      <c r="S23" s="55"/>
      <c r="T23" s="56"/>
      <c r="U23" s="50" t="s">
        <v>235</v>
      </c>
      <c r="V23" s="51"/>
      <c r="W23" s="51"/>
      <c r="X23" s="52"/>
      <c r="Y23" s="53">
        <v>44674</v>
      </c>
      <c r="Z23" s="54">
        <v>134.81</v>
      </c>
      <c r="AA23" s="55"/>
      <c r="AB23" s="56"/>
      <c r="AC23" s="50" t="s">
        <v>236</v>
      </c>
      <c r="AD23" s="51">
        <v>44638</v>
      </c>
      <c r="AE23" s="51">
        <v>44668</v>
      </c>
      <c r="AF23" s="52">
        <v>0</v>
      </c>
      <c r="AG23" s="53">
        <v>44704</v>
      </c>
      <c r="AH23" s="54">
        <f>137.91+7.38-23.63</f>
        <v>121.66</v>
      </c>
      <c r="AI23" s="55"/>
      <c r="AJ23" s="56"/>
      <c r="AK23" s="50" t="s">
        <v>237</v>
      </c>
      <c r="AL23" s="51">
        <v>44669</v>
      </c>
      <c r="AM23" s="51">
        <v>44698</v>
      </c>
      <c r="AN23" s="52">
        <v>0</v>
      </c>
      <c r="AO23" s="53">
        <v>44736</v>
      </c>
      <c r="AP23" s="54">
        <f>140.98-7.38-24.6</f>
        <v>109</v>
      </c>
      <c r="AQ23" s="55"/>
      <c r="AR23" s="56"/>
      <c r="AS23" s="50" t="s">
        <v>238</v>
      </c>
      <c r="AT23" s="51">
        <v>44699</v>
      </c>
      <c r="AU23" s="51">
        <v>44729</v>
      </c>
      <c r="AV23" s="52">
        <v>0</v>
      </c>
      <c r="AW23" s="53">
        <v>44764</v>
      </c>
      <c r="AX23" s="54">
        <f>143.54-7.38-25.59</f>
        <v>110.57</v>
      </c>
      <c r="AY23" s="55"/>
      <c r="AZ23" s="56"/>
      <c r="BA23" s="50" t="s">
        <v>239</v>
      </c>
      <c r="BB23" s="51">
        <v>44730</v>
      </c>
      <c r="BC23" s="51">
        <v>44729</v>
      </c>
      <c r="BD23" s="52">
        <v>0</v>
      </c>
      <c r="BE23" s="53">
        <v>44794</v>
      </c>
      <c r="BF23" s="54">
        <f>146.65-7.38-26.6</f>
        <v>112.67000000000002</v>
      </c>
      <c r="BG23" s="55"/>
      <c r="BH23" s="56"/>
      <c r="BI23" s="50" t="s">
        <v>240</v>
      </c>
      <c r="BJ23" s="51">
        <v>44760</v>
      </c>
      <c r="BK23" s="51">
        <v>44790</v>
      </c>
      <c r="BL23" s="52">
        <v>0</v>
      </c>
      <c r="BM23" s="53">
        <v>44827</v>
      </c>
      <c r="BN23" s="54">
        <f>149.41-7.38-27.63</f>
        <v>114.4</v>
      </c>
      <c r="BO23" s="55"/>
      <c r="BP23" s="56"/>
      <c r="BQ23" s="50" t="s">
        <v>241</v>
      </c>
      <c r="BR23" s="51">
        <v>44791</v>
      </c>
      <c r="BS23" s="51">
        <v>44821</v>
      </c>
      <c r="BT23" s="52">
        <v>0</v>
      </c>
      <c r="BU23" s="53">
        <v>44856</v>
      </c>
      <c r="BV23" s="54">
        <v>116.55000000000001</v>
      </c>
      <c r="BW23" s="55"/>
      <c r="BX23" s="56"/>
      <c r="BY23" s="50" t="s">
        <v>242</v>
      </c>
      <c r="BZ23" s="51">
        <v>44822</v>
      </c>
      <c r="CA23" s="51">
        <v>44851</v>
      </c>
      <c r="CB23" s="52">
        <v>0</v>
      </c>
      <c r="CC23" s="53">
        <v>44888</v>
      </c>
      <c r="CD23" s="54">
        <v>118.12</v>
      </c>
      <c r="CE23" s="55"/>
      <c r="CF23" s="56"/>
      <c r="CG23" s="50"/>
      <c r="CH23" s="51"/>
      <c r="CI23" s="51"/>
      <c r="CJ23" s="52"/>
      <c r="CK23" s="53"/>
      <c r="CL23" s="54"/>
      <c r="CM23" s="55"/>
      <c r="CN23" s="56"/>
      <c r="CO23" s="58"/>
      <c r="CP23" s="59"/>
      <c r="CQ23" s="59"/>
      <c r="CR23" s="52"/>
      <c r="CS23" s="53"/>
      <c r="CT23" s="54"/>
      <c r="CU23" s="55"/>
      <c r="CV23" s="56"/>
      <c r="CW23" s="65">
        <v>7.38</v>
      </c>
      <c r="CX23" s="64">
        <v>29.78</v>
      </c>
      <c r="CY23" s="65"/>
      <c r="CZ23" s="66"/>
      <c r="DA23" s="43"/>
      <c r="DB23" s="63">
        <f t="shared" si="0"/>
        <v>0</v>
      </c>
      <c r="DC23" s="45">
        <f t="shared" si="1"/>
        <v>1198.3200000000002</v>
      </c>
    </row>
    <row r="24" spans="1:107" s="1" customFormat="1" x14ac:dyDescent="0.2">
      <c r="A24" s="46" t="s">
        <v>243</v>
      </c>
      <c r="B24" s="67">
        <v>16550512</v>
      </c>
      <c r="C24" s="48">
        <v>30188381</v>
      </c>
      <c r="D24" s="49" t="s">
        <v>109</v>
      </c>
      <c r="E24" s="50" t="s">
        <v>244</v>
      </c>
      <c r="F24" s="51"/>
      <c r="G24" s="51"/>
      <c r="H24" s="52"/>
      <c r="I24" s="53">
        <v>44612</v>
      </c>
      <c r="J24" s="54">
        <v>129.63</v>
      </c>
      <c r="K24" s="55"/>
      <c r="L24" s="56"/>
      <c r="M24" s="50" t="s">
        <v>245</v>
      </c>
      <c r="N24" s="51"/>
      <c r="O24" s="51"/>
      <c r="P24" s="52"/>
      <c r="Q24" s="53">
        <v>44644</v>
      </c>
      <c r="R24" s="54">
        <v>132.65</v>
      </c>
      <c r="S24" s="55"/>
      <c r="T24" s="56"/>
      <c r="U24" s="50" t="s">
        <v>246</v>
      </c>
      <c r="V24" s="51"/>
      <c r="W24" s="51"/>
      <c r="X24" s="52"/>
      <c r="Y24" s="53">
        <v>44674</v>
      </c>
      <c r="Z24" s="54">
        <v>135.69</v>
      </c>
      <c r="AA24" s="55"/>
      <c r="AB24" s="56"/>
      <c r="AC24" s="50" t="s">
        <v>247</v>
      </c>
      <c r="AD24" s="51">
        <v>44638</v>
      </c>
      <c r="AE24" s="51">
        <v>44668</v>
      </c>
      <c r="AF24" s="52">
        <v>0</v>
      </c>
      <c r="AG24" s="53">
        <v>44704</v>
      </c>
      <c r="AH24" s="54">
        <f>138.75-9.56-22.79</f>
        <v>106.4</v>
      </c>
      <c r="AI24" s="55"/>
      <c r="AJ24" s="56"/>
      <c r="AK24" s="50" t="s">
        <v>248</v>
      </c>
      <c r="AL24" s="51">
        <v>44669</v>
      </c>
      <c r="AM24" s="51">
        <v>44698</v>
      </c>
      <c r="AN24" s="52">
        <v>0</v>
      </c>
      <c r="AO24" s="53">
        <v>44736</v>
      </c>
      <c r="AP24" s="54">
        <f>141.83-9.56-23.77</f>
        <v>108.50000000000001</v>
      </c>
      <c r="AQ24" s="55"/>
      <c r="AR24" s="56"/>
      <c r="AS24" s="50" t="s">
        <v>249</v>
      </c>
      <c r="AT24" s="51">
        <v>44699</v>
      </c>
      <c r="AU24" s="51">
        <v>44729</v>
      </c>
      <c r="AV24" s="52">
        <v>0</v>
      </c>
      <c r="AW24" s="53">
        <v>44764</v>
      </c>
      <c r="AX24" s="54">
        <f>144.93-9.56-24.77</f>
        <v>110.60000000000001</v>
      </c>
      <c r="AY24" s="55"/>
      <c r="AZ24" s="56"/>
      <c r="BA24" s="50" t="s">
        <v>250</v>
      </c>
      <c r="BB24" s="51">
        <v>44730</v>
      </c>
      <c r="BC24" s="51">
        <v>44759</v>
      </c>
      <c r="BD24" s="52">
        <v>0</v>
      </c>
      <c r="BE24" s="53">
        <v>44794</v>
      </c>
      <c r="BF24" s="54">
        <f>148.05-9.56-25.79</f>
        <v>112.70000000000002</v>
      </c>
      <c r="BG24" s="55"/>
      <c r="BH24" s="56"/>
      <c r="BI24" s="50" t="s">
        <v>251</v>
      </c>
      <c r="BJ24" s="51">
        <v>44760</v>
      </c>
      <c r="BK24" s="51">
        <v>44790</v>
      </c>
      <c r="BL24" s="52">
        <v>9</v>
      </c>
      <c r="BM24" s="53">
        <v>44827</v>
      </c>
      <c r="BN24" s="54">
        <f>151.19-9.56-26.83</f>
        <v>114.8</v>
      </c>
      <c r="BO24" s="55"/>
      <c r="BP24" s="56"/>
      <c r="BQ24" s="50" t="s">
        <v>252</v>
      </c>
      <c r="BR24" s="51">
        <v>44791</v>
      </c>
      <c r="BS24" s="51">
        <v>44821</v>
      </c>
      <c r="BT24" s="52">
        <v>0</v>
      </c>
      <c r="BU24" s="53">
        <v>44856</v>
      </c>
      <c r="BV24" s="54">
        <v>116.89999999999999</v>
      </c>
      <c r="BW24" s="55"/>
      <c r="BX24" s="56"/>
      <c r="BY24" s="50" t="s">
        <v>253</v>
      </c>
      <c r="BZ24" s="51">
        <v>44822</v>
      </c>
      <c r="CA24" s="51">
        <v>44851</v>
      </c>
      <c r="CB24" s="52">
        <v>0</v>
      </c>
      <c r="CC24" s="53">
        <v>44888</v>
      </c>
      <c r="CD24" s="54">
        <v>119</v>
      </c>
      <c r="CE24" s="55"/>
      <c r="CF24" s="56"/>
      <c r="CG24" s="50"/>
      <c r="CH24" s="51"/>
      <c r="CI24" s="51"/>
      <c r="CJ24" s="52"/>
      <c r="CK24" s="53"/>
      <c r="CL24" s="54"/>
      <c r="CM24" s="55"/>
      <c r="CN24" s="56"/>
      <c r="CO24" s="58"/>
      <c r="CP24" s="59"/>
      <c r="CQ24" s="59"/>
      <c r="CR24" s="52"/>
      <c r="CS24" s="53"/>
      <c r="CT24" s="54"/>
      <c r="CU24" s="55"/>
      <c r="CV24" s="56"/>
      <c r="CW24" s="65">
        <v>9.56</v>
      </c>
      <c r="CX24" s="64">
        <v>29</v>
      </c>
      <c r="CY24" s="65"/>
      <c r="CZ24" s="66"/>
      <c r="DA24" s="43"/>
      <c r="DB24" s="63">
        <f t="shared" si="0"/>
        <v>9</v>
      </c>
      <c r="DC24" s="45">
        <f t="shared" si="1"/>
        <v>1186.8700000000001</v>
      </c>
    </row>
    <row r="25" spans="1:107" s="1" customFormat="1" x14ac:dyDescent="0.2">
      <c r="A25" s="71" t="s">
        <v>254</v>
      </c>
      <c r="B25" s="47" t="s">
        <v>255</v>
      </c>
      <c r="C25" s="48">
        <v>34112320</v>
      </c>
      <c r="D25" s="49" t="s">
        <v>256</v>
      </c>
      <c r="E25" s="50" t="s">
        <v>257</v>
      </c>
      <c r="F25" s="51"/>
      <c r="G25" s="51"/>
      <c r="H25" s="52"/>
      <c r="I25" s="53">
        <v>44612</v>
      </c>
      <c r="J25" s="54">
        <v>360.5</v>
      </c>
      <c r="K25" s="55"/>
      <c r="L25" s="56"/>
      <c r="M25" s="50" t="s">
        <v>258</v>
      </c>
      <c r="N25" s="51"/>
      <c r="O25" s="51"/>
      <c r="P25" s="52"/>
      <c r="Q25" s="53">
        <v>44644</v>
      </c>
      <c r="R25" s="54">
        <v>366.24</v>
      </c>
      <c r="S25" s="55"/>
      <c r="T25" s="56"/>
      <c r="U25" s="50" t="s">
        <v>259</v>
      </c>
      <c r="V25" s="51"/>
      <c r="W25" s="51"/>
      <c r="X25" s="52"/>
      <c r="Y25" s="53">
        <v>44673</v>
      </c>
      <c r="Z25" s="54">
        <v>372.81</v>
      </c>
      <c r="AA25" s="55"/>
      <c r="AB25" s="56"/>
      <c r="AC25" s="50" t="s">
        <v>260</v>
      </c>
      <c r="AD25" s="51">
        <v>44637</v>
      </c>
      <c r="AE25" s="51">
        <v>44667</v>
      </c>
      <c r="AF25" s="52">
        <v>5</v>
      </c>
      <c r="AG25" s="53">
        <v>44704</v>
      </c>
      <c r="AH25" s="54">
        <f>378.95-41.9-90.52</f>
        <v>246.53000000000003</v>
      </c>
      <c r="AI25" s="55"/>
      <c r="AJ25" s="56"/>
      <c r="AK25" s="50" t="s">
        <v>261</v>
      </c>
      <c r="AL25" s="51">
        <v>44668</v>
      </c>
      <c r="AM25" s="51">
        <v>44697</v>
      </c>
      <c r="AN25" s="52">
        <v>14</v>
      </c>
      <c r="AO25" s="53">
        <v>44736</v>
      </c>
      <c r="AP25" s="72">
        <f>390-41.9-92.46</f>
        <v>255.64000000000004</v>
      </c>
      <c r="AQ25" s="55"/>
      <c r="AR25" s="56"/>
      <c r="AS25" s="50" t="s">
        <v>262</v>
      </c>
      <c r="AT25" s="51">
        <v>44698</v>
      </c>
      <c r="AU25" s="51">
        <v>44728</v>
      </c>
      <c r="AV25" s="52">
        <v>7</v>
      </c>
      <c r="AW25" s="53">
        <v>44764</v>
      </c>
      <c r="AX25" s="54">
        <f>397.07-41.9-94.42</f>
        <v>260.75</v>
      </c>
      <c r="AY25" s="55"/>
      <c r="AZ25" s="56"/>
      <c r="BA25" s="50" t="s">
        <v>263</v>
      </c>
      <c r="BB25" s="51">
        <v>44729</v>
      </c>
      <c r="BC25" s="51">
        <v>44758</v>
      </c>
      <c r="BD25" s="52">
        <v>6</v>
      </c>
      <c r="BE25" s="53">
        <v>44794</v>
      </c>
      <c r="BF25" s="54">
        <f>403.86-41.9-96.53</f>
        <v>265.43000000000006</v>
      </c>
      <c r="BG25" s="55"/>
      <c r="BH25" s="56"/>
      <c r="BI25" s="50" t="s">
        <v>264</v>
      </c>
      <c r="BJ25" s="51">
        <v>44759</v>
      </c>
      <c r="BK25" s="51">
        <v>44789</v>
      </c>
      <c r="BL25" s="52">
        <v>5</v>
      </c>
      <c r="BM25" s="53">
        <v>44827</v>
      </c>
      <c r="BN25" s="54">
        <f>409.4-41.9-98.67</f>
        <v>268.83</v>
      </c>
      <c r="BO25" s="55"/>
      <c r="BP25" s="56"/>
      <c r="BQ25" s="50" t="s">
        <v>265</v>
      </c>
      <c r="BR25" s="51">
        <v>44790</v>
      </c>
      <c r="BS25" s="51">
        <v>44820</v>
      </c>
      <c r="BT25" s="52">
        <v>6</v>
      </c>
      <c r="BU25" s="53">
        <v>44856</v>
      </c>
      <c r="BV25" s="54">
        <v>273.51</v>
      </c>
      <c r="BW25" s="55"/>
      <c r="BX25" s="56"/>
      <c r="BY25" s="50" t="s">
        <v>266</v>
      </c>
      <c r="BZ25" s="51">
        <v>44821</v>
      </c>
      <c r="CA25" s="51">
        <v>44850</v>
      </c>
      <c r="CB25" s="52">
        <v>5</v>
      </c>
      <c r="CC25" s="53">
        <v>44888</v>
      </c>
      <c r="CD25" s="54">
        <v>277.76000000000005</v>
      </c>
      <c r="CE25" s="55"/>
      <c r="CF25" s="56"/>
      <c r="CG25" s="50"/>
      <c r="CH25" s="51"/>
      <c r="CI25" s="51"/>
      <c r="CJ25" s="52"/>
      <c r="CK25" s="53"/>
      <c r="CL25" s="54"/>
      <c r="CM25" s="55"/>
      <c r="CN25" s="56"/>
      <c r="CO25" s="58"/>
      <c r="CP25" s="59"/>
      <c r="CQ25" s="59"/>
      <c r="CR25" s="52"/>
      <c r="CS25" s="53"/>
      <c r="CT25" s="54"/>
      <c r="CU25" s="55"/>
      <c r="CV25" s="56"/>
      <c r="CW25" s="65">
        <v>41.9</v>
      </c>
      <c r="CX25" s="64">
        <v>103.33</v>
      </c>
      <c r="CY25" s="65"/>
      <c r="CZ25" s="66"/>
      <c r="DA25" s="43"/>
      <c r="DB25" s="63">
        <f t="shared" si="0"/>
        <v>48</v>
      </c>
      <c r="DC25" s="45">
        <f t="shared" si="1"/>
        <v>2948</v>
      </c>
    </row>
    <row r="26" spans="1:107" s="1" customFormat="1" x14ac:dyDescent="0.2">
      <c r="A26" s="46" t="s">
        <v>267</v>
      </c>
      <c r="B26" s="47">
        <v>1715004862</v>
      </c>
      <c r="C26" s="48">
        <v>36096810</v>
      </c>
      <c r="D26" s="49" t="s">
        <v>268</v>
      </c>
      <c r="E26" s="50" t="s">
        <v>269</v>
      </c>
      <c r="F26" s="51"/>
      <c r="G26" s="51"/>
      <c r="H26" s="52"/>
      <c r="I26" s="53">
        <v>44612</v>
      </c>
      <c r="J26" s="54">
        <v>204.51</v>
      </c>
      <c r="K26" s="55"/>
      <c r="L26" s="56"/>
      <c r="M26" s="50" t="s">
        <v>270</v>
      </c>
      <c r="N26" s="51"/>
      <c r="O26" s="51"/>
      <c r="P26" s="52"/>
      <c r="Q26" s="53">
        <v>44644</v>
      </c>
      <c r="R26" s="54">
        <v>207.56</v>
      </c>
      <c r="S26" s="55"/>
      <c r="T26" s="56"/>
      <c r="U26" s="50" t="s">
        <v>271</v>
      </c>
      <c r="V26" s="51"/>
      <c r="W26" s="51"/>
      <c r="X26" s="52"/>
      <c r="Y26" s="53">
        <v>44673</v>
      </c>
      <c r="Z26" s="54">
        <v>210.63</v>
      </c>
      <c r="AA26" s="55"/>
      <c r="AB26" s="56"/>
      <c r="AC26" s="50" t="s">
        <v>272</v>
      </c>
      <c r="AD26" s="51">
        <v>44638</v>
      </c>
      <c r="AE26" s="51">
        <v>44668</v>
      </c>
      <c r="AF26" s="52">
        <v>0</v>
      </c>
      <c r="AG26" s="53">
        <v>44704</v>
      </c>
      <c r="AH26" s="54">
        <f>213.71-70.08-25.22</f>
        <v>118.41</v>
      </c>
      <c r="AI26" s="55"/>
      <c r="AJ26" s="56"/>
      <c r="AK26" s="50" t="s">
        <v>273</v>
      </c>
      <c r="AL26" s="51">
        <v>44669</v>
      </c>
      <c r="AM26" s="51">
        <v>44698</v>
      </c>
      <c r="AN26" s="52">
        <v>15</v>
      </c>
      <c r="AO26" s="53">
        <v>44736</v>
      </c>
      <c r="AP26" s="54">
        <f>224.42-70.08-26.22</f>
        <v>128.11999999999998</v>
      </c>
      <c r="AQ26" s="55"/>
      <c r="AR26" s="56"/>
      <c r="AS26" s="50" t="s">
        <v>274</v>
      </c>
      <c r="AT26" s="51">
        <v>44699</v>
      </c>
      <c r="AU26" s="51">
        <v>44729</v>
      </c>
      <c r="AV26" s="52">
        <v>15</v>
      </c>
      <c r="AW26" s="53">
        <v>44764</v>
      </c>
      <c r="AX26" s="54">
        <f>235.15-70.08-27.24</f>
        <v>137.82999999999998</v>
      </c>
      <c r="AY26" s="55"/>
      <c r="AZ26" s="56"/>
      <c r="BA26" s="50" t="s">
        <v>275</v>
      </c>
      <c r="BB26" s="51">
        <v>44730</v>
      </c>
      <c r="BC26" s="51">
        <v>44759</v>
      </c>
      <c r="BD26" s="52">
        <v>15</v>
      </c>
      <c r="BE26" s="53">
        <v>44794</v>
      </c>
      <c r="BF26" s="54">
        <f>246.03-70.08-28.41</f>
        <v>147.54</v>
      </c>
      <c r="BG26" s="55"/>
      <c r="BH26" s="56"/>
      <c r="BI26" s="50" t="s">
        <v>276</v>
      </c>
      <c r="BJ26" s="51">
        <v>44760</v>
      </c>
      <c r="BK26" s="51">
        <v>44790</v>
      </c>
      <c r="BL26" s="52">
        <v>15</v>
      </c>
      <c r="BM26" s="53">
        <v>44827</v>
      </c>
      <c r="BN26" s="54">
        <f>256.99-70.08-29.66</f>
        <v>157.25000000000003</v>
      </c>
      <c r="BO26" s="55"/>
      <c r="BP26" s="56"/>
      <c r="BQ26" s="50" t="s">
        <v>277</v>
      </c>
      <c r="BR26" s="51">
        <v>44791</v>
      </c>
      <c r="BS26" s="51">
        <v>44821</v>
      </c>
      <c r="BT26" s="52">
        <v>15</v>
      </c>
      <c r="BU26" s="53">
        <v>44856</v>
      </c>
      <c r="BV26" s="54">
        <v>166.95999999999998</v>
      </c>
      <c r="BW26" s="55"/>
      <c r="BX26" s="56"/>
      <c r="BY26" s="50" t="s">
        <v>278</v>
      </c>
      <c r="BZ26" s="51">
        <v>44822</v>
      </c>
      <c r="CA26" s="51">
        <v>44851</v>
      </c>
      <c r="CB26" s="52">
        <v>0</v>
      </c>
      <c r="CC26" s="53">
        <v>44888</v>
      </c>
      <c r="CD26" s="54">
        <v>176.67000000000004</v>
      </c>
      <c r="CE26" s="55"/>
      <c r="CF26" s="56"/>
      <c r="CG26" s="50"/>
      <c r="CH26" s="51"/>
      <c r="CI26" s="51"/>
      <c r="CJ26" s="52"/>
      <c r="CK26" s="53"/>
      <c r="CL26" s="54"/>
      <c r="CM26" s="55"/>
      <c r="CN26" s="56"/>
      <c r="CO26" s="58"/>
      <c r="CP26" s="59"/>
      <c r="CQ26" s="59"/>
      <c r="CR26" s="52"/>
      <c r="CS26" s="53"/>
      <c r="CT26" s="54"/>
      <c r="CU26" s="55"/>
      <c r="CV26" s="56"/>
      <c r="CW26" s="65">
        <v>70.08</v>
      </c>
      <c r="CX26" s="64">
        <v>32.479999999999997</v>
      </c>
      <c r="CY26" s="65"/>
      <c r="CZ26" s="66"/>
      <c r="DA26" s="43"/>
      <c r="DB26" s="63">
        <f t="shared" si="0"/>
        <v>75</v>
      </c>
      <c r="DC26" s="45">
        <f t="shared" si="1"/>
        <v>1655.48</v>
      </c>
    </row>
    <row r="27" spans="1:107" s="1" customFormat="1" x14ac:dyDescent="0.2">
      <c r="A27" s="70" t="s">
        <v>279</v>
      </c>
      <c r="B27" s="47" t="s">
        <v>280</v>
      </c>
      <c r="C27" s="48">
        <v>36167444</v>
      </c>
      <c r="D27" s="49" t="s">
        <v>109</v>
      </c>
      <c r="E27" s="50" t="s">
        <v>281</v>
      </c>
      <c r="F27" s="51"/>
      <c r="G27" s="51"/>
      <c r="H27" s="52"/>
      <c r="I27" s="53">
        <v>44612</v>
      </c>
      <c r="J27" s="54">
        <v>487.23</v>
      </c>
      <c r="K27" s="55"/>
      <c r="L27" s="56"/>
      <c r="M27" s="50" t="s">
        <v>282</v>
      </c>
      <c r="N27" s="51"/>
      <c r="O27" s="51"/>
      <c r="P27" s="52"/>
      <c r="Q27" s="53">
        <v>44644</v>
      </c>
      <c r="R27" s="54">
        <v>492.75</v>
      </c>
      <c r="S27" s="55"/>
      <c r="T27" s="56"/>
      <c r="U27" s="50" t="s">
        <v>283</v>
      </c>
      <c r="V27" s="51"/>
      <c r="W27" s="51"/>
      <c r="X27" s="52"/>
      <c r="Y27" s="53">
        <v>44673</v>
      </c>
      <c r="Z27" s="54">
        <v>498.29</v>
      </c>
      <c r="AA27" s="55"/>
      <c r="AB27" s="56"/>
      <c r="AC27" s="50" t="s">
        <v>284</v>
      </c>
      <c r="AD27" s="51">
        <v>44638</v>
      </c>
      <c r="AE27" s="51">
        <v>44668</v>
      </c>
      <c r="AF27" s="52">
        <v>0</v>
      </c>
      <c r="AG27" s="53">
        <v>44704</v>
      </c>
      <c r="AH27" s="54">
        <f>503.73-5.44-81.1</f>
        <v>417.19000000000005</v>
      </c>
      <c r="AI27" s="55"/>
      <c r="AJ27" s="56"/>
      <c r="AK27" s="50" t="s">
        <v>285</v>
      </c>
      <c r="AL27" s="51">
        <v>44669</v>
      </c>
      <c r="AM27" s="51">
        <v>44698</v>
      </c>
      <c r="AN27" s="52">
        <v>0</v>
      </c>
      <c r="AO27" s="53">
        <v>44736</v>
      </c>
      <c r="AP27" s="54">
        <f>509.19-5.44-84.46</f>
        <v>419.29</v>
      </c>
      <c r="AQ27" s="55"/>
      <c r="AR27" s="56"/>
      <c r="AS27" s="50" t="s">
        <v>286</v>
      </c>
      <c r="AT27" s="51">
        <v>44699</v>
      </c>
      <c r="AU27" s="51">
        <v>44729</v>
      </c>
      <c r="AV27" s="52">
        <v>0</v>
      </c>
      <c r="AW27" s="53">
        <v>44764</v>
      </c>
      <c r="AX27" s="54">
        <f>514.67-5.44-87.84</f>
        <v>421.39</v>
      </c>
      <c r="AY27" s="55"/>
      <c r="AZ27" s="56"/>
      <c r="BA27" s="50" t="s">
        <v>287</v>
      </c>
      <c r="BB27" s="51">
        <v>44730</v>
      </c>
      <c r="BC27" s="51">
        <v>44759</v>
      </c>
      <c r="BD27" s="52">
        <v>0</v>
      </c>
      <c r="BE27" s="53">
        <v>44794</v>
      </c>
      <c r="BF27" s="54">
        <f>520.26-5.44-91.33</f>
        <v>423.48999999999995</v>
      </c>
      <c r="BG27" s="55"/>
      <c r="BH27" s="56"/>
      <c r="BI27" s="50" t="s">
        <v>288</v>
      </c>
      <c r="BJ27" s="51">
        <v>44760</v>
      </c>
      <c r="BK27" s="51">
        <v>44790</v>
      </c>
      <c r="BL27" s="52">
        <v>0</v>
      </c>
      <c r="BM27" s="53">
        <v>44827</v>
      </c>
      <c r="BN27" s="54">
        <f>525.87-5.44-94.84</f>
        <v>425.58999999999992</v>
      </c>
      <c r="BO27" s="55"/>
      <c r="BP27" s="56"/>
      <c r="BQ27" s="50" t="s">
        <v>289</v>
      </c>
      <c r="BR27" s="51">
        <v>44791</v>
      </c>
      <c r="BS27" s="51">
        <v>44821</v>
      </c>
      <c r="BT27" s="52">
        <v>0</v>
      </c>
      <c r="BU27" s="53">
        <v>44856</v>
      </c>
      <c r="BV27" s="54">
        <v>427.68999999999994</v>
      </c>
      <c r="BW27" s="55"/>
      <c r="BX27" s="56"/>
      <c r="BY27" s="50" t="s">
        <v>290</v>
      </c>
      <c r="BZ27" s="51">
        <v>44822</v>
      </c>
      <c r="CA27" s="51">
        <v>44851</v>
      </c>
      <c r="CB27" s="52">
        <v>0</v>
      </c>
      <c r="CC27" s="53">
        <v>44888</v>
      </c>
      <c r="CD27" s="54">
        <v>429.78999999999996</v>
      </c>
      <c r="CE27" s="55"/>
      <c r="CF27" s="56"/>
      <c r="CG27" s="50"/>
      <c r="CH27" s="51"/>
      <c r="CI27" s="51"/>
      <c r="CJ27" s="52"/>
      <c r="CK27" s="53"/>
      <c r="CL27" s="54"/>
      <c r="CM27" s="55"/>
      <c r="CN27" s="56"/>
      <c r="CO27" s="58"/>
      <c r="CP27" s="59"/>
      <c r="CQ27" s="59"/>
      <c r="CR27" s="52"/>
      <c r="CS27" s="53"/>
      <c r="CT27" s="54"/>
      <c r="CU27" s="55"/>
      <c r="CV27" s="56"/>
      <c r="CW27" s="65">
        <v>5.44</v>
      </c>
      <c r="CX27" s="64">
        <v>102.28</v>
      </c>
      <c r="CY27" s="65"/>
      <c r="CZ27" s="66"/>
      <c r="DA27" s="43"/>
      <c r="DB27" s="63">
        <f t="shared" si="0"/>
        <v>0</v>
      </c>
      <c r="DC27" s="45">
        <f t="shared" si="1"/>
        <v>4442.6999999999989</v>
      </c>
    </row>
    <row r="28" spans="1:107" s="1" customFormat="1" x14ac:dyDescent="0.2">
      <c r="A28" s="70" t="s">
        <v>291</v>
      </c>
      <c r="B28" s="47" t="s">
        <v>292</v>
      </c>
      <c r="C28" s="48">
        <v>36179305</v>
      </c>
      <c r="D28" s="49" t="s">
        <v>293</v>
      </c>
      <c r="E28" s="50" t="s">
        <v>294</v>
      </c>
      <c r="F28" s="51"/>
      <c r="G28" s="51"/>
      <c r="H28" s="52"/>
      <c r="I28" s="53">
        <v>44612</v>
      </c>
      <c r="J28" s="54">
        <v>319.91000000000003</v>
      </c>
      <c r="K28" s="55"/>
      <c r="L28" s="56"/>
      <c r="M28" s="50" t="s">
        <v>295</v>
      </c>
      <c r="N28" s="51"/>
      <c r="O28" s="51"/>
      <c r="P28" s="52"/>
      <c r="Q28" s="53">
        <v>44644</v>
      </c>
      <c r="R28" s="54">
        <v>338.8</v>
      </c>
      <c r="S28" s="55"/>
      <c r="T28" s="56"/>
      <c r="U28" s="50" t="s">
        <v>296</v>
      </c>
      <c r="V28" s="51"/>
      <c r="W28" s="51"/>
      <c r="X28" s="52"/>
      <c r="Y28" s="53">
        <v>44673</v>
      </c>
      <c r="Z28" s="54">
        <v>354.9</v>
      </c>
      <c r="AA28" s="55"/>
      <c r="AB28" s="56"/>
      <c r="AC28" s="50" t="s">
        <v>297</v>
      </c>
      <c r="AD28" s="51">
        <v>44638</v>
      </c>
      <c r="AE28" s="51">
        <v>44668</v>
      </c>
      <c r="AF28" s="52">
        <v>17</v>
      </c>
      <c r="AG28" s="53">
        <v>44704</v>
      </c>
      <c r="AH28" s="54">
        <f>371.83-5.7-39.92</f>
        <v>326.20999999999998</v>
      </c>
      <c r="AI28" s="55"/>
      <c r="AJ28" s="56"/>
      <c r="AK28" s="50" t="s">
        <v>298</v>
      </c>
      <c r="AL28" s="51">
        <v>44669</v>
      </c>
      <c r="AM28" s="51">
        <v>44698</v>
      </c>
      <c r="AN28" s="52">
        <v>17</v>
      </c>
      <c r="AO28" s="53">
        <v>44736</v>
      </c>
      <c r="AP28" s="54">
        <f>388.84-5.7-42.59</f>
        <v>340.54999999999995</v>
      </c>
      <c r="AQ28" s="55"/>
      <c r="AR28" s="56"/>
      <c r="AS28" s="50" t="s">
        <v>299</v>
      </c>
      <c r="AT28" s="51">
        <v>44699</v>
      </c>
      <c r="AU28" s="51">
        <v>44729</v>
      </c>
      <c r="AV28" s="52">
        <v>18</v>
      </c>
      <c r="AW28" s="53">
        <v>44764</v>
      </c>
      <c r="AX28" s="54">
        <f>406.68-5.7-45.37</f>
        <v>355.61</v>
      </c>
      <c r="AY28" s="55"/>
      <c r="AZ28" s="56"/>
      <c r="BA28" s="50" t="s">
        <v>300</v>
      </c>
      <c r="BB28" s="51">
        <v>44730</v>
      </c>
      <c r="BC28" s="51">
        <v>44759</v>
      </c>
      <c r="BD28" s="52">
        <v>19</v>
      </c>
      <c r="BE28" s="53">
        <v>44794</v>
      </c>
      <c r="BF28" s="54">
        <f>425.43-5.7-48.34</f>
        <v>371.39</v>
      </c>
      <c r="BG28" s="55"/>
      <c r="BH28" s="56"/>
      <c r="BI28" s="50" t="s">
        <v>301</v>
      </c>
      <c r="BJ28" s="51">
        <v>44760</v>
      </c>
      <c r="BK28" s="51">
        <v>44790</v>
      </c>
      <c r="BL28" s="52">
        <v>17</v>
      </c>
      <c r="BM28" s="53">
        <v>44827</v>
      </c>
      <c r="BN28" s="54">
        <f>442.87-5.7-51.44</f>
        <v>385.73</v>
      </c>
      <c r="BO28" s="55"/>
      <c r="BP28" s="56"/>
      <c r="BQ28" s="50" t="s">
        <v>302</v>
      </c>
      <c r="BR28" s="51">
        <v>44791</v>
      </c>
      <c r="BS28" s="51">
        <v>44821</v>
      </c>
      <c r="BT28" s="52">
        <v>17</v>
      </c>
      <c r="BU28" s="53">
        <v>44856</v>
      </c>
      <c r="BV28" s="54">
        <v>400.07</v>
      </c>
      <c r="BW28" s="55"/>
      <c r="BX28" s="56"/>
      <c r="BY28" s="50" t="s">
        <v>303</v>
      </c>
      <c r="BZ28" s="51">
        <v>44822</v>
      </c>
      <c r="CA28" s="51">
        <v>44851</v>
      </c>
      <c r="CB28" s="52">
        <v>0</v>
      </c>
      <c r="CC28" s="53">
        <v>44888</v>
      </c>
      <c r="CD28" s="54">
        <v>412.97</v>
      </c>
      <c r="CE28" s="55"/>
      <c r="CF28" s="56"/>
      <c r="CG28" s="50"/>
      <c r="CH28" s="51"/>
      <c r="CI28" s="51"/>
      <c r="CJ28" s="52"/>
      <c r="CK28" s="53"/>
      <c r="CL28" s="54"/>
      <c r="CM28" s="55"/>
      <c r="CN28" s="56"/>
      <c r="CO28" s="58"/>
      <c r="CP28" s="59"/>
      <c r="CQ28" s="59"/>
      <c r="CR28" s="52"/>
      <c r="CS28" s="53"/>
      <c r="CT28" s="54"/>
      <c r="CU28" s="55"/>
      <c r="CV28" s="56"/>
      <c r="CW28" s="65">
        <v>5.7</v>
      </c>
      <c r="CX28" s="64">
        <v>58.31</v>
      </c>
      <c r="CY28" s="65"/>
      <c r="CZ28" s="66"/>
      <c r="DA28" s="43"/>
      <c r="DB28" s="63">
        <f t="shared" si="0"/>
        <v>105</v>
      </c>
      <c r="DC28" s="45">
        <f t="shared" si="1"/>
        <v>3606.1400000000003</v>
      </c>
    </row>
    <row r="29" spans="1:107" s="1" customFormat="1" x14ac:dyDescent="0.2">
      <c r="A29" s="46" t="s">
        <v>304</v>
      </c>
      <c r="B29" s="47">
        <v>1615008136</v>
      </c>
      <c r="C29" s="48">
        <v>47092751</v>
      </c>
      <c r="D29" s="49" t="s">
        <v>305</v>
      </c>
      <c r="E29" s="50" t="s">
        <v>306</v>
      </c>
      <c r="F29" s="51"/>
      <c r="G29" s="51"/>
      <c r="H29" s="52"/>
      <c r="I29" s="53">
        <v>44613</v>
      </c>
      <c r="J29" s="54">
        <v>238.85</v>
      </c>
      <c r="K29" s="55"/>
      <c r="L29" s="56"/>
      <c r="M29" s="50" t="s">
        <v>307</v>
      </c>
      <c r="N29" s="51"/>
      <c r="O29" s="51"/>
      <c r="P29" s="52"/>
      <c r="Q29" s="53">
        <v>44644</v>
      </c>
      <c r="R29" s="54">
        <v>242.5</v>
      </c>
      <c r="S29" s="55"/>
      <c r="T29" s="56"/>
      <c r="U29" s="50" t="s">
        <v>308</v>
      </c>
      <c r="V29" s="51"/>
      <c r="W29" s="51"/>
      <c r="X29" s="52"/>
      <c r="Y29" s="53">
        <v>44674</v>
      </c>
      <c r="Z29" s="54">
        <v>246.17</v>
      </c>
      <c r="AA29" s="55"/>
      <c r="AB29" s="56"/>
      <c r="AC29" s="50" t="s">
        <v>309</v>
      </c>
      <c r="AD29" s="51">
        <v>44641</v>
      </c>
      <c r="AE29" s="51">
        <v>44671</v>
      </c>
      <c r="AF29" s="52">
        <v>0</v>
      </c>
      <c r="AG29" s="53">
        <v>44704</v>
      </c>
      <c r="AH29" s="54">
        <f>249.86-15.11-49.65</f>
        <v>185.1</v>
      </c>
      <c r="AI29" s="55"/>
      <c r="AJ29" s="56"/>
      <c r="AK29" s="50" t="s">
        <v>310</v>
      </c>
      <c r="AL29" s="51">
        <v>44672</v>
      </c>
      <c r="AM29" s="51">
        <v>44701</v>
      </c>
      <c r="AN29" s="52">
        <v>0</v>
      </c>
      <c r="AO29" s="53">
        <v>44736</v>
      </c>
      <c r="AP29" s="72">
        <f>253.57-15.11-51.26</f>
        <v>187.2</v>
      </c>
      <c r="AQ29" s="55"/>
      <c r="AR29" s="56"/>
      <c r="AS29" s="50" t="s">
        <v>311</v>
      </c>
      <c r="AT29" s="51">
        <v>44702</v>
      </c>
      <c r="AU29" s="51">
        <v>44732</v>
      </c>
      <c r="AV29" s="52">
        <v>0</v>
      </c>
      <c r="AW29" s="53">
        <v>44764</v>
      </c>
      <c r="AX29" s="54">
        <f>257.3-15.11-52.89</f>
        <v>189.3</v>
      </c>
      <c r="AY29" s="55"/>
      <c r="AZ29" s="56"/>
      <c r="BA29" s="50" t="s">
        <v>312</v>
      </c>
      <c r="BB29" s="51">
        <v>44733</v>
      </c>
      <c r="BC29" s="51">
        <v>44762</v>
      </c>
      <c r="BD29" s="52">
        <v>0</v>
      </c>
      <c r="BE29" s="53">
        <v>44794</v>
      </c>
      <c r="BF29" s="54">
        <f>261.05-15.11-54.54</f>
        <v>191.4</v>
      </c>
      <c r="BG29" s="55"/>
      <c r="BH29" s="56"/>
      <c r="BI29" s="50" t="s">
        <v>313</v>
      </c>
      <c r="BJ29" s="51">
        <v>44763</v>
      </c>
      <c r="BK29" s="51">
        <v>44793</v>
      </c>
      <c r="BL29" s="52">
        <v>0</v>
      </c>
      <c r="BM29" s="53">
        <v>44827</v>
      </c>
      <c r="BN29" s="54">
        <f>264.82-15.11-56.21</f>
        <v>193.49999999999997</v>
      </c>
      <c r="BO29" s="55"/>
      <c r="BP29" s="56"/>
      <c r="BQ29" s="50" t="s">
        <v>314</v>
      </c>
      <c r="BR29" s="51">
        <v>44794</v>
      </c>
      <c r="BS29" s="51">
        <v>44824</v>
      </c>
      <c r="BT29" s="52">
        <v>9</v>
      </c>
      <c r="BU29" s="53">
        <v>44856</v>
      </c>
      <c r="BV29" s="54">
        <v>195.6</v>
      </c>
      <c r="BW29" s="55"/>
      <c r="BX29" s="56"/>
      <c r="BY29" s="50" t="s">
        <v>315</v>
      </c>
      <c r="BZ29" s="51">
        <v>44825</v>
      </c>
      <c r="CA29" s="51">
        <v>44854</v>
      </c>
      <c r="CB29" s="52">
        <v>0</v>
      </c>
      <c r="CC29" s="53">
        <v>44888</v>
      </c>
      <c r="CD29" s="54">
        <v>197.7</v>
      </c>
      <c r="CE29" s="55"/>
      <c r="CF29" s="56"/>
      <c r="CG29" s="50"/>
      <c r="CH29" s="51"/>
      <c r="CI29" s="51"/>
      <c r="CJ29" s="52"/>
      <c r="CK29" s="53"/>
      <c r="CL29" s="54"/>
      <c r="CM29" s="55"/>
      <c r="CN29" s="56"/>
      <c r="CO29" s="58"/>
      <c r="CP29" s="59"/>
      <c r="CQ29" s="59"/>
      <c r="CR29" s="52"/>
      <c r="CS29" s="53"/>
      <c r="CT29" s="54"/>
      <c r="CU29" s="55"/>
      <c r="CV29" s="56"/>
      <c r="CW29" s="65">
        <v>15.11</v>
      </c>
      <c r="CX29" s="64">
        <v>59.69</v>
      </c>
      <c r="CY29" s="65"/>
      <c r="CZ29" s="66"/>
      <c r="DA29" s="43"/>
      <c r="DB29" s="63">
        <f t="shared" si="0"/>
        <v>9</v>
      </c>
      <c r="DC29" s="45">
        <f t="shared" si="1"/>
        <v>2067.3199999999997</v>
      </c>
    </row>
    <row r="30" spans="1:107" s="1" customFormat="1" x14ac:dyDescent="0.2">
      <c r="A30" s="46" t="s">
        <v>316</v>
      </c>
      <c r="B30" s="67" t="s">
        <v>317</v>
      </c>
      <c r="C30" s="48">
        <v>47150805</v>
      </c>
      <c r="D30" s="49" t="s">
        <v>318</v>
      </c>
      <c r="E30" s="50" t="s">
        <v>319</v>
      </c>
      <c r="F30" s="51"/>
      <c r="G30" s="51"/>
      <c r="H30" s="52"/>
      <c r="I30" s="53">
        <v>44613</v>
      </c>
      <c r="J30" s="54">
        <v>106.17</v>
      </c>
      <c r="K30" s="55"/>
      <c r="L30" s="56"/>
      <c r="M30" s="50" t="s">
        <v>320</v>
      </c>
      <c r="N30" s="51"/>
      <c r="O30" s="51"/>
      <c r="P30" s="52"/>
      <c r="Q30" s="53">
        <v>44644</v>
      </c>
      <c r="R30" s="54">
        <v>109.08</v>
      </c>
      <c r="S30" s="55"/>
      <c r="T30" s="56"/>
      <c r="U30" s="50" t="s">
        <v>321</v>
      </c>
      <c r="V30" s="51"/>
      <c r="W30" s="51"/>
      <c r="X30" s="52"/>
      <c r="Y30" s="53">
        <v>44673</v>
      </c>
      <c r="Z30" s="54">
        <v>112.01</v>
      </c>
      <c r="AA30" s="55"/>
      <c r="AB30" s="56"/>
      <c r="AC30" s="50" t="s">
        <v>322</v>
      </c>
      <c r="AD30" s="51">
        <v>44641</v>
      </c>
      <c r="AE30" s="51">
        <v>44671</v>
      </c>
      <c r="AF30" s="52">
        <v>0</v>
      </c>
      <c r="AG30" s="53">
        <v>44704</v>
      </c>
      <c r="AH30" s="54">
        <f>114.96-5.23-18.65</f>
        <v>91.079999999999984</v>
      </c>
      <c r="AI30" s="55"/>
      <c r="AJ30" s="56"/>
      <c r="AK30" s="50" t="s">
        <v>323</v>
      </c>
      <c r="AL30" s="51">
        <v>44672</v>
      </c>
      <c r="AM30" s="51">
        <v>44701</v>
      </c>
      <c r="AN30" s="52">
        <v>0</v>
      </c>
      <c r="AO30" s="53">
        <v>44736</v>
      </c>
      <c r="AP30" s="54">
        <f>117.93-5.23-19.52</f>
        <v>93.18</v>
      </c>
      <c r="AQ30" s="55"/>
      <c r="AR30" s="56"/>
      <c r="AS30" s="50" t="s">
        <v>324</v>
      </c>
      <c r="AT30" s="51">
        <v>44702</v>
      </c>
      <c r="AU30" s="51">
        <v>44732</v>
      </c>
      <c r="AV30" s="52">
        <v>0</v>
      </c>
      <c r="AW30" s="53">
        <v>44764</v>
      </c>
      <c r="AX30" s="54">
        <f>120.92-5.23-20.41</f>
        <v>95.28</v>
      </c>
      <c r="AY30" s="55"/>
      <c r="AZ30" s="56"/>
      <c r="BA30" s="50" t="s">
        <v>325</v>
      </c>
      <c r="BB30" s="51">
        <v>44733</v>
      </c>
      <c r="BC30" s="51">
        <v>44762</v>
      </c>
      <c r="BD30" s="52">
        <v>0</v>
      </c>
      <c r="BE30" s="53">
        <v>44794</v>
      </c>
      <c r="BF30" s="54">
        <f>123.93-5.23-21.32</f>
        <v>97.38</v>
      </c>
      <c r="BG30" s="55"/>
      <c r="BH30" s="56"/>
      <c r="BI30" s="50" t="s">
        <v>326</v>
      </c>
      <c r="BJ30" s="51">
        <v>44763</v>
      </c>
      <c r="BK30" s="51">
        <v>44793</v>
      </c>
      <c r="BL30" s="52">
        <v>0</v>
      </c>
      <c r="BM30" s="53">
        <v>44827</v>
      </c>
      <c r="BN30" s="54">
        <f>126.96-5.23-22.25</f>
        <v>99.47999999999999</v>
      </c>
      <c r="BO30" s="55"/>
      <c r="BP30" s="56"/>
      <c r="BQ30" s="50" t="s">
        <v>327</v>
      </c>
      <c r="BR30" s="51">
        <v>44794</v>
      </c>
      <c r="BS30" s="51">
        <v>44824</v>
      </c>
      <c r="BT30" s="52">
        <v>0</v>
      </c>
      <c r="BU30" s="53">
        <v>44856</v>
      </c>
      <c r="BV30" s="54">
        <v>101.57999999999998</v>
      </c>
      <c r="BW30" s="55"/>
      <c r="BX30" s="56"/>
      <c r="BY30" s="50" t="s">
        <v>328</v>
      </c>
      <c r="BZ30" s="51">
        <v>44825</v>
      </c>
      <c r="CA30" s="51">
        <v>44854</v>
      </c>
      <c r="CB30" s="52">
        <v>0</v>
      </c>
      <c r="CC30" s="53">
        <v>44888</v>
      </c>
      <c r="CD30" s="54">
        <v>103.68</v>
      </c>
      <c r="CE30" s="55"/>
      <c r="CF30" s="56"/>
      <c r="CG30" s="50"/>
      <c r="CH30" s="51"/>
      <c r="CI30" s="51"/>
      <c r="CJ30" s="52"/>
      <c r="CK30" s="53"/>
      <c r="CL30" s="54"/>
      <c r="CM30" s="55"/>
      <c r="CN30" s="56"/>
      <c r="CO30" s="58"/>
      <c r="CP30" s="59"/>
      <c r="CQ30" s="59"/>
      <c r="CR30" s="52"/>
      <c r="CS30" s="53"/>
      <c r="CT30" s="54"/>
      <c r="CU30" s="55"/>
      <c r="CV30" s="56"/>
      <c r="CW30" s="65">
        <v>5.23</v>
      </c>
      <c r="CX30" s="64">
        <v>24.17</v>
      </c>
      <c r="CY30" s="65"/>
      <c r="CZ30" s="66"/>
      <c r="DA30" s="43"/>
      <c r="DB30" s="63">
        <f t="shared" si="0"/>
        <v>0</v>
      </c>
      <c r="DC30" s="45">
        <f t="shared" si="1"/>
        <v>1008.9200000000001</v>
      </c>
    </row>
    <row r="31" spans="1:107" s="1" customFormat="1" x14ac:dyDescent="0.2">
      <c r="A31" s="46" t="s">
        <v>329</v>
      </c>
      <c r="B31" s="47" t="s">
        <v>330</v>
      </c>
      <c r="C31" s="48">
        <v>49152692</v>
      </c>
      <c r="D31" s="49" t="s">
        <v>318</v>
      </c>
      <c r="E31" s="50" t="s">
        <v>331</v>
      </c>
      <c r="F31" s="51"/>
      <c r="G31" s="51"/>
      <c r="H31" s="52"/>
      <c r="I31" s="53">
        <v>44613</v>
      </c>
      <c r="J31" s="54">
        <v>335.86</v>
      </c>
      <c r="K31" s="55"/>
      <c r="L31" s="56"/>
      <c r="M31" s="50" t="s">
        <v>332</v>
      </c>
      <c r="N31" s="51"/>
      <c r="O31" s="51"/>
      <c r="P31" s="52"/>
      <c r="Q31" s="53">
        <v>44644</v>
      </c>
      <c r="R31" s="54">
        <v>343.89</v>
      </c>
      <c r="S31" s="55"/>
      <c r="T31" s="56"/>
      <c r="U31" s="50" t="s">
        <v>333</v>
      </c>
      <c r="V31" s="51"/>
      <c r="W31" s="51"/>
      <c r="X31" s="52"/>
      <c r="Y31" s="53">
        <v>44674</v>
      </c>
      <c r="Z31" s="54">
        <v>351.19</v>
      </c>
      <c r="AA31" s="55"/>
      <c r="AB31" s="56"/>
      <c r="AC31" s="50" t="s">
        <v>334</v>
      </c>
      <c r="AD31" s="51">
        <v>44635</v>
      </c>
      <c r="AE31" s="51">
        <v>44665</v>
      </c>
      <c r="AF31" s="52">
        <v>2</v>
      </c>
      <c r="AG31" s="53">
        <v>44704</v>
      </c>
      <c r="AH31" s="54">
        <f>357.08-9.08-57.5</f>
        <v>290.5</v>
      </c>
      <c r="AI31" s="55"/>
      <c r="AJ31" s="56"/>
      <c r="AK31" s="50" t="s">
        <v>335</v>
      </c>
      <c r="AL31" s="51">
        <v>44666</v>
      </c>
      <c r="AM31" s="51">
        <v>44695</v>
      </c>
      <c r="AN31" s="52">
        <v>6</v>
      </c>
      <c r="AO31" s="53">
        <v>44736</v>
      </c>
      <c r="AP31" s="54">
        <f>365.87-9.08-59.87</f>
        <v>296.92</v>
      </c>
      <c r="AQ31" s="55"/>
      <c r="AR31" s="56"/>
      <c r="AS31" s="50" t="s">
        <v>336</v>
      </c>
      <c r="AT31" s="51">
        <v>44696</v>
      </c>
      <c r="AU31" s="51">
        <v>44726</v>
      </c>
      <c r="AV31" s="52">
        <v>13</v>
      </c>
      <c r="AW31" s="53">
        <v>44765</v>
      </c>
      <c r="AX31" s="54">
        <f>379.72-9.08-62.26</f>
        <v>308.38000000000005</v>
      </c>
      <c r="AY31" s="55"/>
      <c r="AZ31" s="56"/>
      <c r="BA31" s="50" t="s">
        <v>337</v>
      </c>
      <c r="BB31" s="51">
        <v>44727</v>
      </c>
      <c r="BC31" s="51">
        <v>44756</v>
      </c>
      <c r="BD31" s="52">
        <v>14</v>
      </c>
      <c r="BE31" s="53">
        <v>44794</v>
      </c>
      <c r="BF31" s="54">
        <f>394.4-9.08-64.76</f>
        <v>320.56</v>
      </c>
      <c r="BG31" s="55"/>
      <c r="BH31" s="56"/>
      <c r="BI31" s="50" t="s">
        <v>338</v>
      </c>
      <c r="BJ31" s="51">
        <v>44757</v>
      </c>
      <c r="BK31" s="51">
        <v>44787</v>
      </c>
      <c r="BL31" s="52">
        <v>16</v>
      </c>
      <c r="BM31" s="53">
        <v>44827</v>
      </c>
      <c r="BN31" s="54">
        <f>409.79-9.08-67.39</f>
        <v>333.32000000000005</v>
      </c>
      <c r="BO31" s="55"/>
      <c r="BP31" s="56"/>
      <c r="BQ31" s="50" t="s">
        <v>339</v>
      </c>
      <c r="BR31" s="51">
        <v>44788</v>
      </c>
      <c r="BS31" s="51">
        <v>44818</v>
      </c>
      <c r="BT31" s="52">
        <v>32</v>
      </c>
      <c r="BU31" s="53">
        <v>44856</v>
      </c>
      <c r="BV31" s="54">
        <v>358.47</v>
      </c>
      <c r="BW31" s="55"/>
      <c r="BX31" s="56"/>
      <c r="BY31" s="50" t="s">
        <v>340</v>
      </c>
      <c r="BZ31" s="51">
        <v>44819</v>
      </c>
      <c r="CA31" s="51">
        <v>44848</v>
      </c>
      <c r="CB31" s="52">
        <v>20</v>
      </c>
      <c r="CC31" s="53">
        <v>44888</v>
      </c>
      <c r="CD31" s="54">
        <v>374.97</v>
      </c>
      <c r="CE31" s="55"/>
      <c r="CF31" s="56"/>
      <c r="CG31" s="50"/>
      <c r="CH31" s="51"/>
      <c r="CI31" s="51"/>
      <c r="CJ31" s="52"/>
      <c r="CK31" s="53"/>
      <c r="CL31" s="54"/>
      <c r="CM31" s="55"/>
      <c r="CN31" s="56"/>
      <c r="CO31" s="58"/>
      <c r="CP31" s="59"/>
      <c r="CQ31" s="59"/>
      <c r="CR31" s="52"/>
      <c r="CS31" s="53"/>
      <c r="CT31" s="54"/>
      <c r="CU31" s="55"/>
      <c r="CV31" s="56"/>
      <c r="CW31" s="65">
        <v>9.08</v>
      </c>
      <c r="CX31" s="64">
        <v>73.28</v>
      </c>
      <c r="CY31" s="65"/>
      <c r="CZ31" s="66"/>
      <c r="DA31" s="43"/>
      <c r="DB31" s="63">
        <f t="shared" si="0"/>
        <v>103</v>
      </c>
      <c r="DC31" s="45">
        <f t="shared" si="1"/>
        <v>3314.0600000000004</v>
      </c>
    </row>
    <row r="32" spans="1:107" s="1" customFormat="1" x14ac:dyDescent="0.2">
      <c r="A32" s="46" t="s">
        <v>341</v>
      </c>
      <c r="B32" s="67" t="s">
        <v>342</v>
      </c>
      <c r="C32" s="48">
        <v>53092742</v>
      </c>
      <c r="D32" s="49" t="s">
        <v>343</v>
      </c>
      <c r="E32" s="50" t="s">
        <v>344</v>
      </c>
      <c r="F32" s="51"/>
      <c r="G32" s="51"/>
      <c r="H32" s="52"/>
      <c r="I32" s="53">
        <v>44613</v>
      </c>
      <c r="J32" s="54">
        <v>107.7</v>
      </c>
      <c r="K32" s="55"/>
      <c r="L32" s="56"/>
      <c r="M32" s="50" t="s">
        <v>345</v>
      </c>
      <c r="N32" s="51"/>
      <c r="O32" s="51"/>
      <c r="P32" s="52"/>
      <c r="Q32" s="53">
        <v>44644</v>
      </c>
      <c r="R32" s="54">
        <v>110.66</v>
      </c>
      <c r="S32" s="55"/>
      <c r="T32" s="56"/>
      <c r="U32" s="50" t="s">
        <v>346</v>
      </c>
      <c r="V32" s="51"/>
      <c r="W32" s="51"/>
      <c r="X32" s="52"/>
      <c r="Y32" s="53">
        <v>44673</v>
      </c>
      <c r="Z32" s="54">
        <v>113.59</v>
      </c>
      <c r="AA32" s="55"/>
      <c r="AB32" s="56"/>
      <c r="AC32" s="50" t="s">
        <v>347</v>
      </c>
      <c r="AD32" s="51">
        <v>44641</v>
      </c>
      <c r="AE32" s="51">
        <v>44671</v>
      </c>
      <c r="AF32" s="52">
        <v>0</v>
      </c>
      <c r="AG32" s="53">
        <v>44704</v>
      </c>
      <c r="AH32" s="54">
        <f>116.52-5.7-16.33</f>
        <v>94.49</v>
      </c>
      <c r="AI32" s="55"/>
      <c r="AJ32" s="56"/>
      <c r="AK32" s="50" t="s">
        <v>348</v>
      </c>
      <c r="AL32" s="51">
        <v>44672</v>
      </c>
      <c r="AM32" s="51">
        <v>44701</v>
      </c>
      <c r="AN32" s="52">
        <v>0</v>
      </c>
      <c r="AO32" s="53">
        <v>44736</v>
      </c>
      <c r="AP32" s="54">
        <f>119.49-5.7-17.19</f>
        <v>96.6</v>
      </c>
      <c r="AQ32" s="55"/>
      <c r="AR32" s="56"/>
      <c r="AS32" s="50" t="s">
        <v>349</v>
      </c>
      <c r="AT32" s="51">
        <v>44702</v>
      </c>
      <c r="AU32" s="51">
        <v>44732</v>
      </c>
      <c r="AV32" s="52">
        <v>0</v>
      </c>
      <c r="AW32" s="53">
        <v>44765</v>
      </c>
      <c r="AX32" s="54">
        <f>122.47-5.7-18.07</f>
        <v>98.699999999999989</v>
      </c>
      <c r="AY32" s="55"/>
      <c r="AZ32" s="56"/>
      <c r="BA32" s="50" t="s">
        <v>350</v>
      </c>
      <c r="BB32" s="51">
        <v>44733</v>
      </c>
      <c r="BC32" s="51">
        <v>44762</v>
      </c>
      <c r="BD32" s="69">
        <v>0</v>
      </c>
      <c r="BE32" s="53">
        <v>44794</v>
      </c>
      <c r="BF32" s="54">
        <f>125.47-5.7-18.97</f>
        <v>100.8</v>
      </c>
      <c r="BG32" s="55"/>
      <c r="BH32" s="56"/>
      <c r="BI32" s="50" t="s">
        <v>351</v>
      </c>
      <c r="BJ32" s="51">
        <v>44763</v>
      </c>
      <c r="BK32" s="51">
        <v>44793</v>
      </c>
      <c r="BL32" s="52">
        <v>1</v>
      </c>
      <c r="BM32" s="53">
        <v>44827</v>
      </c>
      <c r="BN32" s="54">
        <f>128.64-5.7-19.89</f>
        <v>103.04999999999998</v>
      </c>
      <c r="BO32" s="55"/>
      <c r="BP32" s="56"/>
      <c r="BQ32" s="50" t="s">
        <v>352</v>
      </c>
      <c r="BR32" s="51">
        <v>44794</v>
      </c>
      <c r="BS32" s="51">
        <v>44824</v>
      </c>
      <c r="BT32" s="52">
        <v>0</v>
      </c>
      <c r="BU32" s="53">
        <v>44856</v>
      </c>
      <c r="BV32" s="54">
        <v>105.13999999999999</v>
      </c>
      <c r="BW32" s="55"/>
      <c r="BX32" s="56"/>
      <c r="BY32" s="50" t="s">
        <v>353</v>
      </c>
      <c r="BZ32" s="51">
        <v>44825</v>
      </c>
      <c r="CA32" s="51">
        <v>44854</v>
      </c>
      <c r="CB32" s="52">
        <v>1</v>
      </c>
      <c r="CC32" s="53">
        <v>44888</v>
      </c>
      <c r="CD32" s="54">
        <v>108.25000000000001</v>
      </c>
      <c r="CE32" s="55"/>
      <c r="CF32" s="56"/>
      <c r="CG32" s="50"/>
      <c r="CH32" s="51"/>
      <c r="CI32" s="51"/>
      <c r="CJ32" s="52"/>
      <c r="CK32" s="53"/>
      <c r="CL32" s="54"/>
      <c r="CM32" s="55"/>
      <c r="CN32" s="56"/>
      <c r="CO32" s="58"/>
      <c r="CP32" s="59"/>
      <c r="CQ32" s="59"/>
      <c r="CR32" s="52"/>
      <c r="CS32" s="53"/>
      <c r="CT32" s="54"/>
      <c r="CU32" s="55"/>
      <c r="CV32" s="56"/>
      <c r="CW32" s="65">
        <v>5.7</v>
      </c>
      <c r="CX32" s="64">
        <v>21.83</v>
      </c>
      <c r="CY32" s="65"/>
      <c r="CZ32" s="66"/>
      <c r="DA32" s="43"/>
      <c r="DB32" s="63">
        <f t="shared" si="0"/>
        <v>2</v>
      </c>
      <c r="DC32" s="45">
        <f t="shared" si="1"/>
        <v>1038.98</v>
      </c>
    </row>
    <row r="33" spans="1:108" s="1" customFormat="1" x14ac:dyDescent="0.2">
      <c r="A33" s="46" t="s">
        <v>354</v>
      </c>
      <c r="B33" s="67" t="s">
        <v>355</v>
      </c>
      <c r="C33" s="48">
        <v>53149879</v>
      </c>
      <c r="D33" s="49" t="s">
        <v>318</v>
      </c>
      <c r="E33" s="50" t="s">
        <v>356</v>
      </c>
      <c r="F33" s="51"/>
      <c r="G33" s="51"/>
      <c r="H33" s="52"/>
      <c r="I33" s="53">
        <v>44613</v>
      </c>
      <c r="J33" s="54">
        <v>105.89</v>
      </c>
      <c r="K33" s="55"/>
      <c r="L33" s="56"/>
      <c r="M33" s="50" t="s">
        <v>357</v>
      </c>
      <c r="N33" s="51"/>
      <c r="O33" s="51"/>
      <c r="P33" s="52"/>
      <c r="Q33" s="53">
        <v>44644</v>
      </c>
      <c r="R33" s="54">
        <v>108.8</v>
      </c>
      <c r="S33" s="55"/>
      <c r="T33" s="56"/>
      <c r="U33" s="50" t="s">
        <v>358</v>
      </c>
      <c r="V33" s="51"/>
      <c r="W33" s="51"/>
      <c r="X33" s="52"/>
      <c r="Y33" s="53">
        <v>44673</v>
      </c>
      <c r="Z33" s="54">
        <v>111.73</v>
      </c>
      <c r="AA33" s="55"/>
      <c r="AB33" s="56"/>
      <c r="AC33" s="50" t="s">
        <v>359</v>
      </c>
      <c r="AD33" s="51">
        <v>44641</v>
      </c>
      <c r="AE33" s="51">
        <v>44671</v>
      </c>
      <c r="AF33" s="52">
        <v>0</v>
      </c>
      <c r="AG33" s="53">
        <v>44704</v>
      </c>
      <c r="AH33" s="54">
        <f>114.68-4.95-18.65</f>
        <v>91.080000000000013</v>
      </c>
      <c r="AI33" s="55"/>
      <c r="AJ33" s="56"/>
      <c r="AK33" s="50" t="s">
        <v>360</v>
      </c>
      <c r="AL33" s="51">
        <v>44672</v>
      </c>
      <c r="AM33" s="51">
        <v>44701</v>
      </c>
      <c r="AN33" s="52">
        <v>15</v>
      </c>
      <c r="AO33" s="53">
        <v>44736</v>
      </c>
      <c r="AP33" s="54">
        <f>128.45-4.95-19.52</f>
        <v>103.97999999999999</v>
      </c>
      <c r="AQ33" s="55"/>
      <c r="AR33" s="56"/>
      <c r="AS33" s="50" t="s">
        <v>361</v>
      </c>
      <c r="AT33" s="51">
        <v>44702</v>
      </c>
      <c r="AU33" s="51">
        <v>44732</v>
      </c>
      <c r="AV33" s="52">
        <v>15</v>
      </c>
      <c r="AW33" s="53">
        <v>44765</v>
      </c>
      <c r="AX33" s="54">
        <f>142.24-4.95-20.41</f>
        <v>116.88000000000002</v>
      </c>
      <c r="AY33" s="55"/>
      <c r="AZ33" s="56"/>
      <c r="BA33" s="50" t="s">
        <v>362</v>
      </c>
      <c r="BB33" s="51">
        <v>44733</v>
      </c>
      <c r="BC33" s="51">
        <v>44762</v>
      </c>
      <c r="BD33" s="52">
        <v>15</v>
      </c>
      <c r="BE33" s="53">
        <v>44794</v>
      </c>
      <c r="BF33" s="54">
        <f>156.22-4.95-21.49</f>
        <v>129.78</v>
      </c>
      <c r="BG33" s="55"/>
      <c r="BH33" s="56"/>
      <c r="BI33" s="50" t="s">
        <v>363</v>
      </c>
      <c r="BJ33" s="51">
        <v>44763</v>
      </c>
      <c r="BK33" s="51">
        <v>44793</v>
      </c>
      <c r="BL33" s="52">
        <v>15</v>
      </c>
      <c r="BM33" s="53">
        <v>44827</v>
      </c>
      <c r="BN33" s="54">
        <f>170.32-4.95-22.69</f>
        <v>142.68</v>
      </c>
      <c r="BO33" s="55"/>
      <c r="BP33" s="56"/>
      <c r="BQ33" s="50" t="s">
        <v>364</v>
      </c>
      <c r="BR33" s="51">
        <v>44794</v>
      </c>
      <c r="BS33" s="51">
        <v>44824</v>
      </c>
      <c r="BT33" s="52">
        <v>0</v>
      </c>
      <c r="BU33" s="53">
        <v>44856</v>
      </c>
      <c r="BV33" s="54">
        <v>101.58</v>
      </c>
      <c r="BW33" s="55"/>
      <c r="BX33" s="56"/>
      <c r="BY33" s="50" t="s">
        <v>365</v>
      </c>
      <c r="BZ33" s="51">
        <v>44825</v>
      </c>
      <c r="CA33" s="51">
        <v>44854</v>
      </c>
      <c r="CB33" s="52">
        <v>1</v>
      </c>
      <c r="CC33" s="53">
        <v>44888</v>
      </c>
      <c r="CD33" s="54">
        <v>104.4</v>
      </c>
      <c r="CE33" s="55"/>
      <c r="CF33" s="56"/>
      <c r="CG33" s="50"/>
      <c r="CH33" s="51"/>
      <c r="CI33" s="51"/>
      <c r="CJ33" s="52"/>
      <c r="CK33" s="53"/>
      <c r="CL33" s="54"/>
      <c r="CM33" s="55"/>
      <c r="CN33" s="56"/>
      <c r="CO33" s="58"/>
      <c r="CP33" s="59"/>
      <c r="CQ33" s="59"/>
      <c r="CR33" s="52"/>
      <c r="CS33" s="53"/>
      <c r="CT33" s="54"/>
      <c r="CU33" s="55"/>
      <c r="CV33" s="56"/>
      <c r="CW33" s="65">
        <v>4.95</v>
      </c>
      <c r="CX33" s="64">
        <v>24.97</v>
      </c>
      <c r="CY33" s="65"/>
      <c r="CZ33" s="66"/>
      <c r="DB33" s="63">
        <f t="shared" si="0"/>
        <v>61</v>
      </c>
      <c r="DC33" s="45">
        <f t="shared" si="1"/>
        <v>1116.8</v>
      </c>
    </row>
    <row r="34" spans="1:108" s="1" customFormat="1" x14ac:dyDescent="0.2">
      <c r="A34" s="70" t="s">
        <v>366</v>
      </c>
      <c r="B34" s="47" t="s">
        <v>367</v>
      </c>
      <c r="C34" s="48">
        <v>53153716</v>
      </c>
      <c r="D34" s="49" t="s">
        <v>318</v>
      </c>
      <c r="E34" s="50" t="s">
        <v>368</v>
      </c>
      <c r="F34" s="51"/>
      <c r="G34" s="51"/>
      <c r="H34" s="52"/>
      <c r="I34" s="53">
        <v>44613</v>
      </c>
      <c r="J34" s="54">
        <v>433.88</v>
      </c>
      <c r="K34" s="55"/>
      <c r="L34" s="56"/>
      <c r="M34" s="50" t="s">
        <v>369</v>
      </c>
      <c r="N34" s="51"/>
      <c r="O34" s="51"/>
      <c r="P34" s="52"/>
      <c r="Q34" s="53">
        <v>44644</v>
      </c>
      <c r="R34" s="54">
        <v>452.79</v>
      </c>
      <c r="S34" s="55"/>
      <c r="T34" s="56"/>
      <c r="U34" s="50" t="s">
        <v>370</v>
      </c>
      <c r="V34" s="51"/>
      <c r="W34" s="51"/>
      <c r="X34" s="52"/>
      <c r="Y34" s="53">
        <v>44673</v>
      </c>
      <c r="Z34" s="54">
        <v>471.73</v>
      </c>
      <c r="AA34" s="55"/>
      <c r="AB34" s="56"/>
      <c r="AC34" s="50" t="s">
        <v>371</v>
      </c>
      <c r="AD34" s="51">
        <v>44641</v>
      </c>
      <c r="AE34" s="51">
        <v>44671</v>
      </c>
      <c r="AF34" s="52">
        <v>19</v>
      </c>
      <c r="AG34" s="53">
        <v>44704</v>
      </c>
      <c r="AH34" s="54">
        <f>490.59-5-75.69</f>
        <v>409.9</v>
      </c>
      <c r="AI34" s="55"/>
      <c r="AJ34" s="56"/>
      <c r="AK34" s="50" t="s">
        <v>372</v>
      </c>
      <c r="AL34" s="51">
        <v>44672</v>
      </c>
      <c r="AM34" s="51">
        <v>44701</v>
      </c>
      <c r="AN34" s="52">
        <v>19</v>
      </c>
      <c r="AO34" s="53">
        <v>44736</v>
      </c>
      <c r="AP34" s="54">
        <f>509.55-5-78.87</f>
        <v>425.68</v>
      </c>
      <c r="AQ34" s="55"/>
      <c r="AR34" s="56"/>
      <c r="AS34" s="50" t="s">
        <v>373</v>
      </c>
      <c r="AT34" s="51">
        <v>44702</v>
      </c>
      <c r="AU34" s="51">
        <v>44732</v>
      </c>
      <c r="AV34" s="52">
        <v>19</v>
      </c>
      <c r="AW34" s="53">
        <v>44765</v>
      </c>
      <c r="AX34" s="54">
        <f>528.63-5-82.17</f>
        <v>441.46</v>
      </c>
      <c r="AY34" s="55"/>
      <c r="AZ34" s="56"/>
      <c r="BA34" s="50" t="s">
        <v>374</v>
      </c>
      <c r="BB34" s="51">
        <v>44733</v>
      </c>
      <c r="BC34" s="51">
        <v>44762</v>
      </c>
      <c r="BD34" s="52">
        <v>19</v>
      </c>
      <c r="BE34" s="53">
        <v>44794</v>
      </c>
      <c r="BF34" s="54">
        <f>548.11-5-85.87</f>
        <v>457.24</v>
      </c>
      <c r="BG34" s="55"/>
      <c r="BH34" s="56"/>
      <c r="BI34" s="50" t="s">
        <v>375</v>
      </c>
      <c r="BJ34" s="51">
        <v>44763</v>
      </c>
      <c r="BK34" s="51">
        <v>44793</v>
      </c>
      <c r="BL34" s="52">
        <v>19</v>
      </c>
      <c r="BM34" s="53">
        <v>44827</v>
      </c>
      <c r="BN34" s="54">
        <f>566.87-5-89.71</f>
        <v>472.16</v>
      </c>
      <c r="BO34" s="55"/>
      <c r="BP34" s="56"/>
      <c r="BQ34" s="50" t="s">
        <v>376</v>
      </c>
      <c r="BR34" s="51">
        <v>44794</v>
      </c>
      <c r="BS34" s="51">
        <v>44824</v>
      </c>
      <c r="BT34" s="52">
        <v>19</v>
      </c>
      <c r="BU34" s="53">
        <v>44856</v>
      </c>
      <c r="BV34" s="54">
        <v>487.95</v>
      </c>
      <c r="BW34" s="55"/>
      <c r="BX34" s="56"/>
      <c r="BY34" s="50" t="s">
        <v>377</v>
      </c>
      <c r="BZ34" s="51">
        <v>44825</v>
      </c>
      <c r="CA34" s="51">
        <v>44854</v>
      </c>
      <c r="CB34" s="52">
        <v>19</v>
      </c>
      <c r="CC34" s="53">
        <v>44888</v>
      </c>
      <c r="CD34" s="54">
        <v>503.73</v>
      </c>
      <c r="CE34" s="55"/>
      <c r="CF34" s="56"/>
      <c r="CG34" s="50"/>
      <c r="CH34" s="51"/>
      <c r="CI34" s="51"/>
      <c r="CJ34" s="52"/>
      <c r="CK34" s="53"/>
      <c r="CL34" s="54"/>
      <c r="CM34" s="55"/>
      <c r="CN34" s="56"/>
      <c r="CO34" s="58"/>
      <c r="CP34" s="59"/>
      <c r="CQ34" s="59"/>
      <c r="CR34" s="52"/>
      <c r="CS34" s="53"/>
      <c r="CT34" s="54"/>
      <c r="CU34" s="55"/>
      <c r="CV34" s="56"/>
      <c r="CW34" s="65">
        <v>5</v>
      </c>
      <c r="CX34" s="64">
        <v>97.99</v>
      </c>
      <c r="CY34" s="65"/>
      <c r="CZ34" s="73"/>
      <c r="DA34" s="43"/>
      <c r="DB34" s="74">
        <f>+H34+P34+X34+AF34+AN34+AV34+BD34+BL34+BT34+CB34+CJ34+CR34</f>
        <v>133</v>
      </c>
      <c r="DC34" s="75">
        <f>J34+R34+Z34+AH34+AP34+AX34+BF34+BN34+BV34+CD34+CL34+CT34</f>
        <v>4556.5200000000004</v>
      </c>
    </row>
    <row r="35" spans="1:108" s="1" customFormat="1" x14ac:dyDescent="0.2">
      <c r="A35" s="46" t="s">
        <v>378</v>
      </c>
      <c r="B35" s="67" t="s">
        <v>379</v>
      </c>
      <c r="C35" s="48">
        <v>53181488</v>
      </c>
      <c r="D35" s="49" t="s">
        <v>318</v>
      </c>
      <c r="E35" s="50" t="s">
        <v>380</v>
      </c>
      <c r="F35" s="51"/>
      <c r="G35" s="51"/>
      <c r="H35" s="52"/>
      <c r="I35" s="53">
        <v>44613</v>
      </c>
      <c r="J35" s="54">
        <v>114.19</v>
      </c>
      <c r="K35" s="55"/>
      <c r="L35" s="56"/>
      <c r="M35" s="50" t="s">
        <v>381</v>
      </c>
      <c r="N35" s="51"/>
      <c r="O35" s="51"/>
      <c r="P35" s="52"/>
      <c r="Q35" s="53">
        <v>44644</v>
      </c>
      <c r="R35" s="54">
        <v>117.12</v>
      </c>
      <c r="S35" s="55"/>
      <c r="T35" s="56"/>
      <c r="U35" s="50" t="s">
        <v>382</v>
      </c>
      <c r="V35" s="51"/>
      <c r="W35" s="51"/>
      <c r="X35" s="52"/>
      <c r="Y35" s="53">
        <v>44673</v>
      </c>
      <c r="Z35" s="54">
        <v>120.07</v>
      </c>
      <c r="AA35" s="55"/>
      <c r="AB35" s="56"/>
      <c r="AC35" s="50" t="s">
        <v>383</v>
      </c>
      <c r="AD35" s="51">
        <v>44641</v>
      </c>
      <c r="AE35" s="51">
        <v>44671</v>
      </c>
      <c r="AF35" s="52">
        <v>0</v>
      </c>
      <c r="AG35" s="53">
        <v>44704</v>
      </c>
      <c r="AH35" s="54">
        <f>123.04-9.56-20.02</f>
        <v>93.460000000000008</v>
      </c>
      <c r="AI35" s="55"/>
      <c r="AJ35" s="56"/>
      <c r="AK35" s="50" t="s">
        <v>384</v>
      </c>
      <c r="AL35" s="51">
        <v>44672</v>
      </c>
      <c r="AM35" s="51">
        <v>44701</v>
      </c>
      <c r="AN35" s="52">
        <v>0</v>
      </c>
      <c r="AO35" s="53">
        <v>44736</v>
      </c>
      <c r="AP35" s="54">
        <f>126.03-9.56-20.91</f>
        <v>95.56</v>
      </c>
      <c r="AQ35" s="55"/>
      <c r="AR35" s="56"/>
      <c r="AS35" s="50" t="s">
        <v>385</v>
      </c>
      <c r="AT35" s="51">
        <v>44702</v>
      </c>
      <c r="AU35" s="51">
        <v>44732</v>
      </c>
      <c r="AV35" s="52">
        <v>0</v>
      </c>
      <c r="AW35" s="53">
        <v>44765</v>
      </c>
      <c r="AX35" s="54">
        <f>129.04-9.56-21.82</f>
        <v>97.66</v>
      </c>
      <c r="AY35" s="55"/>
      <c r="AZ35" s="56"/>
      <c r="BA35" s="50" t="s">
        <v>386</v>
      </c>
      <c r="BB35" s="51">
        <v>44733</v>
      </c>
      <c r="BC35" s="51">
        <v>44762</v>
      </c>
      <c r="BD35" s="52">
        <v>0</v>
      </c>
      <c r="BE35" s="53">
        <v>44794</v>
      </c>
      <c r="BF35" s="54">
        <f>132.07-9.56-22.75</f>
        <v>99.759999999999991</v>
      </c>
      <c r="BG35" s="55"/>
      <c r="BH35" s="56"/>
      <c r="BI35" s="50" t="s">
        <v>387</v>
      </c>
      <c r="BJ35" s="51">
        <v>44763</v>
      </c>
      <c r="BK35" s="51">
        <v>44793</v>
      </c>
      <c r="BL35" s="52">
        <v>2</v>
      </c>
      <c r="BM35" s="53">
        <v>44827</v>
      </c>
      <c r="BN35" s="54">
        <f>136.56-9.56-23.7</f>
        <v>103.3</v>
      </c>
      <c r="BO35" s="55"/>
      <c r="BP35" s="56"/>
      <c r="BQ35" s="50" t="s">
        <v>388</v>
      </c>
      <c r="BR35" s="51">
        <v>44794</v>
      </c>
      <c r="BS35" s="51">
        <v>44824</v>
      </c>
      <c r="BT35" s="52">
        <v>3</v>
      </c>
      <c r="BU35" s="53">
        <v>44856</v>
      </c>
      <c r="BV35" s="54">
        <v>107.55999999999999</v>
      </c>
      <c r="BW35" s="55"/>
      <c r="BX35" s="56"/>
      <c r="BY35" s="50" t="s">
        <v>389</v>
      </c>
      <c r="BZ35" s="51">
        <v>44825</v>
      </c>
      <c r="CA35" s="51">
        <v>44854</v>
      </c>
      <c r="CB35" s="52">
        <v>6</v>
      </c>
      <c r="CC35" s="53">
        <v>44888</v>
      </c>
      <c r="CD35" s="54">
        <v>113.97999999999999</v>
      </c>
      <c r="CE35" s="55"/>
      <c r="CF35" s="56"/>
      <c r="CG35" s="50"/>
      <c r="CH35" s="51"/>
      <c r="CI35" s="51"/>
      <c r="CJ35" s="52"/>
      <c r="CK35" s="53"/>
      <c r="CL35" s="54"/>
      <c r="CM35" s="55"/>
      <c r="CN35" s="56"/>
      <c r="CO35" s="58"/>
      <c r="CP35" s="59"/>
      <c r="CQ35" s="59"/>
      <c r="CR35" s="52"/>
      <c r="CS35" s="53"/>
      <c r="CT35" s="54"/>
      <c r="CU35" s="55"/>
      <c r="CV35" s="56"/>
      <c r="CW35" s="65">
        <v>9.56</v>
      </c>
      <c r="CX35" s="64">
        <v>25.68</v>
      </c>
      <c r="CY35" s="65"/>
      <c r="CZ35" s="73"/>
      <c r="DA35" s="43"/>
      <c r="DB35" s="74">
        <f>+H35+P35+X35+AF35+AN35+AV35+BD35+BL35+BT35+CB35+CJ35+CR35</f>
        <v>11</v>
      </c>
      <c r="DC35" s="75">
        <f>J35+R35+Z35+AH35+AP35+AX35+BF35+BN35+BV35+CD35+CL35+CT35</f>
        <v>1062.6599999999999</v>
      </c>
    </row>
    <row r="36" spans="1:108" s="1" customFormat="1" x14ac:dyDescent="0.2">
      <c r="A36" s="46" t="s">
        <v>390</v>
      </c>
      <c r="B36" s="47">
        <v>1715970053</v>
      </c>
      <c r="C36" s="48">
        <v>57092768</v>
      </c>
      <c r="D36" s="49" t="s">
        <v>135</v>
      </c>
      <c r="E36" s="50" t="s">
        <v>391</v>
      </c>
      <c r="F36" s="51"/>
      <c r="G36" s="51"/>
      <c r="H36" s="52"/>
      <c r="I36" s="53">
        <v>44613</v>
      </c>
      <c r="J36" s="54">
        <v>301.52</v>
      </c>
      <c r="K36" s="55"/>
      <c r="L36" s="56"/>
      <c r="M36" s="50" t="s">
        <v>392</v>
      </c>
      <c r="N36" s="51"/>
      <c r="O36" s="51"/>
      <c r="P36" s="52"/>
      <c r="Q36" s="53">
        <v>44644</v>
      </c>
      <c r="R36" s="54">
        <v>315.49</v>
      </c>
      <c r="S36" s="55"/>
      <c r="T36" s="56"/>
      <c r="U36" s="50" t="s">
        <v>393</v>
      </c>
      <c r="V36" s="51"/>
      <c r="W36" s="51"/>
      <c r="X36" s="52"/>
      <c r="Y36" s="53">
        <v>44673</v>
      </c>
      <c r="Z36" s="54">
        <v>329.53</v>
      </c>
      <c r="AA36" s="55"/>
      <c r="AB36" s="56"/>
      <c r="AC36" s="50" t="s">
        <v>394</v>
      </c>
      <c r="AD36" s="51">
        <v>44631</v>
      </c>
      <c r="AE36" s="51">
        <v>44661</v>
      </c>
      <c r="AF36" s="52">
        <v>8</v>
      </c>
      <c r="AG36" s="53">
        <v>44704</v>
      </c>
      <c r="AH36" s="54">
        <f>341.69-9.56-59.28</f>
        <v>272.85000000000002</v>
      </c>
      <c r="AI36" s="55"/>
      <c r="AJ36" s="56"/>
      <c r="AK36" s="50" t="s">
        <v>395</v>
      </c>
      <c r="AL36" s="51">
        <v>44662</v>
      </c>
      <c r="AM36" s="51">
        <v>44691</v>
      </c>
      <c r="AN36" s="52">
        <v>8</v>
      </c>
      <c r="AO36" s="53">
        <v>44736</v>
      </c>
      <c r="AP36" s="54">
        <f>353.93-9.56-61.44</f>
        <v>282.93</v>
      </c>
      <c r="AQ36" s="55"/>
      <c r="AR36" s="56"/>
      <c r="AS36" s="50" t="s">
        <v>396</v>
      </c>
      <c r="AT36" s="51">
        <v>44692</v>
      </c>
      <c r="AU36" s="51">
        <v>44722</v>
      </c>
      <c r="AV36" s="52">
        <v>9</v>
      </c>
      <c r="AW36" s="53">
        <v>44765</v>
      </c>
      <c r="AX36" s="54">
        <f>367.24-9.56-63.67</f>
        <v>294.01</v>
      </c>
      <c r="AY36" s="55"/>
      <c r="AZ36" s="56"/>
      <c r="BA36" s="50" t="s">
        <v>397</v>
      </c>
      <c r="BB36" s="51">
        <v>44723</v>
      </c>
      <c r="BC36" s="51">
        <v>44752</v>
      </c>
      <c r="BD36" s="52">
        <v>9</v>
      </c>
      <c r="BE36" s="53">
        <v>44794</v>
      </c>
      <c r="BF36" s="54">
        <f>380.69-9.56-66.04</f>
        <v>305.08999999999997</v>
      </c>
      <c r="BG36" s="55"/>
      <c r="BH36" s="56"/>
      <c r="BI36" s="50" t="s">
        <v>398</v>
      </c>
      <c r="BJ36" s="51">
        <v>44753</v>
      </c>
      <c r="BK36" s="51">
        <v>44783</v>
      </c>
      <c r="BL36" s="52">
        <v>9</v>
      </c>
      <c r="BM36" s="53">
        <v>44827</v>
      </c>
      <c r="BN36" s="54">
        <f>394.24-9.56-68.51</f>
        <v>316.17</v>
      </c>
      <c r="BO36" s="55"/>
      <c r="BP36" s="56"/>
      <c r="BQ36" s="50" t="s">
        <v>399</v>
      </c>
      <c r="BR36" s="51">
        <v>44784</v>
      </c>
      <c r="BS36" s="51">
        <v>44814</v>
      </c>
      <c r="BT36" s="52">
        <v>9</v>
      </c>
      <c r="BU36" s="53">
        <v>44856</v>
      </c>
      <c r="BV36" s="54">
        <v>327.25</v>
      </c>
      <c r="BW36" s="55"/>
      <c r="BX36" s="56"/>
      <c r="BY36" s="50" t="s">
        <v>400</v>
      </c>
      <c r="BZ36" s="51">
        <v>44815</v>
      </c>
      <c r="CA36" s="51">
        <v>44844</v>
      </c>
      <c r="CB36" s="52">
        <v>9</v>
      </c>
      <c r="CC36" s="53">
        <v>44888</v>
      </c>
      <c r="CD36" s="54">
        <v>338.33</v>
      </c>
      <c r="CE36" s="55"/>
      <c r="CF36" s="56"/>
      <c r="CG36" s="50"/>
      <c r="CH36" s="51"/>
      <c r="CI36" s="51"/>
      <c r="CJ36" s="52"/>
      <c r="CK36" s="53"/>
      <c r="CL36" s="54"/>
      <c r="CM36" s="55"/>
      <c r="CN36" s="56"/>
      <c r="CO36" s="58"/>
      <c r="CP36" s="59"/>
      <c r="CQ36" s="59"/>
      <c r="CR36" s="52"/>
      <c r="CS36" s="53"/>
      <c r="CT36" s="54"/>
      <c r="CU36" s="55"/>
      <c r="CV36" s="56"/>
      <c r="CW36" s="65">
        <v>9.56</v>
      </c>
      <c r="CX36" s="64">
        <v>74.010000000000005</v>
      </c>
      <c r="CY36" s="65"/>
      <c r="CZ36" s="73"/>
      <c r="DB36" s="74">
        <f>+H36+P36+X36+AF36+AN36+AV36+BD36+BL36+BT36+CB36+CJ36+CR36</f>
        <v>61</v>
      </c>
      <c r="DC36" s="75">
        <f>J36+R36+Z36+AH36+AP36+AX36+BF36+BN36+BV36+CD36+CL36+CT36</f>
        <v>3083.17</v>
      </c>
    </row>
    <row r="37" spans="1:108" s="1" customFormat="1" x14ac:dyDescent="0.2">
      <c r="A37" s="46" t="s">
        <v>401</v>
      </c>
      <c r="B37" s="47" t="s">
        <v>402</v>
      </c>
      <c r="C37" s="48">
        <v>59150790</v>
      </c>
      <c r="D37" s="49" t="s">
        <v>403</v>
      </c>
      <c r="E37" s="50" t="s">
        <v>404</v>
      </c>
      <c r="F37" s="51"/>
      <c r="G37" s="51"/>
      <c r="H37" s="52"/>
      <c r="I37" s="53">
        <v>44613</v>
      </c>
      <c r="J37" s="54">
        <v>181.41</v>
      </c>
      <c r="K37" s="55"/>
      <c r="L37" s="56"/>
      <c r="M37" s="50" t="s">
        <v>405</v>
      </c>
      <c r="N37" s="51"/>
      <c r="O37" s="51"/>
      <c r="P37" s="52"/>
      <c r="Q37" s="53">
        <v>44644</v>
      </c>
      <c r="R37" s="54">
        <v>185.5</v>
      </c>
      <c r="S37" s="55"/>
      <c r="T37" s="56"/>
      <c r="U37" s="50" t="s">
        <v>406</v>
      </c>
      <c r="V37" s="51"/>
      <c r="W37" s="51"/>
      <c r="X37" s="52"/>
      <c r="Y37" s="53">
        <v>44673</v>
      </c>
      <c r="Z37" s="54">
        <v>188.89</v>
      </c>
      <c r="AA37" s="55"/>
      <c r="AB37" s="56"/>
      <c r="AC37" s="50" t="s">
        <v>407</v>
      </c>
      <c r="AD37" s="51">
        <v>44635</v>
      </c>
      <c r="AE37" s="51">
        <v>44665</v>
      </c>
      <c r="AF37" s="52">
        <v>0</v>
      </c>
      <c r="AG37" s="53">
        <v>44704</v>
      </c>
      <c r="AH37" s="54">
        <f>192.29-6.06-36.62</f>
        <v>149.60999999999999</v>
      </c>
      <c r="AI37" s="55"/>
      <c r="AJ37" s="56"/>
      <c r="AK37" s="50" t="s">
        <v>408</v>
      </c>
      <c r="AL37" s="51">
        <v>44666</v>
      </c>
      <c r="AM37" s="51">
        <v>44695</v>
      </c>
      <c r="AN37" s="52">
        <v>0</v>
      </c>
      <c r="AO37" s="53">
        <v>44736</v>
      </c>
      <c r="AP37" s="54">
        <f>195.7-6.06-37.93</f>
        <v>151.70999999999998</v>
      </c>
      <c r="AQ37" s="55"/>
      <c r="AR37" s="56"/>
      <c r="AS37" s="50" t="s">
        <v>409</v>
      </c>
      <c r="AT37" s="51">
        <v>44696</v>
      </c>
      <c r="AU37" s="51">
        <v>44726</v>
      </c>
      <c r="AV37" s="52">
        <v>0</v>
      </c>
      <c r="AW37" s="53">
        <v>44765</v>
      </c>
      <c r="AX37" s="54">
        <f>199.13-6.06-39.26</f>
        <v>153.81</v>
      </c>
      <c r="AY37" s="55"/>
      <c r="AZ37" s="56"/>
      <c r="BA37" s="50" t="s">
        <v>410</v>
      </c>
      <c r="BB37" s="51">
        <v>44727</v>
      </c>
      <c r="BC37" s="51">
        <v>44756</v>
      </c>
      <c r="BD37" s="52">
        <v>0</v>
      </c>
      <c r="BE37" s="53">
        <v>44794</v>
      </c>
      <c r="BF37" s="54">
        <f>202.6-6.06-40.63</f>
        <v>155.91</v>
      </c>
      <c r="BG37" s="55"/>
      <c r="BH37" s="56"/>
      <c r="BI37" s="50" t="s">
        <v>411</v>
      </c>
      <c r="BJ37" s="51">
        <v>44757</v>
      </c>
      <c r="BK37" s="51">
        <v>44787</v>
      </c>
      <c r="BL37" s="52">
        <v>0</v>
      </c>
      <c r="BM37" s="53">
        <v>44827</v>
      </c>
      <c r="BN37" s="54">
        <f>206.09-6.06-42.02</f>
        <v>158.01</v>
      </c>
      <c r="BO37" s="55"/>
      <c r="BP37" s="56"/>
      <c r="BQ37" s="50" t="s">
        <v>412</v>
      </c>
      <c r="BR37" s="51">
        <v>44788</v>
      </c>
      <c r="BS37" s="51">
        <v>44818</v>
      </c>
      <c r="BT37" s="52">
        <v>0</v>
      </c>
      <c r="BU37" s="53">
        <v>44856</v>
      </c>
      <c r="BV37" s="54">
        <v>160.10999999999999</v>
      </c>
      <c r="BW37" s="55"/>
      <c r="BX37" s="56"/>
      <c r="BY37" s="50" t="s">
        <v>413</v>
      </c>
      <c r="BZ37" s="51">
        <v>44819</v>
      </c>
      <c r="CA37" s="51">
        <v>44848</v>
      </c>
      <c r="CB37" s="52">
        <v>0</v>
      </c>
      <c r="CC37" s="53">
        <v>44888</v>
      </c>
      <c r="CD37" s="54">
        <v>162.20999999999998</v>
      </c>
      <c r="CE37" s="55"/>
      <c r="CF37" s="56"/>
      <c r="CG37" s="50"/>
      <c r="CH37" s="51"/>
      <c r="CI37" s="51"/>
      <c r="CJ37" s="52"/>
      <c r="CK37" s="53"/>
      <c r="CL37" s="54"/>
      <c r="CM37" s="55"/>
      <c r="CN37" s="56"/>
      <c r="CO37" s="58"/>
      <c r="CP37" s="59"/>
      <c r="CQ37" s="59"/>
      <c r="CR37" s="52"/>
      <c r="CS37" s="53"/>
      <c r="CT37" s="54"/>
      <c r="CU37" s="55"/>
      <c r="CV37" s="56"/>
      <c r="CW37" s="65">
        <v>6.06</v>
      </c>
      <c r="CX37" s="64">
        <v>44.93</v>
      </c>
      <c r="CY37" s="65"/>
      <c r="CZ37" s="66"/>
      <c r="DA37" s="43"/>
      <c r="DB37" s="63">
        <f t="shared" si="0"/>
        <v>0</v>
      </c>
      <c r="DC37" s="45">
        <f t="shared" si="1"/>
        <v>1647.1699999999998</v>
      </c>
    </row>
    <row r="38" spans="1:108" s="1" customFormat="1" x14ac:dyDescent="0.2">
      <c r="A38" s="70" t="s">
        <v>414</v>
      </c>
      <c r="B38" s="47">
        <v>1715970031</v>
      </c>
      <c r="C38" s="48">
        <v>63092727</v>
      </c>
      <c r="D38" s="49" t="s">
        <v>135</v>
      </c>
      <c r="E38" s="50" t="s">
        <v>415</v>
      </c>
      <c r="F38" s="51"/>
      <c r="G38" s="51"/>
      <c r="H38" s="52"/>
      <c r="I38" s="53">
        <v>44613</v>
      </c>
      <c r="J38" s="54">
        <v>249.44</v>
      </c>
      <c r="K38" s="55"/>
      <c r="L38" s="56"/>
      <c r="M38" s="50" t="s">
        <v>416</v>
      </c>
      <c r="N38" s="51"/>
      <c r="O38" s="51"/>
      <c r="P38" s="52"/>
      <c r="Q38" s="53">
        <v>44644</v>
      </c>
      <c r="R38" s="54">
        <v>268.19</v>
      </c>
      <c r="S38" s="55"/>
      <c r="T38" s="56"/>
      <c r="U38" s="50" t="s">
        <v>417</v>
      </c>
      <c r="V38" s="51"/>
      <c r="W38" s="51"/>
      <c r="X38" s="52"/>
      <c r="Y38" s="53">
        <v>44674</v>
      </c>
      <c r="Z38" s="54">
        <v>278.95999999999998</v>
      </c>
      <c r="AA38" s="55"/>
      <c r="AB38" s="56"/>
      <c r="AC38" s="50" t="s">
        <v>418</v>
      </c>
      <c r="AD38" s="51">
        <v>44631</v>
      </c>
      <c r="AE38" s="51">
        <v>44661</v>
      </c>
      <c r="AF38" s="52">
        <v>3</v>
      </c>
      <c r="AG38" s="53">
        <v>44704</v>
      </c>
      <c r="AH38" s="54">
        <f>285.96-9.56-44.34</f>
        <v>232.05999999999997</v>
      </c>
      <c r="AI38" s="55"/>
      <c r="AJ38" s="56"/>
      <c r="AK38" s="50" t="s">
        <v>419</v>
      </c>
      <c r="AL38" s="51">
        <v>44662</v>
      </c>
      <c r="AM38" s="51">
        <v>44691</v>
      </c>
      <c r="AN38" s="52">
        <v>8</v>
      </c>
      <c r="AO38" s="53">
        <v>44736</v>
      </c>
      <c r="AP38" s="54">
        <f>297.95-9.56-46.25</f>
        <v>242.14</v>
      </c>
      <c r="AQ38" s="55"/>
      <c r="AR38" s="56"/>
      <c r="AS38" s="50" t="s">
        <v>420</v>
      </c>
      <c r="AT38" s="51">
        <v>44692</v>
      </c>
      <c r="AU38" s="51">
        <v>44722</v>
      </c>
      <c r="AV38" s="52">
        <v>52</v>
      </c>
      <c r="AW38" s="53">
        <v>44765</v>
      </c>
      <c r="AX38" s="54">
        <f>353.88-9.56-48.19</f>
        <v>296.13</v>
      </c>
      <c r="AY38" s="55"/>
      <c r="AZ38" s="56"/>
      <c r="BA38" s="50" t="s">
        <v>421</v>
      </c>
      <c r="BB38" s="51">
        <v>44723</v>
      </c>
      <c r="BC38" s="51">
        <v>44752</v>
      </c>
      <c r="BD38" s="52">
        <v>19</v>
      </c>
      <c r="BE38" s="53">
        <v>44794</v>
      </c>
      <c r="BF38" s="54">
        <f>377.03-9.56-50.28</f>
        <v>317.18999999999994</v>
      </c>
      <c r="BG38" s="55"/>
      <c r="BH38" s="56"/>
      <c r="BI38" s="50" t="s">
        <v>422</v>
      </c>
      <c r="BJ38" s="51">
        <v>44753</v>
      </c>
      <c r="BK38" s="51">
        <v>44783</v>
      </c>
      <c r="BL38" s="52">
        <v>28</v>
      </c>
      <c r="BM38" s="53">
        <v>44827</v>
      </c>
      <c r="BN38" s="54">
        <f>409.94-9.56-53.15</f>
        <v>347.23</v>
      </c>
      <c r="BO38" s="55"/>
      <c r="BP38" s="56"/>
      <c r="BQ38" s="50" t="s">
        <v>423</v>
      </c>
      <c r="BR38" s="51">
        <v>44784</v>
      </c>
      <c r="BS38" s="51">
        <v>44814</v>
      </c>
      <c r="BT38" s="52">
        <v>0</v>
      </c>
      <c r="BU38" s="53">
        <v>44856</v>
      </c>
      <c r="BV38" s="54">
        <v>373.28</v>
      </c>
      <c r="BW38" s="55"/>
      <c r="BX38" s="56"/>
      <c r="BY38" s="50" t="s">
        <v>424</v>
      </c>
      <c r="BZ38" s="51">
        <v>44815</v>
      </c>
      <c r="CA38" s="51">
        <v>44844</v>
      </c>
      <c r="CB38" s="52">
        <v>24</v>
      </c>
      <c r="CC38" s="53">
        <v>44888</v>
      </c>
      <c r="CD38" s="54">
        <v>399.33</v>
      </c>
      <c r="CE38" s="55"/>
      <c r="CF38" s="56"/>
      <c r="CG38" s="50"/>
      <c r="CH38" s="51"/>
      <c r="CI38" s="51"/>
      <c r="CJ38" s="52"/>
      <c r="CK38" s="53"/>
      <c r="CL38" s="54"/>
      <c r="CM38" s="55"/>
      <c r="CN38" s="56"/>
      <c r="CO38" s="58"/>
      <c r="CP38" s="59"/>
      <c r="CQ38" s="59"/>
      <c r="CR38" s="52"/>
      <c r="CS38" s="53"/>
      <c r="CT38" s="54"/>
      <c r="CU38" s="55"/>
      <c r="CV38" s="56"/>
      <c r="CW38" s="65">
        <v>9.56</v>
      </c>
      <c r="CX38" s="64">
        <v>59.32</v>
      </c>
      <c r="CY38" s="65"/>
      <c r="CZ38" s="66"/>
      <c r="DA38" s="43"/>
      <c r="DB38" s="63">
        <f t="shared" si="0"/>
        <v>134</v>
      </c>
      <c r="DC38" s="45">
        <f t="shared" si="1"/>
        <v>3003.95</v>
      </c>
    </row>
    <row r="39" spans="1:108" s="1" customFormat="1" x14ac:dyDescent="0.2">
      <c r="A39" s="70" t="s">
        <v>425</v>
      </c>
      <c r="B39" s="47" t="s">
        <v>426</v>
      </c>
      <c r="C39" s="48">
        <v>63092734</v>
      </c>
      <c r="D39" s="49" t="s">
        <v>20</v>
      </c>
      <c r="E39" s="50" t="s">
        <v>427</v>
      </c>
      <c r="F39" s="51"/>
      <c r="G39" s="51"/>
      <c r="H39" s="52"/>
      <c r="I39" s="53">
        <v>44613</v>
      </c>
      <c r="J39" s="54">
        <v>201.72</v>
      </c>
      <c r="K39" s="55"/>
      <c r="L39" s="56"/>
      <c r="M39" s="50" t="s">
        <v>428</v>
      </c>
      <c r="N39" s="51"/>
      <c r="O39" s="51"/>
      <c r="P39" s="52"/>
      <c r="Q39" s="53">
        <v>44644</v>
      </c>
      <c r="R39" s="54">
        <v>206.04</v>
      </c>
      <c r="S39" s="55"/>
      <c r="T39" s="56"/>
      <c r="U39" s="50" t="s">
        <v>429</v>
      </c>
      <c r="V39" s="51"/>
      <c r="W39" s="51"/>
      <c r="X39" s="52"/>
      <c r="Y39" s="53">
        <v>44674</v>
      </c>
      <c r="Z39" s="54">
        <v>209.38</v>
      </c>
      <c r="AA39" s="55"/>
      <c r="AB39" s="56"/>
      <c r="AC39" s="50" t="s">
        <v>430</v>
      </c>
      <c r="AD39" s="51">
        <v>44631</v>
      </c>
      <c r="AE39" s="51">
        <v>44661</v>
      </c>
      <c r="AF39" s="52">
        <v>0</v>
      </c>
      <c r="AG39" s="53">
        <v>44704</v>
      </c>
      <c r="AH39" s="54">
        <f>212.76-6.66-35.89</f>
        <v>170.20999999999998</v>
      </c>
      <c r="AI39" s="55"/>
      <c r="AJ39" s="56"/>
      <c r="AK39" s="50" t="s">
        <v>431</v>
      </c>
      <c r="AL39" s="51">
        <v>44662</v>
      </c>
      <c r="AM39" s="51">
        <v>44691</v>
      </c>
      <c r="AN39" s="52">
        <v>0</v>
      </c>
      <c r="AO39" s="53">
        <v>44736</v>
      </c>
      <c r="AP39" s="54">
        <f>216.15-6.66-37.18</f>
        <v>172.31</v>
      </c>
      <c r="AQ39" s="55"/>
      <c r="AR39" s="56"/>
      <c r="AS39" s="50" t="s">
        <v>432</v>
      </c>
      <c r="AT39" s="51">
        <v>44692</v>
      </c>
      <c r="AU39" s="51">
        <v>44722</v>
      </c>
      <c r="AV39" s="52">
        <v>0</v>
      </c>
      <c r="AW39" s="53">
        <v>44765</v>
      </c>
      <c r="AX39" s="54">
        <f>219.56-6.66-38.49</f>
        <v>174.41</v>
      </c>
      <c r="AY39" s="55"/>
      <c r="AZ39" s="56"/>
      <c r="BA39" s="50" t="s">
        <v>433</v>
      </c>
      <c r="BB39" s="51">
        <v>44723</v>
      </c>
      <c r="BC39" s="51">
        <v>44752</v>
      </c>
      <c r="BD39" s="52">
        <v>0</v>
      </c>
      <c r="BE39" s="53">
        <v>44794</v>
      </c>
      <c r="BF39" s="54">
        <f>222.99-6.66-39.82</f>
        <v>176.51000000000002</v>
      </c>
      <c r="BG39" s="55"/>
      <c r="BH39" s="56"/>
      <c r="BI39" s="50" t="s">
        <v>434</v>
      </c>
      <c r="BJ39" s="51">
        <v>44753</v>
      </c>
      <c r="BK39" s="51">
        <v>44783</v>
      </c>
      <c r="BL39" s="52">
        <v>0</v>
      </c>
      <c r="BM39" s="53">
        <v>44827</v>
      </c>
      <c r="BN39" s="54">
        <f>226.44-6.66-41.17</f>
        <v>178.61</v>
      </c>
      <c r="BO39" s="55"/>
      <c r="BP39" s="56"/>
      <c r="BQ39" s="50" t="s">
        <v>435</v>
      </c>
      <c r="BR39" s="51">
        <v>44784</v>
      </c>
      <c r="BS39" s="51">
        <v>44814</v>
      </c>
      <c r="BT39" s="52">
        <v>0</v>
      </c>
      <c r="BU39" s="53">
        <v>44856</v>
      </c>
      <c r="BV39" s="54">
        <v>180.71</v>
      </c>
      <c r="BW39" s="55"/>
      <c r="BX39" s="56"/>
      <c r="BY39" s="50" t="s">
        <v>436</v>
      </c>
      <c r="BZ39" s="51">
        <v>44815</v>
      </c>
      <c r="CA39" s="51">
        <v>44844</v>
      </c>
      <c r="CB39" s="52">
        <v>0</v>
      </c>
      <c r="CC39" s="53">
        <v>44888</v>
      </c>
      <c r="CD39" s="54">
        <v>182.81</v>
      </c>
      <c r="CE39" s="55"/>
      <c r="CF39" s="56"/>
      <c r="CG39" s="50"/>
      <c r="CH39" s="51"/>
      <c r="CI39" s="51"/>
      <c r="CJ39" s="52"/>
      <c r="CK39" s="53"/>
      <c r="CL39" s="54"/>
      <c r="CM39" s="55"/>
      <c r="CN39" s="56"/>
      <c r="CO39" s="58"/>
      <c r="CP39" s="59"/>
      <c r="CQ39" s="59"/>
      <c r="CR39" s="52"/>
      <c r="CS39" s="53"/>
      <c r="CT39" s="54"/>
      <c r="CU39" s="55"/>
      <c r="CV39" s="56"/>
      <c r="CW39" s="65">
        <v>6.66</v>
      </c>
      <c r="CX39" s="64">
        <v>44.22</v>
      </c>
      <c r="CY39" s="65"/>
      <c r="CZ39" s="66"/>
      <c r="DA39" s="43"/>
      <c r="DB39" s="63">
        <f t="shared" si="0"/>
        <v>0</v>
      </c>
      <c r="DC39" s="45">
        <f t="shared" si="1"/>
        <v>1852.71</v>
      </c>
    </row>
    <row r="40" spans="1:108" s="1" customFormat="1" ht="13.5" thickBot="1" x14ac:dyDescent="0.25">
      <c r="A40" s="76" t="s">
        <v>437</v>
      </c>
      <c r="B40" s="77">
        <v>1340000873</v>
      </c>
      <c r="C40" s="78">
        <v>75224512</v>
      </c>
      <c r="D40" s="79" t="s">
        <v>33</v>
      </c>
      <c r="E40" s="80" t="s">
        <v>438</v>
      </c>
      <c r="F40" s="81"/>
      <c r="G40" s="81"/>
      <c r="H40" s="82"/>
      <c r="I40" s="83">
        <v>44613</v>
      </c>
      <c r="J40" s="84">
        <v>15728.38</v>
      </c>
      <c r="K40" s="85"/>
      <c r="L40" s="86"/>
      <c r="M40" s="87" t="s">
        <v>439</v>
      </c>
      <c r="N40" s="81"/>
      <c r="O40" s="81"/>
      <c r="P40" s="82"/>
      <c r="Q40" s="83">
        <v>44644</v>
      </c>
      <c r="R40" s="84">
        <v>16874.64</v>
      </c>
      <c r="S40" s="85"/>
      <c r="T40" s="86"/>
      <c r="U40" s="87" t="s">
        <v>440</v>
      </c>
      <c r="V40" s="81"/>
      <c r="W40" s="81"/>
      <c r="X40" s="82"/>
      <c r="Y40" s="83">
        <v>44674</v>
      </c>
      <c r="Z40" s="84">
        <v>17494.09</v>
      </c>
      <c r="AA40" s="85"/>
      <c r="AB40" s="86"/>
      <c r="AC40" s="87" t="s">
        <v>441</v>
      </c>
      <c r="AD40" s="81">
        <v>44629</v>
      </c>
      <c r="AE40" s="81">
        <v>44659</v>
      </c>
      <c r="AF40" s="82">
        <v>376</v>
      </c>
      <c r="AG40" s="83">
        <v>44704</v>
      </c>
      <c r="AH40" s="84">
        <f>17887.75-28.28-2350.45</f>
        <v>15509.02</v>
      </c>
      <c r="AI40" s="85"/>
      <c r="AJ40" s="86"/>
      <c r="AK40" s="87" t="s">
        <v>442</v>
      </c>
      <c r="AL40" s="81">
        <v>44660</v>
      </c>
      <c r="AM40" s="81">
        <v>44689</v>
      </c>
      <c r="AN40" s="82">
        <v>358</v>
      </c>
      <c r="AO40" s="83">
        <v>44736</v>
      </c>
      <c r="AP40" s="84">
        <f>18267.82-28.28-2470.66</f>
        <v>15768.880000000001</v>
      </c>
      <c r="AQ40" s="85"/>
      <c r="AR40" s="86"/>
      <c r="AS40" s="87" t="s">
        <v>443</v>
      </c>
      <c r="AT40" s="81">
        <v>44690</v>
      </c>
      <c r="AU40" s="81">
        <v>44720</v>
      </c>
      <c r="AV40" s="82">
        <v>382</v>
      </c>
      <c r="AW40" s="83">
        <v>44765</v>
      </c>
      <c r="AX40" s="84">
        <f>18665.49-28.28-2591.19</f>
        <v>16046.020000000002</v>
      </c>
      <c r="AY40" s="85"/>
      <c r="AZ40" s="86"/>
      <c r="BA40" s="87" t="s">
        <v>444</v>
      </c>
      <c r="BB40" s="81">
        <v>44721</v>
      </c>
      <c r="BC40" s="81">
        <v>44750</v>
      </c>
      <c r="BD40" s="82">
        <v>212</v>
      </c>
      <c r="BE40" s="83">
        <v>44794</v>
      </c>
      <c r="BF40" s="84">
        <f>18947.22-28.28-2718.18</f>
        <v>16200.760000000002</v>
      </c>
      <c r="BG40" s="85"/>
      <c r="BH40" s="86"/>
      <c r="BI40" s="87" t="s">
        <v>445</v>
      </c>
      <c r="BJ40" s="81">
        <v>44751</v>
      </c>
      <c r="BK40" s="81">
        <v>44781</v>
      </c>
      <c r="BL40" s="82">
        <v>300</v>
      </c>
      <c r="BM40" s="83">
        <v>44827</v>
      </c>
      <c r="BN40" s="84">
        <f>19294.72-28.28-2847.58</f>
        <v>16418.86</v>
      </c>
      <c r="BO40" s="85"/>
      <c r="BP40" s="86"/>
      <c r="BQ40" s="87" t="s">
        <v>446</v>
      </c>
      <c r="BR40" s="81">
        <v>44782</v>
      </c>
      <c r="BS40" s="81">
        <v>44812</v>
      </c>
      <c r="BT40" s="82">
        <v>499</v>
      </c>
      <c r="BU40" s="83">
        <v>44856</v>
      </c>
      <c r="BV40" s="84">
        <v>16780.239999999998</v>
      </c>
      <c r="BW40" s="85"/>
      <c r="BX40" s="86"/>
      <c r="BY40" s="87" t="s">
        <v>447</v>
      </c>
      <c r="BZ40" s="81">
        <v>44813</v>
      </c>
      <c r="CA40" s="81">
        <v>44842</v>
      </c>
      <c r="CB40" s="82">
        <v>521</v>
      </c>
      <c r="CC40" s="83">
        <v>44888</v>
      </c>
      <c r="CD40" s="84">
        <v>17157.46</v>
      </c>
      <c r="CE40" s="85"/>
      <c r="CF40" s="86"/>
      <c r="CG40" s="87"/>
      <c r="CH40" s="81"/>
      <c r="CI40" s="81"/>
      <c r="CJ40" s="82"/>
      <c r="CK40" s="83"/>
      <c r="CL40" s="84"/>
      <c r="CM40" s="85"/>
      <c r="CN40" s="86"/>
      <c r="CO40" s="88"/>
      <c r="CP40" s="89"/>
      <c r="CQ40" s="89"/>
      <c r="CR40" s="82"/>
      <c r="CS40" s="83"/>
      <c r="CT40" s="84"/>
      <c r="CU40" s="85"/>
      <c r="CV40" s="86"/>
      <c r="CW40" s="90">
        <v>28.28</v>
      </c>
      <c r="CX40" s="91">
        <v>3127.58</v>
      </c>
      <c r="CY40" s="90"/>
      <c r="CZ40" s="92"/>
      <c r="DA40" s="43"/>
      <c r="DB40" s="93">
        <f t="shared" si="0"/>
        <v>2648</v>
      </c>
      <c r="DC40" s="94">
        <f t="shared" si="1"/>
        <v>163978.35</v>
      </c>
    </row>
    <row r="41" spans="1:108" s="1" customFormat="1" ht="4.5" customHeight="1" thickBot="1" x14ac:dyDescent="0.25">
      <c r="B41" s="4"/>
      <c r="C41" s="4"/>
      <c r="E41" s="4"/>
      <c r="F41" s="4"/>
      <c r="G41" s="4"/>
      <c r="K41" s="5"/>
      <c r="L41" s="4"/>
      <c r="M41" s="4"/>
      <c r="N41" s="4"/>
      <c r="O41" s="4"/>
      <c r="S41" s="5"/>
      <c r="T41" s="4"/>
      <c r="U41" s="4"/>
      <c r="V41" s="4"/>
      <c r="W41" s="4"/>
      <c r="AA41" s="5"/>
      <c r="AB41" s="4"/>
      <c r="AC41" s="4"/>
      <c r="AD41" s="4"/>
      <c r="AE41" s="4"/>
      <c r="AG41" s="4"/>
      <c r="AI41" s="5"/>
      <c r="AJ41" s="4"/>
      <c r="AK41" s="4"/>
      <c r="AL41" s="4"/>
      <c r="AM41" s="4"/>
      <c r="AO41" s="4"/>
      <c r="AQ41" s="5"/>
      <c r="AR41" s="4"/>
      <c r="AS41" s="4"/>
      <c r="AT41" s="4"/>
      <c r="AU41" s="4"/>
      <c r="AY41" s="5"/>
      <c r="AZ41" s="4"/>
      <c r="BA41" s="4"/>
      <c r="BB41" s="4"/>
      <c r="BC41" s="4"/>
      <c r="BF41" s="4"/>
      <c r="BG41" s="5"/>
      <c r="BH41" s="4"/>
      <c r="BI41" s="4"/>
      <c r="BJ41" s="4"/>
      <c r="BK41" s="4"/>
      <c r="BM41" s="4"/>
      <c r="BO41" s="5"/>
      <c r="BP41" s="4"/>
      <c r="BQ41" s="4"/>
      <c r="BR41" s="4"/>
      <c r="BS41" s="4"/>
      <c r="BT41" s="6"/>
      <c r="BW41" s="5"/>
      <c r="BY41" s="4"/>
      <c r="BZ41" s="4"/>
      <c r="CA41" s="4"/>
      <c r="CE41" s="5"/>
      <c r="CF41" s="4"/>
      <c r="CG41" s="4"/>
      <c r="CH41" s="4"/>
      <c r="CI41" s="4"/>
      <c r="CK41" s="4"/>
      <c r="CM41" s="5"/>
      <c r="CN41" s="4"/>
      <c r="CU41" s="5"/>
      <c r="CZ41" s="4"/>
      <c r="DB41" s="95"/>
      <c r="DC41" s="96"/>
    </row>
    <row r="42" spans="1:108" s="1" customFormat="1" ht="13.5" thickBot="1" x14ac:dyDescent="0.25">
      <c r="B42" s="4"/>
      <c r="C42" s="97">
        <f>SUBTOTAL(3,C6:C40)</f>
        <v>35</v>
      </c>
      <c r="E42" s="4"/>
      <c r="F42" s="4"/>
      <c r="G42" s="4"/>
      <c r="J42" s="98">
        <f>SUBTOTAL(9,J6:J40)</f>
        <v>25072.83</v>
      </c>
      <c r="K42" s="99"/>
      <c r="L42" s="4"/>
      <c r="M42" s="4"/>
      <c r="N42" s="4"/>
      <c r="O42" s="4"/>
      <c r="R42" s="98">
        <f>SUBTOTAL(9,R6:R40)</f>
        <v>26475.270000000004</v>
      </c>
      <c r="S42" s="99"/>
      <c r="T42" s="4"/>
      <c r="U42" s="4"/>
      <c r="V42" s="4"/>
      <c r="W42" s="4"/>
      <c r="Z42" s="98">
        <f>SUBTOTAL(9,Z6:Z40)</f>
        <v>27526.1</v>
      </c>
      <c r="AA42" s="99"/>
      <c r="AB42" s="4"/>
      <c r="AC42" s="4"/>
      <c r="AD42" s="4"/>
      <c r="AE42" s="4"/>
      <c r="AG42" s="4"/>
      <c r="AH42" s="98">
        <f>SUBTOTAL(9,AH6:AH40)</f>
        <v>23636.29</v>
      </c>
      <c r="AI42" s="99"/>
      <c r="AJ42" s="4"/>
      <c r="AK42" s="4"/>
      <c r="AL42" s="4"/>
      <c r="AM42" s="4"/>
      <c r="AO42" s="4"/>
      <c r="AP42" s="98">
        <f>SUBTOTAL(9,AP6:AP40)</f>
        <v>24146.32</v>
      </c>
      <c r="AQ42" s="99"/>
      <c r="AR42" s="4"/>
      <c r="AS42" s="97">
        <f>SUBTOTAL(3,AS6:AS40)</f>
        <v>35</v>
      </c>
      <c r="AT42" s="4"/>
      <c r="AU42" s="4"/>
      <c r="AX42" s="98">
        <f>SUBTOTAL(9,AX6:AX40)</f>
        <v>24748.36</v>
      </c>
      <c r="AY42" s="99"/>
      <c r="AZ42" s="4"/>
      <c r="BA42" s="4"/>
      <c r="BB42" s="4"/>
      <c r="BC42" s="4"/>
      <c r="BF42" s="100">
        <f>SUBTOTAL(9,BF6:BF40)</f>
        <v>25151.530000000002</v>
      </c>
      <c r="BG42" s="99"/>
      <c r="BH42" s="4"/>
      <c r="BI42" s="4"/>
      <c r="BJ42" s="4"/>
      <c r="BK42" s="4"/>
      <c r="BM42" s="4"/>
      <c r="BN42" s="98">
        <f>SUBTOTAL(9,BN6:BN40)</f>
        <v>25656.68</v>
      </c>
      <c r="BO42" s="99"/>
      <c r="BP42" s="4"/>
      <c r="BQ42" s="4"/>
      <c r="BR42" s="4"/>
      <c r="BS42" s="4"/>
      <c r="BT42" s="6"/>
      <c r="BV42" s="98">
        <f>SUBTOTAL(9,BV6:BV40)</f>
        <v>26221.68</v>
      </c>
      <c r="BW42" s="99"/>
      <c r="BY42" s="4"/>
      <c r="BZ42" s="4"/>
      <c r="CA42" s="4"/>
      <c r="CD42" s="98">
        <f>SUBTOTAL(9,CD6:CD40)</f>
        <v>26884.179999999997</v>
      </c>
      <c r="CE42" s="99"/>
      <c r="CF42" s="4"/>
      <c r="CG42" s="4"/>
      <c r="CH42" s="4"/>
      <c r="CI42" s="4"/>
      <c r="CK42" s="4"/>
      <c r="CL42" s="98">
        <f>SUBTOTAL(9,CL6:CL40)</f>
        <v>0</v>
      </c>
      <c r="CM42" s="99"/>
      <c r="CN42" s="4"/>
      <c r="CT42" s="98">
        <f>SUBTOTAL(9,CT6:CT40)</f>
        <v>0</v>
      </c>
      <c r="CU42" s="99"/>
      <c r="CW42" s="98">
        <f>SUBTOTAL(9,CW6:CW40)</f>
        <v>355.95000000000005</v>
      </c>
      <c r="CX42" s="98">
        <f>SUBTOTAL(9,CX6:CX40)</f>
        <v>5266.92</v>
      </c>
      <c r="CY42" s="4"/>
      <c r="CZ42" s="4"/>
      <c r="DB42" s="101">
        <f>SUBTOTAL(9,DB6:DB40)</f>
        <v>4458</v>
      </c>
      <c r="DC42" s="102">
        <f>SUBTOTAL(9,DC6:DC40)</f>
        <v>255519.24000000002</v>
      </c>
    </row>
    <row r="43" spans="1:108" s="1" customFormat="1" ht="4.5" customHeight="1" x14ac:dyDescent="0.2">
      <c r="B43" s="4"/>
      <c r="C43" s="4"/>
      <c r="E43" s="4"/>
      <c r="F43" s="4"/>
      <c r="G43" s="4"/>
      <c r="K43" s="4"/>
      <c r="L43" s="4"/>
      <c r="M43" s="4"/>
      <c r="N43" s="4"/>
      <c r="O43" s="4"/>
      <c r="S43" s="4"/>
      <c r="T43" s="4"/>
      <c r="U43" s="4"/>
      <c r="V43" s="4"/>
      <c r="W43" s="4"/>
      <c r="AA43" s="4"/>
      <c r="AB43" s="4"/>
      <c r="AC43" s="4"/>
      <c r="AD43" s="4"/>
      <c r="AE43" s="4"/>
      <c r="AG43" s="4"/>
      <c r="AI43" s="4"/>
      <c r="AJ43" s="4"/>
      <c r="AK43" s="4"/>
      <c r="AL43" s="4"/>
      <c r="AM43" s="4"/>
      <c r="AO43" s="4"/>
      <c r="AP43" s="103"/>
      <c r="AQ43" s="4"/>
      <c r="AR43" s="4"/>
      <c r="AS43" s="4"/>
      <c r="AT43" s="4"/>
      <c r="AU43" s="4"/>
      <c r="AY43" s="5"/>
      <c r="AZ43" s="4"/>
      <c r="BA43" s="4"/>
      <c r="BB43" s="4"/>
      <c r="BC43" s="4"/>
      <c r="BF43" s="4"/>
      <c r="BG43" s="5"/>
      <c r="BH43" s="4"/>
      <c r="BI43" s="4"/>
      <c r="BJ43" s="4"/>
      <c r="BK43" s="4"/>
      <c r="BM43" s="4"/>
      <c r="BO43" s="5"/>
      <c r="BP43" s="4"/>
      <c r="BQ43" s="4"/>
      <c r="BR43" s="4"/>
      <c r="BS43" s="4"/>
      <c r="BT43" s="6"/>
      <c r="BW43" s="5"/>
      <c r="BY43" s="4"/>
      <c r="BZ43" s="4"/>
      <c r="CA43" s="4"/>
      <c r="CE43" s="5"/>
      <c r="CF43" s="4"/>
      <c r="CG43" s="4"/>
      <c r="CH43" s="4"/>
      <c r="CI43" s="4"/>
      <c r="CK43" s="4"/>
      <c r="CM43" s="5"/>
      <c r="CN43" s="4"/>
      <c r="CU43" s="5"/>
      <c r="CZ43" s="4"/>
      <c r="DB43" s="95"/>
      <c r="DC43" s="96"/>
    </row>
    <row r="44" spans="1:108" s="1" customFormat="1" x14ac:dyDescent="0.2">
      <c r="A44" s="104" t="s">
        <v>448</v>
      </c>
      <c r="B44" s="105">
        <v>31100113</v>
      </c>
      <c r="C44" s="106">
        <v>37262531</v>
      </c>
      <c r="D44" s="107" t="s">
        <v>449</v>
      </c>
      <c r="E44" s="50"/>
      <c r="F44" s="51"/>
      <c r="G44" s="51"/>
      <c r="H44" s="52"/>
      <c r="I44" s="53"/>
      <c r="J44" s="54"/>
      <c r="K44" s="108"/>
      <c r="L44" s="56"/>
      <c r="M44" s="50"/>
      <c r="N44" s="51"/>
      <c r="O44" s="51"/>
      <c r="P44" s="52"/>
      <c r="Q44" s="53"/>
      <c r="R44" s="54"/>
      <c r="S44" s="108"/>
      <c r="T44" s="56"/>
      <c r="U44" s="50"/>
      <c r="V44" s="51"/>
      <c r="W44" s="51"/>
      <c r="X44" s="52"/>
      <c r="Y44" s="53"/>
      <c r="Z44" s="54"/>
      <c r="AA44" s="108"/>
      <c r="AB44" s="56"/>
      <c r="AC44" s="50"/>
      <c r="AD44" s="51"/>
      <c r="AE44" s="51"/>
      <c r="AF44" s="52"/>
      <c r="AG44" s="53"/>
      <c r="AH44" s="54"/>
      <c r="AI44" s="108"/>
      <c r="AJ44" s="56"/>
      <c r="AK44" s="50"/>
      <c r="AL44" s="51"/>
      <c r="AM44" s="51"/>
      <c r="AN44" s="52"/>
      <c r="AO44" s="53"/>
      <c r="AP44" s="54"/>
      <c r="AQ44" s="108"/>
      <c r="AR44" s="56"/>
      <c r="AS44" s="50"/>
      <c r="AT44" s="51"/>
      <c r="AU44" s="51"/>
      <c r="AV44" s="52"/>
      <c r="AW44" s="53"/>
      <c r="AX44" s="54"/>
      <c r="AY44" s="108"/>
      <c r="AZ44" s="56"/>
      <c r="BA44" s="50"/>
      <c r="BB44" s="51"/>
      <c r="BC44" s="51"/>
      <c r="BD44" s="52"/>
      <c r="BE44" s="53"/>
      <c r="BF44" s="54"/>
      <c r="BG44" s="108"/>
      <c r="BH44" s="56"/>
      <c r="BI44" s="50"/>
      <c r="BJ44" s="51"/>
      <c r="BK44" s="51"/>
      <c r="BL44" s="52"/>
      <c r="BM44" s="53"/>
      <c r="BN44" s="54"/>
      <c r="BO44" s="108"/>
      <c r="BP44" s="56"/>
      <c r="BQ44" s="50"/>
      <c r="BR44" s="51"/>
      <c r="BS44" s="51"/>
      <c r="BT44" s="52"/>
      <c r="BU44" s="53"/>
      <c r="BV44" s="54"/>
      <c r="BW44" s="108"/>
      <c r="BX44" s="56"/>
      <c r="BY44" s="50"/>
      <c r="BZ44" s="51"/>
      <c r="CA44" s="51"/>
      <c r="CB44" s="52"/>
      <c r="CC44" s="53"/>
      <c r="CD44" s="54"/>
      <c r="CE44" s="108"/>
      <c r="CF44" s="56"/>
      <c r="CG44" s="50"/>
      <c r="CH44" s="51"/>
      <c r="CI44" s="51"/>
      <c r="CJ44" s="52"/>
      <c r="CK44" s="53"/>
      <c r="CL44" s="54"/>
      <c r="CM44" s="108"/>
      <c r="CN44" s="56"/>
      <c r="CO44" s="58"/>
      <c r="CP44" s="59"/>
      <c r="CQ44" s="59"/>
      <c r="CR44" s="52"/>
      <c r="CS44" s="53"/>
      <c r="CT44" s="54"/>
      <c r="CU44" s="108"/>
      <c r="CV44" s="56"/>
      <c r="CW44" s="109"/>
      <c r="CX44" s="110"/>
      <c r="CY44" s="111"/>
      <c r="CZ44" s="112"/>
      <c r="DA44" s="43"/>
      <c r="DB44" s="63">
        <f>+H44+P44+X44+AF44+AN44+AV44+BD44+BL44+BT44+CB44+CJ44+CR44</f>
        <v>0</v>
      </c>
      <c r="DC44" s="45">
        <f>J44+R44+Z44+AH44+AP44+AX44+BF44+BN44+BV44+CD44+CL44+CT44</f>
        <v>0</v>
      </c>
    </row>
    <row r="45" spans="1:108" s="1" customFormat="1" ht="4.5" customHeight="1" x14ac:dyDescent="0.2">
      <c r="B45" s="4"/>
      <c r="C45" s="4"/>
      <c r="E45" s="4"/>
      <c r="F45" s="4"/>
      <c r="G45" s="4"/>
      <c r="K45" s="5"/>
      <c r="L45" s="4"/>
      <c r="M45" s="4"/>
      <c r="N45" s="4"/>
      <c r="O45" s="4"/>
      <c r="S45" s="5"/>
      <c r="T45" s="4"/>
      <c r="U45" s="4"/>
      <c r="V45" s="4"/>
      <c r="W45" s="4"/>
      <c r="AA45" s="5"/>
      <c r="AB45" s="4"/>
      <c r="AC45" s="4"/>
      <c r="AD45" s="4"/>
      <c r="AE45" s="4"/>
      <c r="AG45" s="4"/>
      <c r="AI45" s="5"/>
      <c r="AJ45" s="4"/>
      <c r="AK45" s="4"/>
      <c r="AL45" s="4"/>
      <c r="AM45" s="4"/>
      <c r="AO45" s="4"/>
      <c r="AQ45" s="5"/>
      <c r="AR45" s="4"/>
      <c r="AS45" s="4"/>
      <c r="AT45" s="4"/>
      <c r="AU45" s="4"/>
      <c r="AY45" s="5"/>
      <c r="AZ45" s="4"/>
      <c r="BA45" s="4"/>
      <c r="BB45" s="4"/>
      <c r="BC45" s="4"/>
      <c r="BF45" s="4"/>
      <c r="BG45" s="5"/>
      <c r="BH45" s="4"/>
      <c r="BI45" s="4"/>
      <c r="BJ45" s="4"/>
      <c r="BK45" s="4"/>
      <c r="BM45" s="4"/>
      <c r="BO45" s="5"/>
      <c r="BP45" s="4"/>
      <c r="BQ45" s="4"/>
      <c r="BR45" s="4"/>
      <c r="BS45" s="4"/>
      <c r="BT45" s="6"/>
      <c r="BW45" s="5"/>
      <c r="BY45" s="4"/>
      <c r="BZ45" s="4"/>
      <c r="CA45" s="4"/>
      <c r="CE45" s="5"/>
      <c r="CF45" s="4"/>
      <c r="CG45" s="4"/>
      <c r="CH45" s="4"/>
      <c r="CI45" s="4"/>
      <c r="CK45" s="4"/>
      <c r="CM45" s="5"/>
      <c r="CN45" s="4"/>
      <c r="CU45" s="5"/>
      <c r="CZ45" s="4"/>
    </row>
    <row r="46" spans="1:108" s="11" customFormat="1" ht="12.75" customHeight="1" x14ac:dyDescent="0.2">
      <c r="A46" s="113" t="s">
        <v>450</v>
      </c>
      <c r="B46" s="113"/>
      <c r="C46" s="114" t="s">
        <v>451</v>
      </c>
      <c r="D46" s="114"/>
      <c r="E46" s="115"/>
      <c r="F46" s="116"/>
      <c r="G46" s="116"/>
      <c r="H46" s="117"/>
      <c r="I46" s="118"/>
      <c r="J46" s="43"/>
      <c r="K46" s="103"/>
      <c r="L46" s="116"/>
      <c r="M46" s="115"/>
      <c r="N46" s="116"/>
      <c r="O46" s="116"/>
      <c r="P46" s="117"/>
      <c r="Q46" s="118"/>
      <c r="R46" s="43"/>
      <c r="S46" s="103"/>
      <c r="T46" s="116"/>
      <c r="U46" s="115"/>
      <c r="V46" s="116"/>
      <c r="W46" s="116"/>
      <c r="X46" s="95"/>
      <c r="Y46" s="118"/>
      <c r="Z46" s="43"/>
      <c r="AA46" s="103"/>
      <c r="AB46" s="116"/>
      <c r="AC46" s="115"/>
      <c r="AD46" s="116"/>
      <c r="AE46" s="116"/>
      <c r="AF46" s="95"/>
      <c r="AG46" s="118"/>
      <c r="AH46" s="43"/>
      <c r="AI46" s="103"/>
      <c r="AJ46" s="116"/>
      <c r="AK46" s="115"/>
      <c r="AL46" s="116"/>
      <c r="AM46" s="116"/>
      <c r="AN46" s="95"/>
      <c r="AO46" s="118"/>
      <c r="AP46" s="1"/>
      <c r="AQ46" s="103"/>
      <c r="AR46" s="116"/>
      <c r="AS46" s="115"/>
      <c r="AT46" s="116"/>
      <c r="AU46" s="116"/>
      <c r="AV46" s="95"/>
      <c r="AW46" s="118"/>
      <c r="AX46" s="43">
        <f>+AX42+AX44</f>
        <v>24748.36</v>
      </c>
      <c r="AY46" s="103"/>
      <c r="AZ46" s="116"/>
      <c r="BA46" s="115"/>
      <c r="BB46" s="116"/>
      <c r="BC46" s="116"/>
      <c r="BD46" s="95"/>
      <c r="BE46" s="118"/>
      <c r="BF46" s="43">
        <f>+BF42+BF44</f>
        <v>25151.530000000002</v>
      </c>
      <c r="BG46" s="103"/>
      <c r="BH46" s="116"/>
      <c r="BI46" s="115"/>
      <c r="BJ46" s="116"/>
      <c r="BK46" s="116"/>
      <c r="BL46" s="95"/>
      <c r="BM46" s="118"/>
      <c r="BN46" s="119">
        <f>+BN42+BN44</f>
        <v>25656.68</v>
      </c>
      <c r="BO46" s="103"/>
      <c r="BP46" s="116"/>
      <c r="BQ46" s="115"/>
      <c r="BR46" s="116"/>
      <c r="BS46" s="116"/>
      <c r="BT46" s="95"/>
      <c r="BU46" s="118"/>
      <c r="BV46" s="43"/>
      <c r="BW46" s="103"/>
      <c r="BX46" s="116"/>
      <c r="BY46" s="115"/>
      <c r="BZ46" s="116"/>
      <c r="CA46" s="116"/>
      <c r="CB46" s="95"/>
      <c r="CC46" s="118"/>
      <c r="CD46" s="43"/>
      <c r="CE46" s="103"/>
      <c r="CF46" s="116"/>
      <c r="CG46" s="115"/>
      <c r="CH46" s="116"/>
      <c r="CI46" s="116"/>
      <c r="CJ46" s="95"/>
      <c r="CK46" s="118"/>
      <c r="CL46" s="43"/>
      <c r="CM46" s="103"/>
      <c r="CN46" s="116"/>
      <c r="CO46" s="115"/>
      <c r="CP46" s="116"/>
      <c r="CQ46" s="116"/>
      <c r="CR46" s="95"/>
      <c r="CS46" s="118"/>
      <c r="CT46" s="43"/>
      <c r="CU46" s="103"/>
      <c r="CV46" s="116"/>
      <c r="CW46" s="119">
        <f>+CW42+CW44</f>
        <v>355.95000000000005</v>
      </c>
      <c r="CX46" s="119">
        <f>+CX42+CX44</f>
        <v>5266.92</v>
      </c>
      <c r="CY46" s="119"/>
      <c r="CZ46" s="120"/>
      <c r="DA46" s="43"/>
      <c r="DB46" s="95"/>
      <c r="DC46" s="96"/>
    </row>
    <row r="47" spans="1:108" s="1" customFormat="1" ht="12.75" customHeight="1" x14ac:dyDescent="0.2">
      <c r="A47" s="113"/>
      <c r="B47" s="113"/>
      <c r="C47" s="114" t="s">
        <v>452</v>
      </c>
      <c r="D47" s="114"/>
      <c r="E47" s="115"/>
      <c r="F47" s="116"/>
      <c r="G47" s="116"/>
      <c r="H47" s="95"/>
      <c r="I47" s="118"/>
      <c r="J47" s="43"/>
      <c r="K47" s="103"/>
      <c r="L47" s="116"/>
      <c r="M47" s="115"/>
      <c r="N47" s="116"/>
      <c r="O47" s="116"/>
      <c r="P47" s="95"/>
      <c r="Q47" s="118"/>
      <c r="R47" s="43"/>
      <c r="S47" s="103"/>
      <c r="T47" s="116"/>
      <c r="U47" s="115"/>
      <c r="V47" s="116"/>
      <c r="W47" s="116"/>
      <c r="X47" s="95"/>
      <c r="Y47" s="118"/>
      <c r="Z47" s="43"/>
      <c r="AA47" s="103"/>
      <c r="AB47" s="116"/>
      <c r="AC47" s="115"/>
      <c r="AD47" s="116"/>
      <c r="AE47" s="116"/>
      <c r="AF47" s="95"/>
      <c r="AG47" s="118"/>
      <c r="AH47" s="43"/>
      <c r="AI47" s="103"/>
      <c r="AJ47" s="116"/>
      <c r="AK47" s="115"/>
      <c r="AL47" s="116"/>
      <c r="AM47" s="116"/>
      <c r="AN47" s="95"/>
      <c r="AO47" s="118"/>
      <c r="AP47" s="43"/>
      <c r="AQ47" s="103"/>
      <c r="AR47" s="116"/>
      <c r="AS47" s="115"/>
      <c r="AT47" s="116"/>
      <c r="AU47" s="116"/>
      <c r="AV47" s="95"/>
      <c r="AW47" s="118"/>
      <c r="AX47" s="43"/>
      <c r="AY47" s="103"/>
      <c r="AZ47" s="116"/>
      <c r="BA47" s="115"/>
      <c r="BB47" s="116"/>
      <c r="BC47" s="116"/>
      <c r="BD47" s="95"/>
      <c r="BE47" s="118"/>
      <c r="BF47" s="43"/>
      <c r="BG47" s="103"/>
      <c r="BH47" s="116"/>
      <c r="BI47" s="115"/>
      <c r="BJ47" s="116"/>
      <c r="BK47" s="116"/>
      <c r="BL47" s="95"/>
      <c r="BM47" s="118"/>
      <c r="BN47" s="43"/>
      <c r="BO47" s="103"/>
      <c r="BP47" s="116"/>
      <c r="BQ47" s="115"/>
      <c r="BR47" s="116"/>
      <c r="BS47" s="116"/>
      <c r="BT47" s="95"/>
      <c r="BU47" s="118"/>
      <c r="BV47" s="43"/>
      <c r="BW47" s="103"/>
      <c r="BX47" s="116"/>
      <c r="BY47" s="115"/>
      <c r="BZ47" s="116"/>
      <c r="CA47" s="116"/>
      <c r="CB47" s="95"/>
      <c r="CC47" s="118"/>
      <c r="CD47" s="43"/>
      <c r="CE47" s="103"/>
      <c r="CF47" s="116"/>
      <c r="CG47" s="115"/>
      <c r="CH47" s="116"/>
      <c r="CI47" s="116"/>
      <c r="CJ47" s="95"/>
      <c r="CK47" s="118"/>
      <c r="CL47" s="43"/>
      <c r="CM47" s="103"/>
      <c r="CN47" s="116"/>
      <c r="CO47" s="121"/>
      <c r="CP47" s="122"/>
      <c r="CQ47" s="122"/>
      <c r="CR47" s="95"/>
      <c r="CS47" s="118"/>
      <c r="CT47" s="43"/>
      <c r="CU47" s="103"/>
      <c r="CV47" s="116"/>
      <c r="CW47" s="119"/>
      <c r="CX47" s="95"/>
      <c r="CY47" s="119"/>
      <c r="CZ47" s="120"/>
      <c r="DA47" s="43"/>
      <c r="DB47" s="95"/>
      <c r="DC47" s="96"/>
      <c r="DD47" s="11"/>
    </row>
    <row r="48" spans="1:108" s="1" customFormat="1" ht="12.75" customHeight="1" x14ac:dyDescent="0.2">
      <c r="A48" s="113" t="s">
        <v>453</v>
      </c>
      <c r="B48" s="113"/>
      <c r="C48" s="114" t="str">
        <f ca="1">UPPER(TEXT(TODAY(),"dddd, dd mmmm yyyy"))</f>
        <v>MIÉRCOLES, 02 NOVIEMBRE 2022</v>
      </c>
      <c r="D48" s="114"/>
      <c r="E48" s="115"/>
      <c r="F48" s="116"/>
      <c r="G48" s="116"/>
      <c r="H48" s="117"/>
      <c r="I48" s="118"/>
      <c r="J48" s="43"/>
      <c r="L48" s="116"/>
      <c r="M48" s="115"/>
      <c r="N48" s="116"/>
      <c r="O48" s="116"/>
      <c r="P48" s="117"/>
      <c r="Q48" s="118"/>
      <c r="R48" s="43"/>
      <c r="T48" s="116"/>
      <c r="U48" s="115"/>
      <c r="V48" s="116"/>
      <c r="W48" s="116"/>
      <c r="X48" s="117"/>
      <c r="Y48" s="118"/>
      <c r="Z48" s="43">
        <f>+Z44+Z42</f>
        <v>27526.1</v>
      </c>
      <c r="AB48" s="116"/>
      <c r="AC48" s="115"/>
      <c r="AD48" s="116"/>
      <c r="AE48" s="116"/>
      <c r="AF48" s="117"/>
      <c r="AG48" s="118"/>
      <c r="AH48" s="43"/>
      <c r="AJ48" s="116"/>
      <c r="AK48" s="115"/>
      <c r="AL48" s="116"/>
      <c r="AM48" s="116"/>
      <c r="AN48" s="117"/>
      <c r="AO48" s="118"/>
      <c r="AP48" s="43"/>
      <c r="AR48" s="116"/>
      <c r="AS48" s="115"/>
      <c r="AT48" s="116"/>
      <c r="AU48" s="116"/>
      <c r="AV48" s="117"/>
      <c r="AW48" s="118"/>
      <c r="AX48" s="43"/>
      <c r="AY48" s="103"/>
      <c r="AZ48" s="116"/>
      <c r="BA48" s="115"/>
      <c r="BB48" s="116"/>
      <c r="BC48" s="116"/>
      <c r="BD48" s="117"/>
      <c r="BE48" s="118"/>
      <c r="BF48" s="43"/>
      <c r="BG48" s="103"/>
      <c r="BH48" s="116"/>
      <c r="BI48" s="115"/>
      <c r="BJ48" s="116"/>
      <c r="BK48" s="116"/>
      <c r="BL48" s="117"/>
      <c r="BM48" s="118"/>
      <c r="BN48" s="43"/>
      <c r="BO48" s="103"/>
      <c r="BP48" s="116"/>
      <c r="BQ48" s="115"/>
      <c r="BR48" s="116"/>
      <c r="BS48" s="116"/>
      <c r="BT48" s="117"/>
      <c r="BU48" s="118"/>
      <c r="BV48" s="43"/>
      <c r="BW48" s="103"/>
      <c r="BX48" s="116"/>
      <c r="BY48" s="115"/>
      <c r="BZ48" s="116"/>
      <c r="CA48" s="116"/>
      <c r="CB48" s="117"/>
      <c r="CC48" s="118"/>
      <c r="CD48" s="43"/>
      <c r="CE48" s="103"/>
      <c r="CF48" s="116"/>
      <c r="CG48" s="115"/>
      <c r="CH48" s="116"/>
      <c r="CI48" s="116"/>
      <c r="CJ48" s="117"/>
      <c r="CK48" s="118"/>
      <c r="CL48" s="43"/>
      <c r="CM48" s="103"/>
      <c r="CN48" s="116"/>
      <c r="CO48" s="121"/>
      <c r="CP48" s="122"/>
      <c r="CQ48" s="122"/>
      <c r="CR48" s="117"/>
      <c r="CS48" s="118"/>
      <c r="CT48" s="43"/>
      <c r="CU48" s="103"/>
      <c r="CV48" s="116"/>
      <c r="CW48" s="123">
        <f>SUM(CW46:CY46,CD42)</f>
        <v>32507.049999999996</v>
      </c>
      <c r="CX48" s="123"/>
      <c r="CY48" s="123"/>
      <c r="CZ48" s="120"/>
      <c r="DA48" s="43"/>
      <c r="DB48" s="95"/>
      <c r="DC48" s="96"/>
      <c r="DD48" s="11"/>
    </row>
    <row r="49" spans="1:108" s="1" customFormat="1" x14ac:dyDescent="0.2">
      <c r="A49" s="124" t="s">
        <v>454</v>
      </c>
      <c r="B49" s="124"/>
      <c r="C49" s="125" t="str">
        <f ca="1">IF(SUBTOTAL(5,INDIRECT(VLOOKUP(MONTH(TODAY()),$A$58:$B$69,2,0)&amp;8):INDIRECT(VLOOKUP(MONTH(TODAY()),$A$58:$B$69,2,0)&amp;42))&lt;=TODAY(),"INMEDIATO",UPPER(TEXT(SUBTOTAL(5,INDIRECT(VLOOKUP(MONTH(TODAY()),$A$58:$B$69,2,0)&amp;8):INDIRECT(VLOOKUP(MONTH(TODAY()),$A$58:$B$69,2,0)&amp;42)),"dddd, dd mmmm yyyy")))</f>
        <v>INMEDIATO</v>
      </c>
      <c r="D49" s="125"/>
      <c r="E49" s="115"/>
      <c r="F49" s="116"/>
      <c r="G49" s="116"/>
      <c r="H49" s="117"/>
      <c r="I49" s="118"/>
      <c r="J49" s="43"/>
      <c r="K49" s="103"/>
      <c r="L49" s="116"/>
      <c r="M49" s="115"/>
      <c r="N49" s="116"/>
      <c r="O49" s="116"/>
      <c r="P49" s="117"/>
      <c r="Q49" s="118"/>
      <c r="R49" s="43"/>
      <c r="S49" s="103"/>
      <c r="T49" s="116"/>
      <c r="U49" s="115"/>
      <c r="V49" s="116"/>
      <c r="W49" s="116"/>
      <c r="X49" s="117"/>
      <c r="Y49" s="118"/>
      <c r="Z49" s="43"/>
      <c r="AA49" s="103"/>
      <c r="AB49" s="116"/>
      <c r="AC49" s="115"/>
      <c r="AD49" s="116"/>
      <c r="AE49" s="116"/>
      <c r="AF49" s="117"/>
      <c r="AG49" s="118"/>
      <c r="AH49" s="43"/>
      <c r="AI49" s="103"/>
      <c r="AJ49" s="116"/>
      <c r="AK49" s="115"/>
      <c r="AL49" s="116"/>
      <c r="AM49" s="116"/>
      <c r="AN49" s="117"/>
      <c r="AO49" s="118"/>
      <c r="AP49" s="43"/>
      <c r="AQ49" s="103"/>
      <c r="AR49" s="116"/>
      <c r="AS49" s="115"/>
      <c r="AT49" s="116"/>
      <c r="AU49" s="116"/>
      <c r="AV49" s="117"/>
      <c r="AW49" s="118"/>
      <c r="AX49" s="43"/>
      <c r="AY49" s="103"/>
      <c r="AZ49" s="116"/>
      <c r="BA49" s="115"/>
      <c r="BB49" s="116"/>
      <c r="BC49" s="116"/>
      <c r="BD49" s="117"/>
      <c r="BE49" s="118"/>
      <c r="BF49" s="43"/>
      <c r="BG49" s="103"/>
      <c r="BH49" s="116"/>
      <c r="BI49" s="115"/>
      <c r="BJ49" s="116"/>
      <c r="BK49" s="116"/>
      <c r="BL49" s="117"/>
      <c r="BM49" s="118"/>
      <c r="BN49" s="43"/>
      <c r="BO49" s="103"/>
      <c r="BP49" s="116"/>
      <c r="BQ49" s="115"/>
      <c r="BR49" s="116"/>
      <c r="BS49" s="116"/>
      <c r="BT49" s="117"/>
      <c r="BU49" s="118"/>
      <c r="BV49" s="43"/>
      <c r="BW49" s="103"/>
      <c r="BX49" s="116"/>
      <c r="BY49" s="115"/>
      <c r="BZ49" s="116"/>
      <c r="CA49" s="116"/>
      <c r="CB49" s="117"/>
      <c r="CC49" s="118"/>
      <c r="CD49" s="43"/>
      <c r="CE49" s="103"/>
      <c r="CF49" s="116"/>
      <c r="CG49" s="115"/>
      <c r="CH49" s="116"/>
      <c r="CI49" s="116"/>
      <c r="CJ49" s="117"/>
      <c r="CK49" s="118"/>
      <c r="CL49" s="43"/>
      <c r="CM49" s="103"/>
      <c r="CN49" s="116"/>
      <c r="CO49" s="121"/>
      <c r="CP49" s="122"/>
      <c r="CQ49" s="122"/>
      <c r="CR49" s="117"/>
      <c r="CS49" s="118"/>
      <c r="CT49" s="43"/>
      <c r="CU49" s="103"/>
      <c r="CV49" s="116"/>
      <c r="CW49" s="119"/>
      <c r="CX49" s="95"/>
      <c r="CY49" s="119"/>
      <c r="CZ49" s="120"/>
      <c r="DA49" s="43"/>
      <c r="DB49" s="95"/>
      <c r="DC49" s="96"/>
      <c r="DD49" s="11"/>
    </row>
    <row r="50" spans="1:108" s="11" customFormat="1" x14ac:dyDescent="0.2">
      <c r="A50" s="3"/>
      <c r="B50" s="3"/>
      <c r="C50" s="126"/>
      <c r="D50" s="126"/>
      <c r="E50" s="115"/>
      <c r="F50" s="116"/>
      <c r="G50" s="116"/>
      <c r="H50" s="117"/>
      <c r="I50" s="118"/>
      <c r="J50" s="43"/>
      <c r="K50" s="103"/>
      <c r="L50" s="116"/>
      <c r="M50" s="115"/>
      <c r="N50" s="116"/>
      <c r="O50" s="116"/>
      <c r="P50" s="117"/>
      <c r="Q50" s="118"/>
      <c r="R50" s="43"/>
      <c r="S50" s="103"/>
      <c r="T50" s="116"/>
      <c r="U50" s="115"/>
      <c r="V50" s="116"/>
      <c r="W50" s="116"/>
      <c r="X50" s="117"/>
      <c r="Y50" s="118"/>
      <c r="Z50" s="43"/>
      <c r="AA50" s="103"/>
      <c r="AB50" s="116"/>
      <c r="AC50" s="115"/>
      <c r="AD50" s="116"/>
      <c r="AE50" s="116"/>
      <c r="AF50" s="117"/>
      <c r="AG50" s="118"/>
      <c r="AH50" s="43"/>
      <c r="AI50" s="103"/>
      <c r="AJ50" s="116"/>
      <c r="AK50" s="115"/>
      <c r="AL50" s="116"/>
      <c r="AM50" s="116"/>
      <c r="AN50" s="117"/>
      <c r="AO50" s="118"/>
      <c r="AP50" s="43"/>
      <c r="AQ50" s="103"/>
      <c r="AR50" s="116"/>
      <c r="AS50" s="115"/>
      <c r="AT50" s="116"/>
      <c r="AU50" s="116"/>
      <c r="AV50" s="117"/>
      <c r="AW50" s="118"/>
      <c r="AX50" s="43"/>
      <c r="AY50" s="103"/>
      <c r="AZ50" s="116"/>
      <c r="BA50" s="115"/>
      <c r="BB50" s="116"/>
      <c r="BC50" s="116"/>
      <c r="BD50" s="117"/>
      <c r="BE50" s="118"/>
      <c r="BF50" s="43"/>
      <c r="BG50" s="103"/>
      <c r="BH50" s="116"/>
      <c r="BI50" s="115"/>
      <c r="BJ50" s="116"/>
      <c r="BK50" s="116"/>
      <c r="BL50" s="117"/>
      <c r="BM50" s="118"/>
      <c r="BN50" s="43"/>
      <c r="BO50" s="103"/>
      <c r="BP50" s="116"/>
      <c r="BQ50" s="115"/>
      <c r="BR50" s="116"/>
      <c r="BS50" s="116"/>
      <c r="BT50" s="117"/>
      <c r="BU50" s="118"/>
      <c r="BV50" s="43"/>
      <c r="BW50" s="103"/>
      <c r="BX50" s="116"/>
      <c r="BY50" s="115"/>
      <c r="BZ50" s="116"/>
      <c r="CA50" s="116"/>
      <c r="CB50" s="117"/>
      <c r="CC50" s="118"/>
      <c r="CD50" s="43"/>
      <c r="CE50" s="103"/>
      <c r="CF50" s="116"/>
      <c r="CG50" s="115"/>
      <c r="CH50" s="116"/>
      <c r="CI50" s="116"/>
      <c r="CJ50" s="117"/>
      <c r="CK50" s="118"/>
      <c r="CL50" s="43"/>
      <c r="CM50" s="103"/>
      <c r="CN50" s="116"/>
      <c r="CO50" s="121"/>
      <c r="CP50" s="122"/>
      <c r="CQ50" s="122"/>
      <c r="CR50" s="117"/>
      <c r="CS50" s="118"/>
      <c r="CT50" s="43"/>
      <c r="CU50" s="103"/>
      <c r="CV50" s="116"/>
      <c r="CW50" s="119"/>
      <c r="CX50" s="95"/>
      <c r="CY50" s="119"/>
      <c r="CZ50" s="120"/>
      <c r="DA50" s="43"/>
      <c r="DB50" s="95"/>
      <c r="DC50" s="96"/>
    </row>
    <row r="51" spans="1:108" s="11" customFormat="1" x14ac:dyDescent="0.2">
      <c r="A51" s="3"/>
      <c r="B51" s="3"/>
      <c r="C51" s="126"/>
      <c r="D51" s="126"/>
      <c r="E51" s="115"/>
      <c r="F51" s="116"/>
      <c r="G51" s="116"/>
      <c r="H51" s="117"/>
      <c r="I51" s="118"/>
      <c r="J51" s="43"/>
      <c r="K51" s="103"/>
      <c r="L51" s="116"/>
      <c r="M51" s="115"/>
      <c r="N51" s="116"/>
      <c r="O51" s="116"/>
      <c r="P51" s="117"/>
      <c r="Q51" s="118"/>
      <c r="R51" s="43"/>
      <c r="S51" s="103"/>
      <c r="T51" s="116"/>
      <c r="U51" s="115"/>
      <c r="V51" s="116"/>
      <c r="W51" s="116"/>
      <c r="X51" s="117"/>
      <c r="Y51" s="118"/>
      <c r="Z51" s="43"/>
      <c r="AA51" s="103"/>
      <c r="AB51" s="116"/>
      <c r="AC51" s="115"/>
      <c r="AD51" s="116"/>
      <c r="AE51" s="116"/>
      <c r="AF51" s="117"/>
      <c r="AG51" s="118"/>
      <c r="AH51" s="43"/>
      <c r="AI51" s="103"/>
      <c r="AJ51" s="116"/>
      <c r="AK51" s="115"/>
      <c r="AL51" s="116"/>
      <c r="AM51" s="116"/>
      <c r="AN51" s="117"/>
      <c r="AO51" s="118"/>
      <c r="AP51" s="43"/>
      <c r="AQ51" s="103"/>
      <c r="AR51" s="116"/>
      <c r="AS51" s="115"/>
      <c r="AT51" s="116"/>
      <c r="AU51" s="116"/>
      <c r="AV51" s="117"/>
      <c r="AW51" s="118"/>
      <c r="AX51" s="43"/>
      <c r="AY51" s="103"/>
      <c r="AZ51" s="116"/>
      <c r="BA51" s="115"/>
      <c r="BB51" s="116"/>
      <c r="BC51" s="116"/>
      <c r="BD51" s="117"/>
      <c r="BE51" s="118"/>
      <c r="BF51" s="43"/>
      <c r="BG51" s="103"/>
      <c r="BH51" s="116"/>
      <c r="BI51" s="115"/>
      <c r="BJ51" s="116"/>
      <c r="BK51" s="116"/>
      <c r="BL51" s="117"/>
      <c r="BM51" s="118"/>
      <c r="BN51" s="43"/>
      <c r="BO51" s="103"/>
      <c r="BP51" s="116"/>
      <c r="BQ51" s="115"/>
      <c r="BR51" s="116"/>
      <c r="BS51" s="116"/>
      <c r="BT51" s="117"/>
      <c r="BU51" s="118"/>
      <c r="BV51" s="43"/>
      <c r="BW51" s="103"/>
      <c r="BX51" s="116"/>
      <c r="BY51" s="115"/>
      <c r="BZ51" s="116"/>
      <c r="CA51" s="116"/>
      <c r="CB51" s="117"/>
      <c r="CC51" s="118"/>
      <c r="CD51" s="43"/>
      <c r="CE51" s="103"/>
      <c r="CF51" s="116"/>
      <c r="CG51" s="115"/>
      <c r="CH51" s="116"/>
      <c r="CI51" s="116"/>
      <c r="CJ51" s="117"/>
      <c r="CK51" s="118"/>
      <c r="CL51" s="43"/>
      <c r="CM51" s="103"/>
      <c r="CN51" s="116"/>
      <c r="CO51" s="121"/>
      <c r="CP51" s="122"/>
      <c r="CQ51" s="122"/>
      <c r="CR51" s="117"/>
      <c r="CS51" s="118"/>
      <c r="CT51" s="43"/>
      <c r="CU51" s="103"/>
      <c r="CV51" s="116"/>
      <c r="CW51" s="119"/>
      <c r="CX51" s="95"/>
      <c r="CY51" s="119"/>
      <c r="CZ51" s="120"/>
      <c r="DA51" s="43"/>
      <c r="DB51" s="95"/>
      <c r="DC51" s="96"/>
    </row>
    <row r="52" spans="1:108" s="11" customFormat="1" hidden="1" x14ac:dyDescent="0.2">
      <c r="A52" s="3"/>
      <c r="B52" s="3"/>
      <c r="C52" s="126"/>
      <c r="D52" s="126"/>
      <c r="E52" s="115"/>
      <c r="F52" s="116"/>
      <c r="G52" s="116"/>
      <c r="H52" s="117"/>
      <c r="I52" s="118"/>
      <c r="J52" s="43"/>
      <c r="K52" s="103"/>
      <c r="L52" s="116"/>
      <c r="M52" s="115"/>
      <c r="N52" s="116"/>
      <c r="O52" s="116"/>
      <c r="P52" s="117"/>
      <c r="Q52" s="118"/>
      <c r="R52" s="43"/>
      <c r="S52" s="103"/>
      <c r="T52" s="116"/>
      <c r="U52" s="115"/>
      <c r="V52" s="116"/>
      <c r="W52" s="116"/>
      <c r="X52" s="117"/>
      <c r="Y52" s="118"/>
      <c r="Z52" s="43"/>
      <c r="AA52" s="103"/>
      <c r="AB52" s="116"/>
      <c r="AC52" s="115"/>
      <c r="AD52" s="116"/>
      <c r="AE52" s="116"/>
      <c r="AF52" s="117"/>
      <c r="AG52" s="118"/>
      <c r="AH52" s="43"/>
      <c r="AI52" s="103"/>
      <c r="AJ52" s="116"/>
      <c r="AK52" s="115"/>
      <c r="AL52" s="116"/>
      <c r="AM52" s="116"/>
      <c r="AN52" s="117"/>
      <c r="AO52" s="118"/>
      <c r="AP52" s="43"/>
      <c r="AQ52" s="103"/>
      <c r="AR52" s="116"/>
      <c r="AS52" s="115"/>
      <c r="AT52" s="116"/>
      <c r="AU52" s="116"/>
      <c r="AV52" s="117"/>
      <c r="AW52" s="118"/>
      <c r="AX52" s="43"/>
      <c r="AY52" s="103"/>
      <c r="AZ52" s="116"/>
      <c r="BA52" s="115"/>
      <c r="BB52" s="116"/>
      <c r="BC52" s="116"/>
      <c r="BD52" s="117"/>
      <c r="BE52" s="118"/>
      <c r="BF52" s="43"/>
      <c r="BG52" s="103"/>
      <c r="BH52" s="116"/>
      <c r="BI52" s="115"/>
      <c r="BJ52" s="116"/>
      <c r="BK52" s="116"/>
      <c r="BL52" s="117"/>
      <c r="BM52" s="118"/>
      <c r="BN52" s="43"/>
      <c r="BO52" s="103"/>
      <c r="BP52" s="116"/>
      <c r="BQ52" s="115"/>
      <c r="BR52" s="116"/>
      <c r="BS52" s="116"/>
      <c r="BT52" s="117"/>
      <c r="BU52" s="118"/>
      <c r="BV52" s="43"/>
      <c r="BW52" s="103"/>
      <c r="BX52" s="116"/>
      <c r="BY52" s="115"/>
      <c r="BZ52" s="116"/>
      <c r="CA52" s="116"/>
      <c r="CB52" s="117"/>
      <c r="CC52" s="118"/>
      <c r="CD52" s="43"/>
      <c r="CE52" s="103"/>
      <c r="CF52" s="116"/>
      <c r="CG52" s="115"/>
      <c r="CH52" s="116"/>
      <c r="CI52" s="116"/>
      <c r="CJ52" s="117"/>
      <c r="CK52" s="118"/>
      <c r="CL52" s="43"/>
      <c r="CM52" s="103"/>
      <c r="CN52" s="116"/>
      <c r="CO52" s="121"/>
      <c r="CP52" s="122"/>
      <c r="CQ52" s="122"/>
      <c r="CR52" s="117"/>
      <c r="CS52" s="118"/>
      <c r="CT52" s="43"/>
      <c r="CU52" s="103"/>
      <c r="CV52" s="116"/>
      <c r="CW52" s="119"/>
      <c r="CX52" s="95"/>
      <c r="CY52" s="119"/>
      <c r="CZ52" s="120"/>
      <c r="DA52" s="43"/>
      <c r="DB52" s="95"/>
      <c r="DC52" s="96"/>
    </row>
    <row r="53" spans="1:108" s="1" customFormat="1" hidden="1" x14ac:dyDescent="0.2">
      <c r="A53" s="127" t="s">
        <v>455</v>
      </c>
      <c r="B53" s="47"/>
      <c r="C53" s="48">
        <v>11155750</v>
      </c>
      <c r="D53" s="128" t="s">
        <v>456</v>
      </c>
      <c r="E53" s="4"/>
      <c r="F53" s="4"/>
      <c r="G53" s="4"/>
      <c r="K53" s="5"/>
      <c r="L53" s="4"/>
      <c r="M53" s="4"/>
      <c r="N53" s="4"/>
      <c r="O53" s="4"/>
      <c r="S53" s="5"/>
      <c r="T53" s="4"/>
      <c r="U53" s="4"/>
      <c r="V53" s="4"/>
      <c r="W53" s="4"/>
      <c r="AA53" s="5"/>
      <c r="AB53" s="4"/>
      <c r="AC53" s="4"/>
      <c r="AD53" s="4"/>
      <c r="AE53" s="4"/>
      <c r="AG53" s="4"/>
      <c r="AI53" s="5"/>
      <c r="AJ53" s="4"/>
      <c r="AK53" s="4"/>
      <c r="AL53" s="4"/>
      <c r="AM53" s="4"/>
      <c r="AO53" s="4"/>
      <c r="AQ53" s="5"/>
      <c r="AR53" s="4"/>
      <c r="AS53" s="4"/>
      <c r="AT53" s="4"/>
      <c r="AU53" s="4"/>
      <c r="AY53" s="5"/>
      <c r="AZ53" s="4"/>
      <c r="BA53" s="4"/>
      <c r="BB53" s="4"/>
      <c r="BC53" s="4"/>
      <c r="BF53" s="4"/>
      <c r="BG53" s="5"/>
      <c r="BH53" s="4"/>
      <c r="BI53" s="4"/>
      <c r="BJ53" s="4"/>
      <c r="BK53" s="4"/>
      <c r="BM53" s="4"/>
      <c r="BO53" s="5"/>
      <c r="BP53" s="4"/>
      <c r="BQ53" s="4"/>
      <c r="BR53" s="4"/>
      <c r="BS53" s="4"/>
      <c r="BT53" s="6"/>
      <c r="BW53" s="5"/>
      <c r="BY53" s="4"/>
      <c r="BZ53" s="4"/>
      <c r="CA53" s="4"/>
      <c r="CE53" s="5"/>
      <c r="CF53" s="4"/>
      <c r="CG53" s="4"/>
      <c r="CH53" s="4"/>
      <c r="CI53" s="4"/>
      <c r="CK53" s="4"/>
      <c r="CM53" s="5"/>
      <c r="CN53" s="4"/>
      <c r="CU53" s="5"/>
      <c r="CZ53" s="4"/>
      <c r="DB53" s="95"/>
      <c r="DC53" s="96"/>
    </row>
    <row r="54" spans="1:108" s="1" customFormat="1" hidden="1" x14ac:dyDescent="0.2">
      <c r="A54" s="129" t="s">
        <v>457</v>
      </c>
      <c r="B54" s="47"/>
      <c r="C54" s="130">
        <v>43677069</v>
      </c>
      <c r="D54" s="128" t="s">
        <v>458</v>
      </c>
      <c r="E54" s="4"/>
      <c r="F54" s="4"/>
      <c r="G54" s="4"/>
      <c r="K54" s="5"/>
      <c r="L54" s="4"/>
      <c r="M54" s="4"/>
      <c r="N54" s="4"/>
      <c r="O54" s="4"/>
      <c r="S54" s="5"/>
      <c r="T54" s="4"/>
      <c r="U54" s="4"/>
      <c r="V54" s="4"/>
      <c r="W54" s="4"/>
      <c r="AA54" s="5"/>
      <c r="AB54" s="4"/>
      <c r="AC54" s="4"/>
      <c r="AD54" s="4"/>
      <c r="AE54" s="4"/>
      <c r="AG54" s="4"/>
      <c r="AI54" s="5"/>
      <c r="AJ54" s="4"/>
      <c r="AK54" s="4"/>
      <c r="AL54" s="4"/>
      <c r="AM54" s="4"/>
      <c r="AO54" s="4"/>
      <c r="AQ54" s="5"/>
      <c r="AR54" s="4"/>
      <c r="AS54" s="4"/>
      <c r="AT54" s="4"/>
      <c r="AU54" s="4"/>
      <c r="AY54" s="5"/>
      <c r="AZ54" s="4"/>
      <c r="BA54" s="4"/>
      <c r="BB54" s="4"/>
      <c r="BC54" s="4"/>
      <c r="BF54" s="4"/>
      <c r="BG54" s="5"/>
      <c r="BH54" s="4"/>
      <c r="BI54" s="4"/>
      <c r="BJ54" s="4"/>
      <c r="BK54" s="4"/>
      <c r="BM54" s="4"/>
      <c r="BO54" s="5"/>
      <c r="BP54" s="4"/>
      <c r="BQ54" s="4"/>
      <c r="BR54" s="4"/>
      <c r="BS54" s="4"/>
      <c r="BT54" s="6"/>
      <c r="BW54" s="5"/>
      <c r="BY54" s="4"/>
      <c r="BZ54" s="4"/>
      <c r="CA54" s="4"/>
      <c r="CE54" s="5"/>
      <c r="CF54" s="4"/>
      <c r="CG54" s="4"/>
      <c r="CH54" s="4"/>
      <c r="CI54" s="4"/>
      <c r="CK54" s="4"/>
      <c r="CM54" s="5"/>
      <c r="CN54" s="4"/>
      <c r="CU54" s="5"/>
      <c r="CZ54" s="4"/>
    </row>
    <row r="55" spans="1:108" s="1" customFormat="1" hidden="1" x14ac:dyDescent="0.2">
      <c r="A55" s="129" t="s">
        <v>459</v>
      </c>
      <c r="B55" s="47"/>
      <c r="C55" s="47">
        <v>46097010</v>
      </c>
      <c r="D55" s="128" t="s">
        <v>460</v>
      </c>
      <c r="E55" s="4"/>
      <c r="F55" s="4"/>
      <c r="G55" s="4"/>
      <c r="K55" s="5"/>
      <c r="L55" s="4"/>
      <c r="M55" s="4"/>
      <c r="N55" s="4"/>
      <c r="O55" s="4"/>
      <c r="S55" s="5"/>
      <c r="T55" s="4"/>
      <c r="U55" s="4"/>
      <c r="V55" s="4"/>
      <c r="W55" s="4"/>
      <c r="AA55" s="5"/>
      <c r="AB55" s="4"/>
      <c r="AC55" s="4"/>
      <c r="AD55" s="4"/>
      <c r="AE55" s="4"/>
      <c r="AG55" s="4"/>
      <c r="AI55" s="5"/>
      <c r="AJ55" s="4"/>
      <c r="AK55" s="4"/>
      <c r="AL55" s="4"/>
      <c r="AM55" s="4"/>
      <c r="AO55" s="4"/>
      <c r="AQ55" s="5"/>
      <c r="AR55" s="4"/>
      <c r="AS55" s="4"/>
      <c r="AT55" s="4"/>
      <c r="AU55" s="4"/>
      <c r="AY55" s="5"/>
      <c r="AZ55" s="4"/>
      <c r="BA55" s="4"/>
      <c r="BB55" s="4"/>
      <c r="BC55" s="4"/>
      <c r="BF55" s="4"/>
      <c r="BG55" s="5"/>
      <c r="BH55" s="4"/>
      <c r="BI55" s="4"/>
      <c r="BJ55" s="4"/>
      <c r="BK55" s="4"/>
      <c r="BM55" s="4"/>
      <c r="BO55" s="5"/>
      <c r="BP55" s="4"/>
      <c r="BQ55" s="4"/>
      <c r="BR55" s="4"/>
      <c r="BS55" s="4"/>
      <c r="BT55" s="6"/>
      <c r="BW55" s="5"/>
      <c r="BY55" s="4"/>
      <c r="BZ55" s="4"/>
      <c r="CA55" s="4"/>
      <c r="CE55" s="5"/>
      <c r="CF55" s="4"/>
      <c r="CG55" s="4"/>
      <c r="CH55" s="4"/>
      <c r="CI55" s="4"/>
      <c r="CK55" s="4"/>
      <c r="CM55" s="5"/>
      <c r="CN55" s="4"/>
      <c r="CU55" s="5"/>
      <c r="CZ55" s="4"/>
    </row>
    <row r="56" spans="1:108" s="1" customFormat="1" hidden="1" x14ac:dyDescent="0.2">
      <c r="A56" s="129" t="s">
        <v>459</v>
      </c>
      <c r="B56" s="47"/>
      <c r="C56" s="47">
        <v>46097027</v>
      </c>
      <c r="D56" s="128" t="s">
        <v>460</v>
      </c>
      <c r="E56" s="4"/>
      <c r="F56" s="4"/>
      <c r="G56" s="4"/>
      <c r="K56" s="5"/>
      <c r="L56" s="4"/>
      <c r="M56" s="4"/>
      <c r="N56" s="4"/>
      <c r="O56" s="4"/>
      <c r="S56" s="5"/>
      <c r="T56" s="4"/>
      <c r="U56" s="4"/>
      <c r="V56" s="4"/>
      <c r="W56" s="4"/>
      <c r="AA56" s="5"/>
      <c r="AB56" s="4"/>
      <c r="AC56" s="4"/>
      <c r="AD56" s="4"/>
      <c r="AE56" s="4"/>
      <c r="AG56" s="4"/>
      <c r="AI56" s="5"/>
      <c r="AJ56" s="4"/>
      <c r="AK56" s="4"/>
      <c r="AL56" s="4"/>
      <c r="AM56" s="4"/>
      <c r="AO56" s="4"/>
      <c r="AQ56" s="5"/>
      <c r="AR56" s="4"/>
      <c r="AS56" s="4"/>
      <c r="AT56" s="4"/>
      <c r="AU56" s="4"/>
      <c r="AY56" s="5"/>
      <c r="AZ56" s="4"/>
      <c r="BA56" s="4"/>
      <c r="BB56" s="4"/>
      <c r="BC56" s="4"/>
      <c r="BF56" s="4"/>
      <c r="BG56" s="5"/>
      <c r="BH56" s="4"/>
      <c r="BI56" s="4"/>
      <c r="BJ56" s="4"/>
      <c r="BK56" s="4"/>
      <c r="BM56" s="4"/>
      <c r="BO56" s="5"/>
      <c r="BP56" s="4"/>
      <c r="BQ56" s="4"/>
      <c r="BR56" s="4"/>
      <c r="BS56" s="4"/>
      <c r="BT56" s="6"/>
      <c r="BW56" s="5"/>
      <c r="BY56" s="4"/>
      <c r="BZ56" s="4"/>
      <c r="CA56" s="4"/>
      <c r="CE56" s="5"/>
      <c r="CF56" s="4"/>
      <c r="CG56" s="4"/>
      <c r="CH56" s="4"/>
      <c r="CI56" s="4"/>
      <c r="CK56" s="4"/>
      <c r="CM56" s="5"/>
      <c r="CN56" s="4"/>
      <c r="CU56" s="5"/>
      <c r="CZ56" s="4"/>
    </row>
    <row r="57" spans="1:108" s="1" customFormat="1" hidden="1" x14ac:dyDescent="0.2">
      <c r="B57" s="4"/>
      <c r="C57" s="4"/>
      <c r="E57" s="4"/>
      <c r="F57" s="4"/>
      <c r="G57" s="4"/>
      <c r="K57" s="5"/>
      <c r="L57" s="4"/>
      <c r="M57" s="4"/>
      <c r="N57" s="4"/>
      <c r="O57" s="4"/>
      <c r="S57" s="5"/>
      <c r="T57" s="4"/>
      <c r="U57" s="4"/>
      <c r="V57" s="4"/>
      <c r="W57" s="4"/>
      <c r="AA57" s="5"/>
      <c r="AB57" s="4"/>
      <c r="AC57" s="4"/>
      <c r="AD57" s="4"/>
      <c r="AE57" s="4"/>
      <c r="AG57" s="4"/>
      <c r="AI57" s="5"/>
      <c r="AJ57" s="4"/>
      <c r="AK57" s="4"/>
      <c r="AL57" s="4"/>
      <c r="AM57" s="4"/>
      <c r="AO57" s="4"/>
      <c r="AQ57" s="5"/>
      <c r="AR57" s="4"/>
      <c r="AS57" s="4"/>
      <c r="AT57" s="4"/>
      <c r="AU57" s="4"/>
      <c r="AY57" s="5"/>
      <c r="AZ57" s="4"/>
      <c r="BA57" s="4"/>
      <c r="BB57" s="4"/>
      <c r="BC57" s="4"/>
      <c r="BF57" s="4"/>
      <c r="BG57" s="5"/>
      <c r="BH57" s="4"/>
      <c r="BI57" s="4"/>
      <c r="BJ57" s="4"/>
      <c r="BK57" s="4"/>
      <c r="BM57" s="4"/>
      <c r="BO57" s="5"/>
      <c r="BP57" s="4"/>
      <c r="BQ57" s="4"/>
      <c r="BR57" s="4"/>
      <c r="BS57" s="4"/>
      <c r="BT57" s="6"/>
      <c r="BW57" s="5"/>
      <c r="BY57" s="4"/>
      <c r="BZ57" s="4"/>
      <c r="CA57" s="4"/>
      <c r="CE57" s="5"/>
      <c r="CF57" s="4"/>
      <c r="CG57" s="4"/>
      <c r="CH57" s="4"/>
      <c r="CI57" s="4"/>
      <c r="CK57" s="4"/>
      <c r="CM57" s="5"/>
      <c r="CN57" s="4"/>
      <c r="CU57" s="5"/>
      <c r="CZ57" s="4"/>
    </row>
    <row r="58" spans="1:108" hidden="1" x14ac:dyDescent="0.2">
      <c r="A58" s="12">
        <v>1</v>
      </c>
      <c r="B58" s="131" t="s">
        <v>461</v>
      </c>
      <c r="C58" s="131" t="s">
        <v>462</v>
      </c>
      <c r="D58" s="131" t="s">
        <v>463</v>
      </c>
    </row>
    <row r="59" spans="1:108" hidden="1" x14ac:dyDescent="0.2">
      <c r="A59" s="12">
        <v>2</v>
      </c>
      <c r="B59" s="131" t="s">
        <v>464</v>
      </c>
      <c r="C59" s="131" t="s">
        <v>465</v>
      </c>
      <c r="D59" s="131" t="s">
        <v>466</v>
      </c>
    </row>
    <row r="60" spans="1:108" hidden="1" x14ac:dyDescent="0.2">
      <c r="A60" s="12">
        <v>3</v>
      </c>
      <c r="B60" s="131" t="s">
        <v>467</v>
      </c>
      <c r="C60" s="131" t="s">
        <v>468</v>
      </c>
      <c r="D60" s="131" t="s">
        <v>469</v>
      </c>
    </row>
    <row r="61" spans="1:108" hidden="1" x14ac:dyDescent="0.2">
      <c r="A61" s="12">
        <v>4</v>
      </c>
      <c r="B61" s="12" t="s">
        <v>470</v>
      </c>
      <c r="C61" s="12" t="s">
        <v>471</v>
      </c>
      <c r="D61" s="12" t="s">
        <v>472</v>
      </c>
    </row>
    <row r="62" spans="1:108" hidden="1" x14ac:dyDescent="0.2">
      <c r="A62" s="12">
        <v>5</v>
      </c>
      <c r="B62" s="12" t="s">
        <v>473</v>
      </c>
      <c r="C62" s="12" t="s">
        <v>474</v>
      </c>
      <c r="D62" s="12" t="s">
        <v>475</v>
      </c>
    </row>
    <row r="63" spans="1:108" s="13" customFormat="1" hidden="1" x14ac:dyDescent="0.2">
      <c r="A63" s="12">
        <v>6</v>
      </c>
      <c r="B63" s="12" t="s">
        <v>476</v>
      </c>
      <c r="C63" s="12" t="s">
        <v>477</v>
      </c>
      <c r="D63" s="12" t="s">
        <v>478</v>
      </c>
      <c r="F63" s="12"/>
      <c r="G63" s="12"/>
      <c r="H63" s="12"/>
      <c r="I63" s="12"/>
      <c r="J63" s="12"/>
      <c r="K63" s="12"/>
      <c r="L63" s="12"/>
      <c r="N63" s="12"/>
      <c r="O63" s="12"/>
      <c r="P63" s="12"/>
      <c r="Q63" s="12"/>
      <c r="R63" s="12"/>
      <c r="S63" s="12"/>
      <c r="T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V63" s="12"/>
      <c r="AW63" s="12"/>
      <c r="AX63" s="12"/>
      <c r="AY63" s="12"/>
      <c r="AZ63" s="12"/>
      <c r="BD63" s="12"/>
      <c r="BE63" s="12"/>
      <c r="BF63" s="12"/>
      <c r="BG63" s="12"/>
      <c r="BH63" s="12"/>
      <c r="BL63" s="12"/>
      <c r="BM63" s="12"/>
      <c r="BN63" s="12"/>
      <c r="BO63" s="12"/>
      <c r="BP63" s="12"/>
      <c r="BT63" s="12"/>
      <c r="BU63" s="12"/>
      <c r="BV63" s="12"/>
      <c r="BW63" s="12"/>
      <c r="BX63" s="12"/>
      <c r="CB63" s="12"/>
      <c r="CC63" s="12"/>
      <c r="CD63" s="12"/>
      <c r="CE63" s="12"/>
      <c r="CF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</row>
    <row r="64" spans="1:108" s="13" customFormat="1" hidden="1" x14ac:dyDescent="0.2">
      <c r="A64" s="12">
        <v>7</v>
      </c>
      <c r="B64" s="12" t="s">
        <v>479</v>
      </c>
      <c r="C64" s="12" t="s">
        <v>480</v>
      </c>
      <c r="D64" s="12" t="s">
        <v>481</v>
      </c>
      <c r="F64" s="12"/>
      <c r="G64" s="12"/>
      <c r="H64" s="12"/>
      <c r="I64" s="12"/>
      <c r="J64" s="12"/>
      <c r="K64" s="12"/>
      <c r="L64" s="12"/>
      <c r="N64" s="12"/>
      <c r="O64" s="12"/>
      <c r="P64" s="12"/>
      <c r="Q64" s="12"/>
      <c r="R64" s="12"/>
      <c r="S64" s="12"/>
      <c r="T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V64" s="12"/>
      <c r="AW64" s="12"/>
      <c r="AX64" s="12"/>
      <c r="AY64" s="12"/>
      <c r="AZ64" s="12"/>
      <c r="BD64" s="12"/>
      <c r="BE64" s="12"/>
      <c r="BF64" s="12"/>
      <c r="BG64" s="12"/>
      <c r="BH64" s="12"/>
      <c r="BL64" s="12"/>
      <c r="BM64" s="12"/>
      <c r="BN64" s="12"/>
      <c r="BO64" s="12"/>
      <c r="BP64" s="12"/>
      <c r="BT64" s="12"/>
      <c r="BU64" s="12"/>
      <c r="BV64" s="12"/>
      <c r="BW64" s="12"/>
      <c r="BX64" s="12"/>
      <c r="CB64" s="12"/>
      <c r="CC64" s="12"/>
      <c r="CD64" s="12"/>
      <c r="CE64" s="12"/>
      <c r="CF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</row>
    <row r="65" spans="1:108" s="13" customFormat="1" hidden="1" x14ac:dyDescent="0.2">
      <c r="A65" s="12">
        <v>8</v>
      </c>
      <c r="B65" s="12" t="s">
        <v>482</v>
      </c>
      <c r="C65" s="12" t="s">
        <v>483</v>
      </c>
      <c r="D65" s="12" t="s">
        <v>484</v>
      </c>
      <c r="F65" s="12"/>
      <c r="G65" s="12"/>
      <c r="H65" s="12"/>
      <c r="I65" s="12"/>
      <c r="J65" s="12"/>
      <c r="K65" s="12"/>
      <c r="L65" s="12"/>
      <c r="N65" s="12"/>
      <c r="O65" s="12"/>
      <c r="P65" s="12"/>
      <c r="Q65" s="12"/>
      <c r="R65" s="12"/>
      <c r="S65" s="12"/>
      <c r="T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V65" s="12"/>
      <c r="AW65" s="12"/>
      <c r="AX65" s="12"/>
      <c r="AY65" s="12"/>
      <c r="AZ65" s="12"/>
      <c r="BD65" s="12"/>
      <c r="BE65" s="12"/>
      <c r="BF65" s="12"/>
      <c r="BG65" s="12"/>
      <c r="BH65" s="12"/>
      <c r="BL65" s="12"/>
      <c r="BM65" s="12"/>
      <c r="BN65" s="12"/>
      <c r="BO65" s="12"/>
      <c r="BP65" s="12"/>
      <c r="BT65" s="12"/>
      <c r="BU65" s="12"/>
      <c r="BV65" s="12"/>
      <c r="BW65" s="12"/>
      <c r="BX65" s="12"/>
      <c r="CB65" s="12"/>
      <c r="CC65" s="12"/>
      <c r="CD65" s="12"/>
      <c r="CE65" s="12"/>
      <c r="CF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</row>
    <row r="66" spans="1:108" s="13" customFormat="1" hidden="1" x14ac:dyDescent="0.2">
      <c r="A66" s="12">
        <v>9</v>
      </c>
      <c r="B66" s="12" t="s">
        <v>485</v>
      </c>
      <c r="C66" s="12" t="s">
        <v>486</v>
      </c>
      <c r="D66" s="12" t="s">
        <v>487</v>
      </c>
      <c r="F66" s="12"/>
      <c r="G66" s="12"/>
      <c r="H66" s="12"/>
      <c r="I66" s="12"/>
      <c r="J66" s="12"/>
      <c r="K66" s="12"/>
      <c r="L66" s="12"/>
      <c r="N66" s="12"/>
      <c r="O66" s="12"/>
      <c r="P66" s="12"/>
      <c r="Q66" s="12"/>
      <c r="R66" s="12"/>
      <c r="S66" s="12"/>
      <c r="T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V66" s="12"/>
      <c r="AW66" s="12"/>
      <c r="AX66" s="12"/>
      <c r="AY66" s="12"/>
      <c r="AZ66" s="12"/>
      <c r="BD66" s="12"/>
      <c r="BE66" s="12"/>
      <c r="BF66" s="12"/>
      <c r="BG66" s="12"/>
      <c r="BH66" s="12"/>
      <c r="BL66" s="12"/>
      <c r="BM66" s="12"/>
      <c r="BN66" s="12"/>
      <c r="BO66" s="12"/>
      <c r="BP66" s="12"/>
      <c r="BT66" s="12"/>
      <c r="BU66" s="12"/>
      <c r="BV66" s="12"/>
      <c r="BW66" s="12"/>
      <c r="BX66" s="12"/>
      <c r="CB66" s="12"/>
      <c r="CC66" s="12"/>
      <c r="CD66" s="12"/>
      <c r="CE66" s="12"/>
      <c r="CF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</row>
    <row r="67" spans="1:108" s="13" customFormat="1" hidden="1" x14ac:dyDescent="0.2">
      <c r="A67" s="12">
        <v>10</v>
      </c>
      <c r="B67" s="12" t="s">
        <v>488</v>
      </c>
      <c r="C67" s="12" t="s">
        <v>489</v>
      </c>
      <c r="D67" s="12" t="s">
        <v>490</v>
      </c>
      <c r="F67" s="12"/>
      <c r="G67" s="12"/>
      <c r="H67" s="12"/>
      <c r="I67" s="12"/>
      <c r="J67" s="12"/>
      <c r="K67" s="12"/>
      <c r="L67" s="12"/>
      <c r="N67" s="12"/>
      <c r="O67" s="12"/>
      <c r="P67" s="12"/>
      <c r="Q67" s="12"/>
      <c r="R67" s="12"/>
      <c r="S67" s="12"/>
      <c r="T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V67" s="12"/>
      <c r="AW67" s="12"/>
      <c r="AX67" s="12"/>
      <c r="AY67" s="12"/>
      <c r="AZ67" s="12"/>
      <c r="BD67" s="12"/>
      <c r="BE67" s="12"/>
      <c r="BF67" s="12"/>
      <c r="BG67" s="12"/>
      <c r="BH67" s="12"/>
      <c r="BL67" s="12"/>
      <c r="BM67" s="12"/>
      <c r="BN67" s="12"/>
      <c r="BO67" s="12"/>
      <c r="BP67" s="12"/>
      <c r="BT67" s="12"/>
      <c r="BU67" s="12"/>
      <c r="BV67" s="12"/>
      <c r="BW67" s="12"/>
      <c r="BX67" s="12"/>
      <c r="CB67" s="12"/>
      <c r="CC67" s="12"/>
      <c r="CD67" s="12"/>
      <c r="CE67" s="12"/>
      <c r="CF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</row>
    <row r="68" spans="1:108" s="13" customFormat="1" hidden="1" x14ac:dyDescent="0.2">
      <c r="A68" s="12">
        <v>11</v>
      </c>
      <c r="B68" s="12" t="s">
        <v>491</v>
      </c>
      <c r="C68" s="12" t="s">
        <v>492</v>
      </c>
      <c r="D68" s="12" t="s">
        <v>493</v>
      </c>
      <c r="F68" s="12"/>
      <c r="G68" s="12"/>
      <c r="H68" s="12"/>
      <c r="I68" s="12"/>
      <c r="J68" s="12"/>
      <c r="K68" s="12"/>
      <c r="L68" s="12"/>
      <c r="N68" s="12"/>
      <c r="O68" s="12"/>
      <c r="P68" s="12"/>
      <c r="Q68" s="12"/>
      <c r="R68" s="12"/>
      <c r="S68" s="12"/>
      <c r="T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V68" s="12"/>
      <c r="AW68" s="12"/>
      <c r="AX68" s="12"/>
      <c r="AY68" s="12"/>
      <c r="AZ68" s="12"/>
      <c r="BD68" s="12"/>
      <c r="BE68" s="12"/>
      <c r="BF68" s="12"/>
      <c r="BG68" s="12"/>
      <c r="BH68" s="12"/>
      <c r="BL68" s="12"/>
      <c r="BM68" s="12"/>
      <c r="BN68" s="12"/>
      <c r="BO68" s="12"/>
      <c r="BP68" s="12"/>
      <c r="BT68" s="12"/>
      <c r="BU68" s="12"/>
      <c r="BV68" s="12"/>
      <c r="BW68" s="12"/>
      <c r="BX68" s="12"/>
      <c r="CB68" s="12"/>
      <c r="CC68" s="12"/>
      <c r="CD68" s="12"/>
      <c r="CE68" s="12"/>
      <c r="CF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</row>
    <row r="69" spans="1:108" s="13" customFormat="1" hidden="1" x14ac:dyDescent="0.2">
      <c r="A69" s="12">
        <v>12</v>
      </c>
      <c r="B69" s="12" t="s">
        <v>494</v>
      </c>
      <c r="C69" s="12" t="s">
        <v>495</v>
      </c>
      <c r="D69" s="12" t="s">
        <v>496</v>
      </c>
      <c r="F69" s="12"/>
      <c r="G69" s="12"/>
      <c r="H69" s="12"/>
      <c r="I69" s="12"/>
      <c r="J69" s="12"/>
      <c r="K69" s="12"/>
      <c r="L69" s="12"/>
      <c r="N69" s="12"/>
      <c r="O69" s="12"/>
      <c r="P69" s="12"/>
      <c r="Q69" s="12"/>
      <c r="R69" s="12"/>
      <c r="S69" s="12"/>
      <c r="T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V69" s="12"/>
      <c r="AW69" s="12"/>
      <c r="AX69" s="12"/>
      <c r="AY69" s="12"/>
      <c r="AZ69" s="12"/>
      <c r="BD69" s="12"/>
      <c r="BE69" s="12"/>
      <c r="BF69" s="12"/>
      <c r="BG69" s="12"/>
      <c r="BH69" s="12"/>
      <c r="BL69" s="12"/>
      <c r="BM69" s="12"/>
      <c r="BN69" s="12"/>
      <c r="BO69" s="12"/>
      <c r="BP69" s="12"/>
      <c r="BT69" s="12"/>
      <c r="BU69" s="12"/>
      <c r="BV69" s="12"/>
      <c r="BW69" s="12"/>
      <c r="BX69" s="12"/>
      <c r="CB69" s="12"/>
      <c r="CC69" s="12"/>
      <c r="CD69" s="12"/>
      <c r="CE69" s="12"/>
      <c r="CF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</row>
    <row r="70" spans="1:108" hidden="1" x14ac:dyDescent="0.2"/>
    <row r="71" spans="1:108" s="13" customFormat="1" hidden="1" x14ac:dyDescent="0.2">
      <c r="A71" s="132" t="s">
        <v>497</v>
      </c>
      <c r="B71" s="12">
        <v>1340000876</v>
      </c>
      <c r="C71" s="12">
        <v>33179956</v>
      </c>
      <c r="D71" s="12" t="s">
        <v>498</v>
      </c>
      <c r="F71" s="12"/>
      <c r="G71" s="12"/>
      <c r="H71" s="12"/>
      <c r="I71" s="12"/>
      <c r="J71" s="12"/>
      <c r="K71" s="12"/>
      <c r="L71" s="12"/>
      <c r="N71" s="12"/>
      <c r="O71" s="12"/>
      <c r="P71" s="12"/>
      <c r="Q71" s="12"/>
      <c r="R71" s="12"/>
      <c r="S71" s="12"/>
      <c r="T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V71" s="12"/>
      <c r="AW71" s="12"/>
      <c r="AX71" s="12"/>
      <c r="AY71" s="12"/>
      <c r="AZ71" s="12"/>
      <c r="BD71" s="12"/>
      <c r="BE71" s="12"/>
      <c r="BF71" s="12"/>
      <c r="BG71" s="12"/>
      <c r="BH71" s="12"/>
      <c r="BL71" s="12"/>
      <c r="BM71" s="12"/>
      <c r="BN71" s="12"/>
      <c r="BO71" s="12"/>
      <c r="BP71" s="12"/>
      <c r="BT71" s="12"/>
      <c r="BU71" s="12"/>
      <c r="BV71" s="12"/>
      <c r="BW71" s="12"/>
      <c r="BX71" s="12"/>
      <c r="CB71" s="12"/>
      <c r="CC71" s="12"/>
      <c r="CD71" s="12"/>
      <c r="CE71" s="12"/>
      <c r="CF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</row>
    <row r="72" spans="1:108" s="13" customFormat="1" hidden="1" x14ac:dyDescent="0.2">
      <c r="A72" s="132" t="s">
        <v>499</v>
      </c>
      <c r="B72" s="133" t="s">
        <v>500</v>
      </c>
      <c r="C72" s="12">
        <v>99970064604</v>
      </c>
      <c r="D72" s="12" t="s">
        <v>501</v>
      </c>
      <c r="F72" s="12"/>
      <c r="G72" s="12"/>
      <c r="H72" s="12"/>
      <c r="I72" s="12"/>
      <c r="J72" s="12"/>
      <c r="K72" s="12"/>
      <c r="L72" s="12"/>
      <c r="N72" s="12"/>
      <c r="O72" s="12"/>
      <c r="P72" s="12"/>
      <c r="Q72" s="12"/>
      <c r="R72" s="12"/>
      <c r="S72" s="12"/>
      <c r="T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V72" s="12"/>
      <c r="AW72" s="12"/>
      <c r="AX72" s="12"/>
      <c r="AY72" s="12"/>
      <c r="AZ72" s="12"/>
      <c r="BD72" s="12"/>
      <c r="BE72" s="12"/>
      <c r="BF72" s="12"/>
      <c r="BG72" s="12"/>
      <c r="BH72" s="12"/>
      <c r="BL72" s="12"/>
      <c r="BM72" s="12"/>
      <c r="BN72" s="12"/>
      <c r="BO72" s="12"/>
      <c r="BP72" s="12"/>
      <c r="BT72" s="12"/>
      <c r="BU72" s="12"/>
      <c r="BV72" s="12"/>
      <c r="BW72" s="12"/>
      <c r="BX72" s="12"/>
      <c r="CB72" s="12"/>
      <c r="CC72" s="12"/>
      <c r="CD72" s="12"/>
      <c r="CE72" s="12"/>
      <c r="CF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</row>
    <row r="73" spans="1:108" hidden="1" x14ac:dyDescent="0.2"/>
  </sheetData>
  <autoFilter ref="A5:CZ40">
    <sortState ref="A8:CZ42">
      <sortCondition ref="I8:I42"/>
      <sortCondition ref="C8:C42"/>
    </sortState>
  </autoFilter>
  <mergeCells count="10">
    <mergeCell ref="A48:B48"/>
    <mergeCell ref="C48:D48"/>
    <mergeCell ref="CW48:CY48"/>
    <mergeCell ref="A49:B49"/>
    <mergeCell ref="C49:D49"/>
    <mergeCell ref="A2:D2"/>
    <mergeCell ref="A3:D3"/>
    <mergeCell ref="A46:B47"/>
    <mergeCell ref="C46:D46"/>
    <mergeCell ref="C47:D47"/>
  </mergeCells>
  <conditionalFormatting sqref="Y46">
    <cfRule type="cellIs" dxfId="9" priority="10" operator="between">
      <formula>TODAY()-3</formula>
      <formula>TODAY()+3</formula>
    </cfRule>
  </conditionalFormatting>
  <conditionalFormatting sqref="CS46">
    <cfRule type="cellIs" dxfId="8" priority="3" operator="between">
      <formula>TODAY()-3</formula>
      <formula>TODAY()+3</formula>
    </cfRule>
  </conditionalFormatting>
  <conditionalFormatting sqref="AW46">
    <cfRule type="cellIs" dxfId="7" priority="9" operator="between">
      <formula>TODAY()-3</formula>
      <formula>TODAY()+3</formula>
    </cfRule>
  </conditionalFormatting>
  <conditionalFormatting sqref="BE46">
    <cfRule type="cellIs" dxfId="6" priority="8" operator="between">
      <formula>TODAY()-3</formula>
      <formula>TODAY()+3</formula>
    </cfRule>
  </conditionalFormatting>
  <conditionalFormatting sqref="BM46">
    <cfRule type="cellIs" dxfId="5" priority="7" operator="between">
      <formula>TODAY()-3</formula>
      <formula>TODAY()+3</formula>
    </cfRule>
  </conditionalFormatting>
  <conditionalFormatting sqref="BU46">
    <cfRule type="cellIs" dxfId="4" priority="6" operator="between">
      <formula>TODAY()-3</formula>
      <formula>TODAY()+3</formula>
    </cfRule>
  </conditionalFormatting>
  <conditionalFormatting sqref="CC46">
    <cfRule type="cellIs" dxfId="3" priority="5" operator="between">
      <formula>TODAY()-3</formula>
      <formula>TODAY()+3</formula>
    </cfRule>
  </conditionalFormatting>
  <conditionalFormatting sqref="CK46">
    <cfRule type="cellIs" dxfId="2" priority="4" operator="between">
      <formula>TODAY()-3</formula>
      <formula>TODAY()+3</formula>
    </cfRule>
  </conditionalFormatting>
  <conditionalFormatting sqref="AO46">
    <cfRule type="cellIs" dxfId="1" priority="2" operator="between">
      <formula>TODAY()-3</formula>
      <formula>TODAY()+3</formula>
    </cfRule>
  </conditionalFormatting>
  <conditionalFormatting sqref="AG46">
    <cfRule type="cellIs" dxfId="0" priority="1" operator="between">
      <formula>TODAY()-3</formula>
      <formula>TODAY()+3</formula>
    </cfRule>
  </conditionalFormatting>
  <pageMargins left="0.7" right="0.7" top="0.75" bottom="0.75" header="0.3" footer="0.3"/>
  <pageSetup paperSize="9" scale="68" orientation="landscape" r:id="rId1"/>
  <ignoredErrors>
    <ignoredError sqref="CD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Agua</vt:lpstr>
      <vt:lpstr>'CxP Agua'!Área_de_impresión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Rafael Barahona Rojas</dc:creator>
  <cp:lastModifiedBy>Ernesto Rafael Barahona Rojas</cp:lastModifiedBy>
  <dcterms:created xsi:type="dcterms:W3CDTF">2022-11-03T00:31:36Z</dcterms:created>
  <dcterms:modified xsi:type="dcterms:W3CDTF">2022-11-03T00:39:11Z</dcterms:modified>
</cp:coreProperties>
</file>