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OneDrive - MDMQ Dirección Informática/SECRETARÍA DE MOVILIDAD/2020/09. SEPTIEMBRE-2020/Proyecto de Ordenanza-SITP-092020/Proyecto_Ordenanza_SITP-DMQ-nov.2020/Anexo 3-Tarifas_Subsistema Convencional_Fase Previa Integración/Modelos y Tarifas Subsistema Convenc-Urbano-Combinado-Rural/"/>
    </mc:Choice>
  </mc:AlternateContent>
  <xr:revisionPtr revIDLastSave="0" documentId="13_ncr:1_{DFC1AED7-BEA1-8C49-ADD6-D921782DEE0E}" xr6:coauthVersionLast="45" xr6:coauthVersionMax="45" xr10:uidLastSave="{00000000-0000-0000-0000-000000000000}"/>
  <bookViews>
    <workbookView xWindow="0" yWindow="620" windowWidth="18000" windowHeight="20060" activeTab="3" xr2:uid="{CE1CE0AC-72C6-484A-8FAA-9B76CAFE4011}"/>
  </bookViews>
  <sheets>
    <sheet name="DATOS BASE" sheetId="4" r:id="rId1"/>
    <sheet name="TARIFA EQUIVALENTE RUTA TIPO" sheetId="5" r:id="rId2"/>
    <sheet name="CÁLCULO TARIFA KM" sheetId="6" r:id="rId3"/>
    <sheet name="GUAYLLABAMBA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SS1">#REF!</definedName>
    <definedName name="_SS2">#REF!</definedName>
    <definedName name="aa">OFFSET(Full_Print,0,0,Last_Row)</definedName>
    <definedName name="AliData">#REF!</definedName>
    <definedName name="amortizacion">DATE(YEAR(Loan_Start),MONTH(Loan_Start)+Payment_Number,DAY(Loan_Start))</definedName>
    <definedName name="Bustipo">#REF!</definedName>
    <definedName name="CFIJO">OFFSET(Full_Print,0,0,Last_Row)</definedName>
    <definedName name="COSTFIJO">DATE(YEAR(Loan_Start),MONTH(Loan_Start)+Payment_Number,DAY(Loan_Start))</definedName>
    <definedName name="DOMINGO">'[2]Registro de cambios'!$E$58</definedName>
    <definedName name="DOS">Scheduled_Payment+Extra_Payment</definedName>
    <definedName name="DURACIÓN">#REF!</definedName>
    <definedName name="End_Bal">'[3]Matriz de riesgos'!$I$18:$I$377</definedName>
    <definedName name="equilibriocomb">OFFSET(Full_Print,0,0,Last_Row)</definedName>
    <definedName name="ESCUELA">#REF!</definedName>
    <definedName name="FLOTA01">#REF!</definedName>
    <definedName name="FLOTA02">#REF!</definedName>
    <definedName name="FLOTA03">#REF!</definedName>
    <definedName name="FLOTA04">#REF!</definedName>
    <definedName name="FLOTA05">#REF!</definedName>
    <definedName name="FLOTA06">#REF!</definedName>
    <definedName name="FLOTA07">#REF!</definedName>
    <definedName name="FLOTA08">#REF!</definedName>
    <definedName name="FLOTA09">#REF!</definedName>
    <definedName name="FLOTA1">#REF!</definedName>
    <definedName name="FLOTA10">#REF!</definedName>
    <definedName name="FLOTA11">#REF!</definedName>
    <definedName name="FLOTA12">#REF!</definedName>
    <definedName name="FLOTA13">#REF!</definedName>
    <definedName name="FLOTA14">#REF!</definedName>
    <definedName name="FLOTA15">#REF!</definedName>
    <definedName name="FLOTA16">#REF!</definedName>
    <definedName name="FLOTA17">#REF!</definedName>
    <definedName name="FLOTA18">#REF!</definedName>
    <definedName name="FLOTA19">#REF!</definedName>
    <definedName name="FLOTA20">#REF!</definedName>
    <definedName name="Full_Print">'[3]Matriz de riesgos'!$A$1:$I$377</definedName>
    <definedName name="GASTOSI">#REF!</definedName>
    <definedName name="Header_Row">ROW('[3]Matriz de riesgos'!$A$17:$IV$17)</definedName>
    <definedName name="Interest_Rate">'[3]Matriz de riesgos'!$D$7</definedName>
    <definedName name="Last_Row">IF(Values_Entered,Header_Row+Number_of_Payments,Header_Row)</definedName>
    <definedName name="Lineas_STSS">#REF!</definedName>
    <definedName name="Loan_Amount">'[3]Matriz de riesgos'!$D$6</definedName>
    <definedName name="Loan_Start">'[3]Matriz de riesgos'!$D$10</definedName>
    <definedName name="Loan_Years">'[3]Matriz de riesgos'!$D$8</definedName>
    <definedName name="NUALI">#REF!</definedName>
    <definedName name="Number_of_Payments">MATCH(0.01,End_Bal,-1)+1</definedName>
    <definedName name="NUMSERV">'[2]Registro de cambios'!#REF!</definedName>
    <definedName name="NUMSERVU">'[2]Registro de cambios'!#REF!</definedName>
    <definedName name="OOO">IF(Loan_Amount*Interest_Rate*Loan_Years*Loan_Start&gt;0,1,0)</definedName>
    <definedName name="Operadoras_STSS">#REF!</definedName>
    <definedName name="Payment_Date">DATE(YEAR(Loan_Start),MONTH(Loan_Start)+Payment_Number,DAY(Loan_Start))</definedName>
    <definedName name="Print_Area_Reset">OFFSET(Full_Print,0,0,Last_Row)</definedName>
    <definedName name="propiedad">'[4]Registro de cambios'!#REF!</definedName>
    <definedName name="REMUNARTICULADO">OFFSET(Full_Print,0,0,[0]!Last_Row)</definedName>
    <definedName name="rrr">#REF!</definedName>
    <definedName name="SABADO">'[2]Registro de cambios'!$E$57</definedName>
    <definedName name="tar">MATCH(0.01,End_Bal,-1)+1</definedName>
    <definedName name="TarifaEtapa1A">'[5]Resultados '!$A$35:$X$97</definedName>
    <definedName name="TIR">IF(OOO,Header_Row+Number_of_Payments,Header_Row)</definedName>
    <definedName name="_xlnm.Print_Titles" localSheetId="3">GUAYLLABAMBA!$1:$1</definedName>
    <definedName name="TOTAL">Scheduled_Payment+Extra_Payment</definedName>
    <definedName name="Total_Payment">Scheduled_Payment+Extra_Payment</definedName>
    <definedName name="TraData">'[6]Line data'!$D$169:$I$185</definedName>
    <definedName name="TRIMESTRES">#REF!</definedName>
    <definedName name="TroData">'[6]Line data'!$D$66:$I$88</definedName>
    <definedName name="TTRU">#REF!</definedName>
    <definedName name="TTRURED">#REF!</definedName>
    <definedName name="Values_Entered">IF(Loan_Amount*Interest_Rate*Loan_Years*Loan_Start&gt;0,1,0)</definedName>
    <definedName name="VecData">#REF!</definedName>
    <definedName name="xfersp1">[7]Xfers!$B$2:$I$16</definedName>
    <definedName name="xfersp2">[7]Xfers!$B$19:$I$33</definedName>
    <definedName name="xfersp3">[7]Xfers!$B$36:$I$50</definedName>
    <definedName name="xfersp4">[7]Xfers!$B$53:$I$67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6" l="1"/>
  <c r="C14" i="5"/>
  <c r="C3" i="5" s="1"/>
  <c r="D11" i="5"/>
  <c r="F11" i="5" s="1"/>
  <c r="D10" i="5"/>
  <c r="F10" i="5" s="1"/>
  <c r="D7" i="5"/>
  <c r="F7" i="5" s="1"/>
  <c r="D6" i="5"/>
  <c r="C53" i="4"/>
  <c r="E52" i="4"/>
  <c r="F52" i="4" s="1"/>
  <c r="D52" i="4"/>
  <c r="E51" i="4"/>
  <c r="E53" i="4" s="1"/>
  <c r="F51" i="4" s="1"/>
  <c r="N46" i="4"/>
  <c r="B59" i="4" s="1"/>
  <c r="M46" i="4"/>
  <c r="M45" i="4"/>
  <c r="N45" i="4" s="1"/>
  <c r="M44" i="4"/>
  <c r="N44" i="4" s="1"/>
  <c r="N43" i="4"/>
  <c r="M43" i="4"/>
  <c r="N42" i="4"/>
  <c r="M42" i="4"/>
  <c r="M41" i="4"/>
  <c r="N41" i="4" s="1"/>
  <c r="M40" i="4"/>
  <c r="N40" i="4" s="1"/>
  <c r="D39" i="4"/>
  <c r="E39" i="4" s="1"/>
  <c r="F39" i="4" s="1"/>
  <c r="G39" i="4" s="1"/>
  <c r="H39" i="4" s="1"/>
  <c r="I39" i="4" s="1"/>
  <c r="J39" i="4" s="1"/>
  <c r="K39" i="4" s="1"/>
  <c r="L39" i="4" s="1"/>
  <c r="N32" i="4"/>
  <c r="B58" i="4" s="1"/>
  <c r="M32" i="4"/>
  <c r="M31" i="4"/>
  <c r="N31" i="4" s="1"/>
  <c r="M30" i="4"/>
  <c r="N30" i="4" s="1"/>
  <c r="M29" i="4"/>
  <c r="N29" i="4" s="1"/>
  <c r="N28" i="4"/>
  <c r="M28" i="4"/>
  <c r="M27" i="4"/>
  <c r="N27" i="4" s="1"/>
  <c r="M26" i="4"/>
  <c r="N26" i="4" s="1"/>
  <c r="O26" i="4" s="1"/>
  <c r="D25" i="4"/>
  <c r="E25" i="4" s="1"/>
  <c r="F25" i="4" s="1"/>
  <c r="G25" i="4" s="1"/>
  <c r="H25" i="4" s="1"/>
  <c r="I25" i="4" s="1"/>
  <c r="J25" i="4" s="1"/>
  <c r="K25" i="4" s="1"/>
  <c r="L25" i="4" s="1"/>
  <c r="C16" i="4"/>
  <c r="L7" i="4"/>
  <c r="C8" i="6" s="1"/>
  <c r="D8" i="6" s="1"/>
  <c r="I7" i="4"/>
  <c r="B7" i="4"/>
  <c r="D6" i="4"/>
  <c r="F6" i="4" s="1"/>
  <c r="B6" i="4"/>
  <c r="E5" i="4"/>
  <c r="D5" i="4"/>
  <c r="D7" i="4" s="1"/>
  <c r="B5" i="4"/>
  <c r="C59" i="4" l="1"/>
  <c r="G52" i="4"/>
  <c r="O40" i="4"/>
  <c r="D59" i="4"/>
  <c r="C58" i="4"/>
  <c r="G51" i="4"/>
  <c r="F53" i="4"/>
  <c r="D58" i="4"/>
  <c r="D60" i="4" s="1"/>
  <c r="F8" i="6" s="1"/>
  <c r="D8" i="5"/>
  <c r="F8" i="5" s="1"/>
  <c r="D12" i="5"/>
  <c r="F12" i="5" s="1"/>
  <c r="F5" i="4"/>
  <c r="F7" i="4" s="1"/>
  <c r="E8" i="6" s="1"/>
  <c r="D9" i="5"/>
  <c r="F9" i="5" s="1"/>
  <c r="D13" i="5"/>
  <c r="F13" i="5" s="1"/>
  <c r="F6" i="5"/>
  <c r="H8" i="6" l="1"/>
  <c r="G8" i="6"/>
  <c r="F14" i="5"/>
  <c r="D14" i="5"/>
  <c r="C18" i="5" l="1"/>
  <c r="C19" i="5" s="1"/>
  <c r="F16" i="5"/>
  <c r="J8" i="6" l="1"/>
  <c r="K8" i="6" s="1"/>
  <c r="L8" i="6" s="1"/>
  <c r="M8" i="6" s="1"/>
  <c r="C20" i="5"/>
  <c r="D17" i="5"/>
  <c r="H45" i="3" l="1"/>
  <c r="H42" i="3"/>
  <c r="H40" i="3"/>
  <c r="H37" i="3"/>
  <c r="H36" i="3"/>
  <c r="H35" i="3"/>
  <c r="D45" i="3" l="1"/>
  <c r="E45" i="3" s="1"/>
  <c r="F45" i="3" s="1"/>
  <c r="D42" i="3"/>
  <c r="E42" i="3" s="1"/>
  <c r="F42" i="3" s="1"/>
  <c r="D41" i="3"/>
  <c r="E41" i="3" s="1"/>
  <c r="F41" i="3" s="1"/>
  <c r="D40" i="3"/>
  <c r="E40" i="3" s="1"/>
  <c r="F40" i="3" s="1"/>
  <c r="D37" i="3"/>
  <c r="E37" i="3" s="1"/>
  <c r="F37" i="3" s="1"/>
  <c r="D36" i="3"/>
  <c r="E36" i="3" s="1"/>
  <c r="F36" i="3" s="1"/>
  <c r="D35" i="3"/>
  <c r="E35" i="3" s="1"/>
  <c r="F35" i="3" s="1"/>
  <c r="D34" i="3"/>
  <c r="E34" i="3" s="1"/>
  <c r="F34" i="3" s="1"/>
  <c r="D33" i="3"/>
  <c r="E33" i="3" s="1"/>
  <c r="F33" i="3" s="1"/>
  <c r="D32" i="3"/>
  <c r="E32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F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F8" i="3" l="1"/>
  <c r="G8" i="3"/>
  <c r="H8" i="3" s="1"/>
  <c r="F25" i="3"/>
  <c r="H25" i="3" s="1"/>
  <c r="G25" i="3"/>
  <c r="F26" i="3"/>
  <c r="G26" i="3"/>
  <c r="F24" i="3"/>
  <c r="G24" i="3"/>
  <c r="F17" i="3"/>
  <c r="G17" i="3"/>
  <c r="F10" i="3"/>
  <c r="G10" i="3"/>
  <c r="H10" i="3" s="1"/>
  <c r="F18" i="3"/>
  <c r="G18" i="3"/>
  <c r="F11" i="3"/>
  <c r="G11" i="3"/>
  <c r="H11" i="3" s="1"/>
  <c r="F19" i="3"/>
  <c r="G19" i="3"/>
  <c r="F27" i="3"/>
  <c r="H27" i="3" s="1"/>
  <c r="G27" i="3"/>
  <c r="F9" i="3"/>
  <c r="G9" i="3"/>
  <c r="H9" i="3" s="1"/>
  <c r="F20" i="3"/>
  <c r="G20" i="3"/>
  <c r="H20" i="3" s="1"/>
  <c r="F5" i="3"/>
  <c r="G5" i="3"/>
  <c r="F29" i="3"/>
  <c r="H29" i="3" s="1"/>
  <c r="G29" i="3"/>
  <c r="F32" i="3"/>
  <c r="G32" i="3"/>
  <c r="H32" i="3" s="1"/>
  <c r="F16" i="3"/>
  <c r="G16" i="3"/>
  <c r="H16" i="3" s="1"/>
  <c r="F12" i="3"/>
  <c r="G12" i="3"/>
  <c r="H12" i="3" s="1"/>
  <c r="F28" i="3"/>
  <c r="G28" i="3"/>
  <c r="F13" i="3"/>
  <c r="G13" i="3"/>
  <c r="F21" i="3"/>
  <c r="H21" i="3" s="1"/>
  <c r="G21" i="3"/>
  <c r="F6" i="3"/>
  <c r="G6" i="3"/>
  <c r="F14" i="3"/>
  <c r="G14" i="3"/>
  <c r="H14" i="3" s="1"/>
  <c r="F7" i="3"/>
  <c r="G7" i="3"/>
  <c r="H7" i="3" s="1"/>
  <c r="F15" i="3"/>
  <c r="G15" i="3"/>
  <c r="F23" i="3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Jacqueline Arias Pombosa</author>
  </authors>
  <commentList>
    <comment ref="D8" authorId="0" shapeId="0" xr:uid="{C14DE181-A172-D945-9E83-811F8C72F956}">
      <text>
        <r>
          <rPr>
            <b/>
            <sz val="7"/>
            <color rgb="FF000000"/>
            <rFont val="Tahoma"/>
            <family val="2"/>
          </rPr>
          <t xml:space="preserve">Km diarios por 26,4 días equivalentes de operación al mes </t>
        </r>
        <r>
          <rPr>
            <sz val="7"/>
            <color rgb="FF000000"/>
            <rFont val="Tahoma"/>
            <family val="2"/>
          </rPr>
          <t xml:space="preserve">
</t>
        </r>
      </text>
    </comment>
    <comment ref="E8" authorId="0" shapeId="0" xr:uid="{10F5163D-2B05-0F46-955C-A736405E5BC4}">
      <text>
        <r>
          <rPr>
            <b/>
            <sz val="7"/>
            <color indexed="81"/>
            <rFont val="Tahoma"/>
            <family val="2"/>
          </rPr>
          <t>Demanda 865 pasajeros por 26,42 días equivalente de operación al mes</t>
        </r>
      </text>
    </comment>
    <comment ref="F8" authorId="0" shapeId="0" xr:uid="{ABD81C27-E887-4943-9F26-68836DF6FB8C}">
      <text>
        <r>
          <rPr>
            <b/>
            <sz val="7"/>
            <color rgb="FF000000"/>
            <rFont val="Tahoma"/>
            <family val="2"/>
          </rPr>
          <t>Promedio ponderado de Costos de Operación Combinados/ Rurales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8" authorId="0" shapeId="0" xr:uid="{155D6189-B1C1-7341-8775-AAAA9B26D49D}">
      <text>
        <r>
          <rPr>
            <b/>
            <sz val="7"/>
            <color rgb="FF000000"/>
            <rFont val="Tahoma"/>
            <family val="2"/>
          </rPr>
          <t>O-D Ruta La Merced - El Girón</t>
        </r>
      </text>
    </comment>
    <comment ref="J8" authorId="0" shapeId="0" xr:uid="{62D2DEC3-7785-1D46-81F8-27DBB6182934}">
      <text>
        <r>
          <rPr>
            <b/>
            <sz val="7"/>
            <color rgb="FF000000"/>
            <rFont val="Tahoma"/>
            <family val="2"/>
          </rPr>
          <t xml:space="preserve">Tarifa equivalente de referencia La Merced-El Girón
</t>
        </r>
      </text>
    </comment>
    <comment ref="M8" authorId="0" shapeId="0" xr:uid="{EFC75B03-9C33-4D4D-907F-9BC856E40904}">
      <text>
        <r>
          <rPr>
            <b/>
            <sz val="7"/>
            <color rgb="FF000000"/>
            <rFont val="Tahoma"/>
            <family val="2"/>
          </rPr>
          <t>debe pagar el usuario por cada kilometro que se moviliza en una ruta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<sst xmlns="http://schemas.openxmlformats.org/spreadsheetml/2006/main" count="182" uniqueCount="148">
  <si>
    <t xml:space="preserve">FACTOR PARA TRANSPORTAR UN USUARIO POR KM </t>
  </si>
  <si>
    <t>Tramos</t>
  </si>
  <si>
    <t>Tarifa actual</t>
  </si>
  <si>
    <t>Longitud</t>
  </si>
  <si>
    <t>Tarifa equivalente</t>
  </si>
  <si>
    <t>Tarifa completa usuario</t>
  </si>
  <si>
    <t>Tarifa preferencial usuario</t>
  </si>
  <si>
    <t>EL Quinche - Cusubamba</t>
  </si>
  <si>
    <t>El Quinche -Guayllabamba</t>
  </si>
  <si>
    <t>EL Quinche - Peaje</t>
  </si>
  <si>
    <t>El Quinche - Carapungo</t>
  </si>
  <si>
    <t>Ascazubi - Guayllabamba</t>
  </si>
  <si>
    <t>Ascazubi - Peaje</t>
  </si>
  <si>
    <t>Ascazubi - Carapungo</t>
  </si>
  <si>
    <t>Ascazubi - Ofelia</t>
  </si>
  <si>
    <t>Cusubamba - Guayllabamba</t>
  </si>
  <si>
    <t>Cusubamba - Peaje</t>
  </si>
  <si>
    <t>Cusubamba - Carapungo</t>
  </si>
  <si>
    <t>Guayllabamba- Peaje</t>
  </si>
  <si>
    <t>Guayllabamba- Carapungo</t>
  </si>
  <si>
    <t>Guayllabamba- Carcelén</t>
  </si>
  <si>
    <t>Guayllabamba- Calderón</t>
  </si>
  <si>
    <t>El Quinche - Carcelén</t>
  </si>
  <si>
    <t>El Quinche - Terminal La Ofelia</t>
  </si>
  <si>
    <t>Peaje - La Ofelia</t>
  </si>
  <si>
    <t>Cusubamba - Calderón</t>
  </si>
  <si>
    <t>Ascazubi - Carcelén</t>
  </si>
  <si>
    <t>Mercado de San roque - El Quinche</t>
  </si>
  <si>
    <t>Guyallabamba-Mercado San Roque</t>
  </si>
  <si>
    <t>Peaje - Av Rio Coca y las palmeras</t>
  </si>
  <si>
    <t>Calderon - Av Rio Coca y las palmeras</t>
  </si>
  <si>
    <t>TARIFAS PROPUESTAS PARA EL USUARIO</t>
  </si>
  <si>
    <t>Ruta 234: EL QUINCHE-LA OFELIA Y RAMAL RIO COCA</t>
  </si>
  <si>
    <t>Santa Anita- La Ofelia</t>
  </si>
  <si>
    <t>Guayllabamba - Av Rio Coca y Las Palmeras</t>
  </si>
  <si>
    <t>Cusubamba - Av Rio Coca y Las Palmeras</t>
  </si>
  <si>
    <t>Ascazubi - Av Rio Coca  y Las Palmeras</t>
  </si>
  <si>
    <t>El Quinche -Av Rio Coca y Las Palmeras</t>
  </si>
  <si>
    <t>Guayllabamba- La Ofelia</t>
  </si>
  <si>
    <t>Cusubamba - La Ofelia</t>
  </si>
  <si>
    <t>Ascázubi - Calderón</t>
  </si>
  <si>
    <t>EL Quinche - Calderón</t>
  </si>
  <si>
    <t>TARIFAS CALCULADAS PARA LOS SERVICIOS DE TRANSPORTE 
INTRACANTONAL COMBINADO Y RURAL DEL DMQ</t>
  </si>
  <si>
    <t>Cusubamba - Carcelén</t>
  </si>
  <si>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Para los casos de rutas de esta zona que se incorporaren a futuro o que no consten en estos cuadros, se aplicará la misma metodología utilizada para el cálculo de las tarifas correspondientes.</t>
    </r>
  </si>
  <si>
    <t>DATOS BASE PARA CALCULO DE TARIFAS INTERPARROQUIALES</t>
  </si>
  <si>
    <t>SECTORES</t>
  </si>
  <si>
    <t>VIAJES DIARIOS 2011*</t>
  </si>
  <si>
    <t>TASA DE CRECIMIENTO POBLACIONAL**</t>
  </si>
  <si>
    <t>PROYECCION VIAJES DIARIOS 2019</t>
  </si>
  <si>
    <t>FLOTA***</t>
  </si>
  <si>
    <t>DEMANDA DE PASAJEROS POR BUS POR DIA ORDINARIO</t>
  </si>
  <si>
    <t>FLOTA</t>
  </si>
  <si>
    <t>CHILLOS</t>
  </si>
  <si>
    <t>NO. VUELTAS PROMEDIO</t>
  </si>
  <si>
    <t>DMQ</t>
  </si>
  <si>
    <t>LONGITUD O-D</t>
  </si>
  <si>
    <t>TUMBACO</t>
  </si>
  <si>
    <t>INTRAPROV</t>
  </si>
  <si>
    <t xml:space="preserve">RECORRIDO COMPLETO </t>
  </si>
  <si>
    <t>KM DIARIOS</t>
  </si>
  <si>
    <t xml:space="preserve">Notas: </t>
  </si>
  <si>
    <t>(*) matriz O-D Estudio de demanda de movilidad para el DMQ-2011 -Metro</t>
  </si>
  <si>
    <t>Número de choferes y ayudantes por bus</t>
  </si>
  <si>
    <t>(**)Proyección INEC años 2011-2019</t>
  </si>
  <si>
    <t>Afiliación al IESS del personal operativo</t>
  </si>
  <si>
    <t>(***) Información Operadores</t>
  </si>
  <si>
    <t>Rentabilidad</t>
  </si>
  <si>
    <t>Días equivalentes de operación al mes</t>
  </si>
  <si>
    <t>Días ordinarios</t>
  </si>
  <si>
    <t>Meses</t>
  </si>
  <si>
    <t>Total</t>
  </si>
  <si>
    <t>Feriados y fines de semana</t>
  </si>
  <si>
    <t>COSTOS TOTALES MODELO</t>
  </si>
  <si>
    <t>BUS TIPO (Convencional Combinado)</t>
  </si>
  <si>
    <t>MENSUAL</t>
  </si>
  <si>
    <t>direc e indirecto</t>
  </si>
  <si>
    <t>COSTOS DE OPERACIÓN</t>
  </si>
  <si>
    <t xml:space="preserve">(-) Costo conductores </t>
  </si>
  <si>
    <t xml:space="preserve">(-) Costo combustible </t>
  </si>
  <si>
    <t xml:space="preserve">(-) Costo impuestos + seguros </t>
  </si>
  <si>
    <t xml:space="preserve">(-) Costo Mantenimiento </t>
  </si>
  <si>
    <t xml:space="preserve">(-) Costo personal </t>
  </si>
  <si>
    <t xml:space="preserve">(-) Administración y otros </t>
  </si>
  <si>
    <t>Total OPEX</t>
  </si>
  <si>
    <t>Costos Totales de Operación actualización del Modelo Covencional Intracantonal Combinado</t>
  </si>
  <si>
    <t>MINIBUS</t>
  </si>
  <si>
    <t>PROMEDIO AÑO</t>
  </si>
  <si>
    <t>TUMBACO Y SIMON BOLIVAR</t>
  </si>
  <si>
    <t>FLOTA FINAL</t>
  </si>
  <si>
    <t>%</t>
  </si>
  <si>
    <t>BUS TIPO</t>
  </si>
  <si>
    <t>MINIBUSES</t>
  </si>
  <si>
    <t>FLOTA TOTAL</t>
  </si>
  <si>
    <t>21 minibuses no considerados por realizar ruta Aeropuerto- Quitumbe</t>
  </si>
  <si>
    <t>PROMEDIO PONDERADO DE ACUERDO A LAS FLOTAS DE BUSES TIPO Y MINIBUSES</t>
  </si>
  <si>
    <t>Determinación de Tarifa por Zona y viajes internos como se mueve la gente y cuanto paga</t>
  </si>
  <si>
    <t>Tramos de ruta representativa:</t>
  </si>
  <si>
    <t>La Merced-El Girón</t>
  </si>
  <si>
    <t>Viajes Internos</t>
  </si>
  <si>
    <t>RUTA LA MERCED - EL GIRÓN</t>
  </si>
  <si>
    <t>No. viajes día (*)</t>
  </si>
  <si>
    <t>Porcentaje</t>
  </si>
  <si>
    <t>Tarifa actual 2019</t>
  </si>
  <si>
    <t>Tarifa equivalente por tramo completa</t>
  </si>
  <si>
    <t>tarifa equivalente=</t>
  </si>
  <si>
    <t>%PromedioTarifa normal*Tarifa normal+%Promedio Tarifa reducida*Tarifa reducida</t>
  </si>
  <si>
    <t>La Merced- Alangasí</t>
  </si>
  <si>
    <t>80%*Tarifa normal+20%Tarifa reducida</t>
  </si>
  <si>
    <t>La Merced- Conocoto</t>
  </si>
  <si>
    <t>0,8Tarifa normal+0,2*Tarifa Normal/2</t>
  </si>
  <si>
    <t>La Merced-Pintag</t>
  </si>
  <si>
    <t>0,8Tarifa Normal+0,1Tarifa Normal</t>
  </si>
  <si>
    <t>La Merced-Amaguaña</t>
  </si>
  <si>
    <t>0,9 Tarifa Normal</t>
  </si>
  <si>
    <t>La Merced -Rumiñahui</t>
  </si>
  <si>
    <t>La Merced-Tumbaco</t>
  </si>
  <si>
    <t>paga tarifa normal</t>
  </si>
  <si>
    <t>La Merced-Desvío Simón Bolívar</t>
  </si>
  <si>
    <t>paga tarifa reducida</t>
  </si>
  <si>
    <t>La Merced- Girón</t>
  </si>
  <si>
    <t>Tarifa equivalente general sin considerar los factores de tarifa normal y reducida</t>
  </si>
  <si>
    <t>se multiplica por</t>
  </si>
  <si>
    <t>que es el factor de tarifa</t>
  </si>
  <si>
    <t>Tarifa actual tramo completo</t>
  </si>
  <si>
    <t>se aplica 0,9 para corregir la distorsión de que todos los pasajeros pagan tarifa completa</t>
  </si>
  <si>
    <t>Tarifa equivalente/tarifa actual</t>
  </si>
  <si>
    <t xml:space="preserve">La tarifa equivalente es el </t>
  </si>
  <si>
    <t xml:space="preserve"> de la Tarifa Actual</t>
  </si>
  <si>
    <t>Entonces los</t>
  </si>
  <si>
    <t xml:space="preserve"> centavos es el factor (valor) equivalente por el cual se deben afectar las tarifas de las diferentes rutas</t>
  </si>
  <si>
    <t>Se realizó otro ejercicio con la Parroquia de Pifo obteniéndose valores similares tarifa equivalente 0,262 que representa el 54% de la tarifa actual</t>
  </si>
  <si>
    <t>CÁLCULO DE LA TARIFA POR KILÓMETRO</t>
  </si>
  <si>
    <t>Ruta Tipo</t>
  </si>
  <si>
    <t>LONGITUD PROMEDIO (KM)</t>
  </si>
  <si>
    <t>KM MES</t>
  </si>
  <si>
    <t>DEMANDA MES</t>
  </si>
  <si>
    <t>COSTO OPERACIÓN MES ($)</t>
  </si>
  <si>
    <t>COSTO/KM DE OPERACIÓN  ($)</t>
  </si>
  <si>
    <t>COSTO/PASAJERO ($)</t>
  </si>
  <si>
    <t>TARIFA ACTUAL ($)</t>
  </si>
  <si>
    <t>TARIFA EQUIVALENTE</t>
  </si>
  <si>
    <t>TARIFA ACTUALIZADA</t>
  </si>
  <si>
    <t>FUENTE:</t>
  </si>
  <si>
    <t>MATRIZ-METRO MDMQ</t>
  </si>
  <si>
    <t>ANALISIS DE VIAJES:</t>
  </si>
  <si>
    <t xml:space="preserve"> LA MERCED-EL GIRÓN</t>
  </si>
  <si>
    <t>Ruta general de referencia para los servicios intracantonales combinados con bus tipo, como es el caso de los servicios a Guayllabamba.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</si>
</sst>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US$&quot;* #,##0.00_-;\-&quot;US$&quot;* #,##0.00_-;_-&quot;US$&quot;* &quot;-&quot;??_-;_-@_-"/>
    <numFmt numFmtId="165" formatCode="0.0000"/>
    <numFmt numFmtId="166" formatCode="_(* #,##0.00_);_(* \(#,##0.00\);_(* &quot;-&quot;??_);_(@_)"/>
    <numFmt numFmtId="167" formatCode="_-* #,##0_-;\-* #,##0_-;_-* &quot;-&quot;??_-;_-@_-"/>
    <numFmt numFmtId="168" formatCode="_-* #,##0.000_-;\-* #,##0.000_-;_-* &quot;-&quot;??_-;_-@_-"/>
    <numFmt numFmtId="169" formatCode="_ * #,##0.00_ ;_ * \-#,##0.00_ ;_ * &quot;-&quot;??_ ;_ @_ "/>
    <numFmt numFmtId="170" formatCode="0.0%"/>
    <numFmt numFmtId="171" formatCode="&quot;Año&quot;\ General"/>
    <numFmt numFmtId="172" formatCode="_(* #,##0_);_(* \(#,##0\);_(* &quot;-&quot;??_);_(@_)"/>
    <numFmt numFmtId="173" formatCode="_-* #,##0.00\ _€_-;\-* #,##0.00\ _€_-;_-* &quot;-&quot;??\ _€_-;_-@_-"/>
    <numFmt numFmtId="174" formatCode="_(* #,##0.0_);_(* \(#,##0.0\);_(* &quot;-&quot;??_);_(@_)"/>
    <numFmt numFmtId="175" formatCode="0.000"/>
    <numFmt numFmtId="176" formatCode="#,##0;[Red]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rgb="FF00000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7"/>
      <color rgb="FF000000"/>
      <name val="Tahoma"/>
      <family val="2"/>
    </font>
    <font>
      <sz val="7"/>
      <color rgb="FF000000"/>
      <name val="Tahoma"/>
      <family val="2"/>
    </font>
    <font>
      <b/>
      <sz val="7"/>
      <color indexed="81"/>
      <name val="Tahoma"/>
      <family val="2"/>
    </font>
    <font>
      <sz val="9"/>
      <color rgb="FF000000"/>
      <name val="Tahoma"/>
      <family val="2"/>
    </font>
    <font>
      <sz val="9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F5F5F5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theme="2" tint="-0.249977111117893"/>
      </bottom>
      <diagonal/>
    </border>
    <border>
      <left/>
      <right style="thin">
        <color indexed="64"/>
      </right>
      <top/>
      <bottom style="double">
        <color theme="2" tint="-0.249977111117893"/>
      </bottom>
      <diagonal/>
    </border>
    <border>
      <left/>
      <right/>
      <top style="double">
        <color theme="2" tint="-0.249977111117893"/>
      </top>
      <bottom style="double">
        <color theme="2" tint="-0.24997711111789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0"/>
    <xf numFmtId="17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16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2" applyFont="1" applyFill="1" applyBorder="1" applyAlignment="1">
      <alignment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6" fillId="0" borderId="0" xfId="2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43" fontId="6" fillId="0" borderId="1" xfId="1" applyFont="1" applyFill="1" applyBorder="1" applyAlignment="1"/>
    <xf numFmtId="43" fontId="6" fillId="0" borderId="1" xfId="1" applyFont="1" applyFill="1" applyBorder="1" applyAlignment="1">
      <alignment horizontal="center"/>
    </xf>
    <xf numFmtId="16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9" fillId="5" borderId="0" xfId="0" applyFont="1" applyFill="1"/>
    <xf numFmtId="0" fontId="0" fillId="5" borderId="0" xfId="0" applyFill="1"/>
    <xf numFmtId="0" fontId="10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167" fontId="0" fillId="0" borderId="1" xfId="4" applyNumberFormat="1" applyFont="1" applyBorder="1" applyAlignment="1">
      <alignment horizontal="center" vertical="center"/>
    </xf>
    <xf numFmtId="168" fontId="0" fillId="0" borderId="1" xfId="4" applyNumberFormat="1" applyFont="1" applyBorder="1" applyAlignment="1">
      <alignment horizontal="center" vertical="center"/>
    </xf>
    <xf numFmtId="167" fontId="0" fillId="7" borderId="1" xfId="4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67" fontId="0" fillId="4" borderId="1" xfId="4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8" borderId="1" xfId="0" applyNumberFormat="1" applyFill="1" applyBorder="1" applyAlignment="1">
      <alignment horizontal="center" vertical="center"/>
    </xf>
    <xf numFmtId="167" fontId="0" fillId="0" borderId="0" xfId="0" applyNumberFormat="1"/>
    <xf numFmtId="1" fontId="0" fillId="0" borderId="0" xfId="0" applyNumberFormat="1"/>
    <xf numFmtId="166" fontId="0" fillId="0" borderId="0" xfId="4" applyFont="1"/>
    <xf numFmtId="9" fontId="0" fillId="0" borderId="0" xfId="0" applyNumberFormat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169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10" fontId="1" fillId="0" borderId="1" xfId="3" applyNumberFormat="1" applyBorder="1" applyAlignment="1">
      <alignment horizontal="center" vertical="center"/>
    </xf>
    <xf numFmtId="170" fontId="1" fillId="0" borderId="1" xfId="3" applyNumberFormat="1" applyBorder="1" applyAlignment="1">
      <alignment horizontal="center" vertical="center"/>
    </xf>
    <xf numFmtId="171" fontId="13" fillId="9" borderId="9" xfId="5" applyNumberFormat="1" applyFont="1" applyFill="1" applyBorder="1" applyAlignment="1">
      <alignment horizontal="left"/>
    </xf>
    <xf numFmtId="171" fontId="13" fillId="9" borderId="9" xfId="5" applyNumberFormat="1" applyFont="1" applyFill="1" applyBorder="1" applyAlignment="1">
      <alignment horizontal="center"/>
    </xf>
    <xf numFmtId="0" fontId="0" fillId="10" borderId="0" xfId="0" applyFill="1"/>
    <xf numFmtId="172" fontId="0" fillId="10" borderId="0" xfId="5" applyNumberFormat="1" applyFont="1" applyFill="1" applyBorder="1"/>
    <xf numFmtId="172" fontId="0" fillId="5" borderId="0" xfId="0" applyNumberFormat="1" applyFill="1"/>
    <xf numFmtId="166" fontId="0" fillId="5" borderId="0" xfId="4" applyFont="1" applyFill="1"/>
    <xf numFmtId="173" fontId="0" fillId="0" borderId="0" xfId="0" applyNumberFormat="1"/>
    <xf numFmtId="166" fontId="0" fillId="11" borderId="0" xfId="4" applyFont="1" applyFill="1"/>
    <xf numFmtId="166" fontId="0" fillId="8" borderId="0" xfId="4" applyFont="1" applyFill="1"/>
    <xf numFmtId="166" fontId="0" fillId="12" borderId="0" xfId="4" applyFont="1" applyFill="1"/>
    <xf numFmtId="166" fontId="0" fillId="13" borderId="0" xfId="4" applyFont="1" applyFill="1"/>
    <xf numFmtId="166" fontId="0" fillId="14" borderId="0" xfId="4" applyFont="1" applyFill="1"/>
    <xf numFmtId="166" fontId="0" fillId="0" borderId="0" xfId="0" applyNumberFormat="1"/>
    <xf numFmtId="172" fontId="0" fillId="0" borderId="0" xfId="0" applyNumberFormat="1"/>
    <xf numFmtId="2" fontId="9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9" fontId="0" fillId="0" borderId="0" xfId="3" applyFont="1"/>
    <xf numFmtId="166" fontId="0" fillId="10" borderId="0" xfId="5" applyFont="1" applyFill="1"/>
    <xf numFmtId="9" fontId="0" fillId="0" borderId="0" xfId="0" applyNumberFormat="1"/>
    <xf numFmtId="0" fontId="0" fillId="0" borderId="0" xfId="0" applyAlignment="1">
      <alignment horizontal="center" vertical="center" wrapText="1"/>
    </xf>
    <xf numFmtId="166" fontId="9" fillId="0" borderId="0" xfId="0" applyNumberFormat="1" applyFont="1" applyAlignment="1">
      <alignment vertical="center"/>
    </xf>
    <xf numFmtId="174" fontId="0" fillId="10" borderId="0" xfId="5" applyNumberFormat="1" applyFont="1" applyFill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66" fontId="0" fillId="0" borderId="1" xfId="0" applyNumberFormat="1" applyBorder="1"/>
    <xf numFmtId="175" fontId="0" fillId="0" borderId="1" xfId="0" applyNumberFormat="1" applyBorder="1"/>
    <xf numFmtId="166" fontId="0" fillId="0" borderId="1" xfId="4" applyFont="1" applyBorder="1"/>
    <xf numFmtId="166" fontId="0" fillId="15" borderId="1" xfId="4" applyFont="1" applyFill="1" applyBorder="1"/>
    <xf numFmtId="0" fontId="9" fillId="0" borderId="0" xfId="0" applyFont="1" applyAlignment="1">
      <alignment wrapText="1"/>
    </xf>
    <xf numFmtId="0" fontId="9" fillId="15" borderId="0" xfId="0" applyFont="1" applyFill="1"/>
    <xf numFmtId="0" fontId="0" fillId="15" borderId="0" xfId="0" applyFill="1"/>
    <xf numFmtId="167" fontId="0" fillId="5" borderId="0" xfId="4" applyNumberFormat="1" applyFont="1" applyFill="1"/>
    <xf numFmtId="167" fontId="0" fillId="0" borderId="0" xfId="4" applyNumberFormat="1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4" applyNumberFormat="1" applyFont="1" applyBorder="1" applyAlignment="1">
      <alignment vertical="center"/>
    </xf>
    <xf numFmtId="10" fontId="0" fillId="0" borderId="1" xfId="3" applyNumberFormat="1" applyFont="1" applyBorder="1" applyAlignment="1">
      <alignment horizontal="center" vertical="center"/>
    </xf>
    <xf numFmtId="17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15" borderId="1" xfId="0" applyFill="1" applyBorder="1" applyAlignment="1">
      <alignment horizontal="center" vertical="center"/>
    </xf>
    <xf numFmtId="176" fontId="0" fillId="5" borderId="1" xfId="4" applyNumberFormat="1" applyFont="1" applyFill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75" fontId="0" fillId="15" borderId="1" xfId="0" applyNumberForma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0" borderId="0" xfId="0" applyAlignment="1">
      <alignment vertical="center" wrapText="1"/>
    </xf>
    <xf numFmtId="10" fontId="0" fillId="5" borderId="0" xfId="3" applyNumberFormat="1" applyFont="1" applyFill="1" applyAlignment="1">
      <alignment horizontal="center" vertical="center"/>
    </xf>
    <xf numFmtId="10" fontId="0" fillId="15" borderId="1" xfId="0" applyNumberForma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0" fontId="14" fillId="0" borderId="0" xfId="6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6" fillId="0" borderId="0" xfId="6" applyFont="1" applyAlignment="1">
      <alignment horizontal="left"/>
    </xf>
    <xf numFmtId="0" fontId="18" fillId="16" borderId="1" xfId="6" applyFont="1" applyFill="1" applyBorder="1" applyAlignment="1">
      <alignment horizontal="center" vertical="center" wrapText="1"/>
    </xf>
    <xf numFmtId="0" fontId="19" fillId="4" borderId="1" xfId="6" applyFont="1" applyFill="1" applyBorder="1" applyAlignment="1">
      <alignment horizontal="center" vertical="center" wrapText="1"/>
    </xf>
    <xf numFmtId="1" fontId="19" fillId="4" borderId="1" xfId="6" applyNumberFormat="1" applyFont="1" applyFill="1" applyBorder="1" applyAlignment="1">
      <alignment horizontal="center" vertical="center"/>
    </xf>
    <xf numFmtId="166" fontId="19" fillId="4" borderId="1" xfId="4" applyFont="1" applyFill="1" applyBorder="1" applyAlignment="1">
      <alignment horizontal="center" vertical="center"/>
    </xf>
    <xf numFmtId="166" fontId="19" fillId="4" borderId="1" xfId="6" applyNumberFormat="1" applyFont="1" applyFill="1" applyBorder="1" applyAlignment="1">
      <alignment horizontal="center" vertical="center"/>
    </xf>
    <xf numFmtId="173" fontId="20" fillId="4" borderId="1" xfId="7" applyFont="1" applyFill="1" applyBorder="1" applyAlignment="1">
      <alignment horizontal="center" vertical="center"/>
    </xf>
    <xf numFmtId="0" fontId="19" fillId="4" borderId="1" xfId="6" applyFont="1" applyFill="1" applyBorder="1" applyAlignment="1">
      <alignment horizontal="center" vertical="center"/>
    </xf>
    <xf numFmtId="175" fontId="19" fillId="4" borderId="1" xfId="6" applyNumberFormat="1" applyFont="1" applyFill="1" applyBorder="1" applyAlignment="1">
      <alignment horizontal="center" vertical="center"/>
    </xf>
    <xf numFmtId="9" fontId="20" fillId="4" borderId="1" xfId="8" applyFont="1" applyFill="1" applyBorder="1" applyAlignment="1">
      <alignment horizontal="center" vertical="center"/>
    </xf>
    <xf numFmtId="2" fontId="19" fillId="4" borderId="1" xfId="6" applyNumberFormat="1" applyFont="1" applyFill="1" applyBorder="1" applyAlignment="1">
      <alignment horizontal="center" vertical="center"/>
    </xf>
    <xf numFmtId="165" fontId="18" fillId="15" borderId="1" xfId="6" applyNumberFormat="1" applyFont="1" applyFill="1" applyBorder="1" applyAlignment="1">
      <alignment horizontal="center" vertical="center"/>
    </xf>
    <xf numFmtId="166" fontId="17" fillId="0" borderId="0" xfId="4" applyFont="1"/>
    <xf numFmtId="0" fontId="17" fillId="0" borderId="0" xfId="6" applyFont="1" applyAlignment="1">
      <alignment vertical="center"/>
    </xf>
    <xf numFmtId="0" fontId="17" fillId="0" borderId="0" xfId="6" applyFont="1" applyAlignment="1">
      <alignment horizontal="left" vertical="center" wrapText="1"/>
    </xf>
    <xf numFmtId="0" fontId="16" fillId="0" borderId="0" xfId="6" applyFont="1" applyAlignment="1">
      <alignment horizontal="center" vertical="center" wrapText="1"/>
    </xf>
    <xf numFmtId="0" fontId="17" fillId="0" borderId="0" xfId="6" applyFont="1" applyAlignment="1">
      <alignment horizontal="left" wrapText="1"/>
    </xf>
    <xf numFmtId="0" fontId="25" fillId="0" borderId="0" xfId="6" applyFont="1" applyAlignment="1">
      <alignment vertical="top"/>
    </xf>
  </cellXfs>
  <cellStyles count="9">
    <cellStyle name="Millares" xfId="1" builtinId="3"/>
    <cellStyle name="Millares 2" xfId="4" xr:uid="{59424719-0273-FB4E-8916-048CE970C855}"/>
    <cellStyle name="Millares 2 2" xfId="7" xr:uid="{E1438236-1B7F-EE49-99F0-1C85DDED56A1}"/>
    <cellStyle name="Millares 8" xfId="5" xr:uid="{9BDC42DA-90AD-0A4A-8628-987B018BA412}"/>
    <cellStyle name="Moneda" xfId="2" builtinId="4"/>
    <cellStyle name="Normal" xfId="0" builtinId="0"/>
    <cellStyle name="Normal 2" xfId="6" xr:uid="{8577494D-DB7B-1E49-B5D1-2F319AABBBFC}"/>
    <cellStyle name="Porcentaje" xfId="3" builtinId="5"/>
    <cellStyle name="Porcentaje 2" xfId="8" xr:uid="{D51D4B48-7EF3-5540-96B9-76D51649A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Tarifas%20Comb%20Valles%20Chillos-Tumbaco-10%20sept%202020.xlsx?DBFD88BE" TargetMode="External"/><Relationship Id="rId1" Type="http://schemas.openxmlformats.org/officeDocument/2006/relationships/externalLinkPath" Target="file:///DBFD88BE/Tarifas%20Comb%20Valles%20Chillos-Tumbaco-10%20sept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Estructura%20model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167storagebk/epmtpq/Documents%20and%20Settings/PCampoverde/Mis%20documentos/NDLLM/STSS/STSS_translatinos/Matriz%20de%20riesg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0167storagebk/epmtpq/Documents%20and%20Settings/dgortaire/Escritorio/Informe%20Final%20Carta%20Mstro.%20y%20Tarifa%20de%20Equilibrio/Documents%20and%20Settings/Usuario/Escritorio/Estructura%20mode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CCN_Resultad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C:/Documents%20and%20Settings/Usuario/Escritorio/Documents%20and%20Settings/All%20Users/Documents/demandaHoraria/CCN_Asignacion_A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Y:/STSS%20326.00/cuadrada%20de%20la%20comparacion%20LG-D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ASE"/>
      <sheetName val="TARIFA EQUIVALENTE RUTA TIPO"/>
      <sheetName val="CÁLCULO TARIFA KM"/>
      <sheetName val="VALLE DE LOS CHILLOS"/>
      <sheetName val="VALLE DE TUMBAC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Registro de cambios"/>
      <sheetName val="Tarifas actuales"/>
      <sheetName val="Flota por líneas involucradas"/>
      <sheetName val="Resultados ARRANQUE"/>
      <sheetName val="Condiciones escenario prelimina"/>
      <sheetName val="Costos Comp"/>
    </sheetNames>
    <sheetDataSet>
      <sheetData sheetId="0" refreshError="1"/>
      <sheetData sheetId="1" refreshError="1">
        <row r="57">
          <cell r="E57">
            <v>12.8</v>
          </cell>
        </row>
        <row r="58">
          <cell r="E58">
            <v>12.7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ries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camb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"/>
      <sheetName val="Definiciones Master"/>
    </sheetNames>
    <sheetDataSet>
      <sheetData sheetId="0" refreshError="1">
        <row r="35">
          <cell r="D35" t="str">
            <v>1 = Incluir</v>
          </cell>
          <cell r="E35" t="str">
            <v>Articulado</v>
          </cell>
          <cell r="F35" t="str">
            <v>Tipo 1</v>
          </cell>
          <cell r="G35" t="str">
            <v>Tipo 2</v>
          </cell>
          <cell r="H35" t="str">
            <v>Especial</v>
          </cell>
        </row>
        <row r="36">
          <cell r="A36" t="str">
            <v>America/Prensa</v>
          </cell>
        </row>
        <row r="37">
          <cell r="A37" t="str">
            <v>T01</v>
          </cell>
          <cell r="B37" t="str">
            <v>Ofélia</v>
          </cell>
          <cell r="C37" t="str">
            <v>Varela</v>
          </cell>
          <cell r="D37">
            <v>1</v>
          </cell>
          <cell r="E37">
            <v>33</v>
          </cell>
          <cell r="F37">
            <v>0</v>
          </cell>
          <cell r="G37">
            <v>0</v>
          </cell>
          <cell r="H37">
            <v>0</v>
          </cell>
          <cell r="I37">
            <v>7025.0753096179205</v>
          </cell>
          <cell r="J37">
            <v>231251.48521739137</v>
          </cell>
          <cell r="K37">
            <v>342.93181818181819</v>
          </cell>
          <cell r="L37">
            <v>0.96131683835818293</v>
          </cell>
          <cell r="M37">
            <v>6736.5438374186888</v>
          </cell>
          <cell r="N37">
            <v>222305.94663481673</v>
          </cell>
          <cell r="O37">
            <v>2667671.3596178009</v>
          </cell>
          <cell r="P37">
            <v>109497.78</v>
          </cell>
          <cell r="Q37">
            <v>59135.32</v>
          </cell>
          <cell r="R37">
            <v>39050.449999999997</v>
          </cell>
          <cell r="S37">
            <v>2725164.7033333331</v>
          </cell>
          <cell r="T37">
            <v>613979.60766099999</v>
          </cell>
          <cell r="U37">
            <v>7367755.2919319998</v>
          </cell>
          <cell r="V37">
            <v>6630979.7627387997</v>
          </cell>
          <cell r="W37">
            <v>0.25</v>
          </cell>
          <cell r="X37">
            <v>0.25</v>
          </cell>
        </row>
        <row r="38">
          <cell r="A38" t="str">
            <v>T02</v>
          </cell>
          <cell r="D38">
            <v>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0.25</v>
          </cell>
          <cell r="X38">
            <v>0.25</v>
          </cell>
        </row>
        <row r="39">
          <cell r="A39" t="str">
            <v>T03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0.25</v>
          </cell>
          <cell r="X39">
            <v>0.25</v>
          </cell>
        </row>
        <row r="40">
          <cell r="A40" t="str">
            <v>T04</v>
          </cell>
          <cell r="B40" t="str">
            <v>Ofélia</v>
          </cell>
          <cell r="C40" t="str">
            <v>Seminario Mayor</v>
          </cell>
          <cell r="D40">
            <v>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0.25</v>
          </cell>
          <cell r="X40">
            <v>0.25</v>
          </cell>
        </row>
        <row r="41">
          <cell r="B41" t="str">
            <v>Subtotal flota operacional</v>
          </cell>
          <cell r="E41">
            <v>33</v>
          </cell>
          <cell r="F41">
            <v>0</v>
          </cell>
          <cell r="G41">
            <v>0</v>
          </cell>
          <cell r="H41">
            <v>0</v>
          </cell>
          <cell r="J41">
            <v>231251.48521739137</v>
          </cell>
          <cell r="N41">
            <v>222305.94663481673</v>
          </cell>
          <cell r="O41">
            <v>2667671.3596178009</v>
          </cell>
          <cell r="P41">
            <v>109497.78</v>
          </cell>
          <cell r="Q41">
            <v>59135.32</v>
          </cell>
          <cell r="R41">
            <v>39050.449999999997</v>
          </cell>
          <cell r="S41">
            <v>2725164.7033333331</v>
          </cell>
          <cell r="T41">
            <v>613979.60766099999</v>
          </cell>
          <cell r="U41">
            <v>7367755.2919319998</v>
          </cell>
          <cell r="V41">
            <v>6630979.7627387997</v>
          </cell>
        </row>
        <row r="42">
          <cell r="A42" t="str">
            <v>Amazonas</v>
          </cell>
        </row>
        <row r="43">
          <cell r="A43" t="str">
            <v>T05</v>
          </cell>
          <cell r="B43" t="str">
            <v>Congreso</v>
          </cell>
          <cell r="C43" t="str">
            <v>Aeropuerto</v>
          </cell>
          <cell r="D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0.25</v>
          </cell>
          <cell r="X43">
            <v>0.25</v>
          </cell>
        </row>
        <row r="44">
          <cell r="A44" t="str">
            <v>T06</v>
          </cell>
          <cell r="B44" t="str">
            <v>Congreso</v>
          </cell>
          <cell r="C44" t="str">
            <v>Carcelén</v>
          </cell>
          <cell r="D44">
            <v>2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0.25</v>
          </cell>
          <cell r="X44">
            <v>0.25</v>
          </cell>
        </row>
        <row r="45">
          <cell r="B45" t="str">
            <v>Subtotal flota operacional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 t="str">
            <v>Total</v>
          </cell>
          <cell r="E46">
            <v>33</v>
          </cell>
          <cell r="F46">
            <v>0</v>
          </cell>
          <cell r="G46">
            <v>0</v>
          </cell>
          <cell r="H46">
            <v>0</v>
          </cell>
          <cell r="J46">
            <v>231251.48521739137</v>
          </cell>
          <cell r="N46">
            <v>222305.94663481673</v>
          </cell>
          <cell r="O46">
            <v>2667671.3596178009</v>
          </cell>
          <cell r="P46">
            <v>109497.78</v>
          </cell>
          <cell r="Q46">
            <v>59135.32</v>
          </cell>
          <cell r="R46">
            <v>39050.449999999997</v>
          </cell>
          <cell r="S46">
            <v>2725164.7033333331</v>
          </cell>
          <cell r="T46">
            <v>613979.60766099999</v>
          </cell>
          <cell r="U46">
            <v>7367755.2919319998</v>
          </cell>
          <cell r="V46">
            <v>6630979.7627387997</v>
          </cell>
        </row>
        <row r="47">
          <cell r="A47" t="str">
            <v>ALIMENTADORES</v>
          </cell>
          <cell r="D47" t="str">
            <v>Incluir/Excluir</v>
          </cell>
          <cell r="E47" t="str">
            <v>Flota</v>
          </cell>
          <cell r="I47" t="str">
            <v>km/bus/mes</v>
          </cell>
          <cell r="J47" t="str">
            <v>Km/ruta/mes</v>
          </cell>
          <cell r="K47" t="str">
            <v>Horas/bus/mes</v>
          </cell>
          <cell r="L47" t="str">
            <v>Costo veh/km</v>
          </cell>
          <cell r="M47" t="str">
            <v>Costo/veh/mes</v>
          </cell>
          <cell r="N47" t="str">
            <v>Costo/ruta/mes</v>
          </cell>
          <cell r="O47" t="str">
            <v>Costo/ruta/año</v>
          </cell>
          <cell r="P47" t="str">
            <v xml:space="preserve">Pas/dia normal </v>
          </cell>
          <cell r="Q47" t="str">
            <v>Pas/dia  Sabado</v>
          </cell>
          <cell r="R47" t="str">
            <v>Pas/dia Domingo</v>
          </cell>
          <cell r="S47" t="str">
            <v>Pas/ruta/mes</v>
          </cell>
          <cell r="T47" t="str">
            <v>Ingreso/mes</v>
          </cell>
          <cell r="U47" t="str">
            <v>Ingresos/año</v>
          </cell>
          <cell r="V47" t="str">
            <v>Ingresos anuales con % evasión</v>
          </cell>
          <cell r="W47" t="str">
            <v>Integrado</v>
          </cell>
          <cell r="X47" t="str">
            <v>No Integrado</v>
          </cell>
        </row>
        <row r="48">
          <cell r="A48" t="str">
            <v>Centro/Sur</v>
          </cell>
          <cell r="D48" t="str">
            <v>1 = Incluir</v>
          </cell>
          <cell r="E48" t="str">
            <v>Articulado</v>
          </cell>
          <cell r="F48" t="str">
            <v>Tipo 1</v>
          </cell>
          <cell r="G48" t="str">
            <v>Tipo 2</v>
          </cell>
          <cell r="H48" t="str">
            <v>Especial</v>
          </cell>
        </row>
        <row r="49">
          <cell r="A49" t="str">
            <v>A02</v>
          </cell>
          <cell r="B49" t="str">
            <v>Seminario Mayor</v>
          </cell>
          <cell r="C49" t="str">
            <v>Panecillo</v>
          </cell>
          <cell r="D49">
            <v>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0.25</v>
          </cell>
        </row>
        <row r="50">
          <cell r="A50" t="str">
            <v>A03</v>
          </cell>
          <cell r="B50" t="str">
            <v>Seminario Mayor</v>
          </cell>
          <cell r="C50" t="str">
            <v>Marin</v>
          </cell>
          <cell r="D50">
            <v>1</v>
          </cell>
          <cell r="E50">
            <v>0</v>
          </cell>
          <cell r="F50">
            <v>0</v>
          </cell>
          <cell r="G50">
            <v>15</v>
          </cell>
          <cell r="H50">
            <v>0</v>
          </cell>
          <cell r="I50">
            <v>6096.752063492062</v>
          </cell>
          <cell r="J50">
            <v>91409.947619047598</v>
          </cell>
          <cell r="K50">
            <v>412.18888888888887</v>
          </cell>
          <cell r="L50">
            <v>0.81538536627715608</v>
          </cell>
          <cell r="M50">
            <v>4968.9555747155191</v>
          </cell>
          <cell r="N50">
            <v>74534.333620732781</v>
          </cell>
          <cell r="O50">
            <v>894412.00344879343</v>
          </cell>
          <cell r="P50">
            <v>47438.204610034059</v>
          </cell>
          <cell r="Q50">
            <v>28859.518507426055</v>
          </cell>
          <cell r="R50">
            <v>20735.012003872216</v>
          </cell>
          <cell r="S50">
            <v>1214126.5946681073</v>
          </cell>
          <cell r="T50">
            <v>110149.42916642544</v>
          </cell>
          <cell r="U50">
            <v>1321793.1499971054</v>
          </cell>
          <cell r="V50">
            <v>1189613.8349973948</v>
          </cell>
          <cell r="W50">
            <v>0</v>
          </cell>
          <cell r="X50">
            <v>0.25</v>
          </cell>
        </row>
        <row r="51">
          <cell r="A51" t="str">
            <v>A04</v>
          </cell>
          <cell r="B51" t="str">
            <v>Seminario Mayor</v>
          </cell>
          <cell r="C51" t="str">
            <v>S Pablo</v>
          </cell>
          <cell r="D51">
            <v>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0.25</v>
          </cell>
        </row>
        <row r="52">
          <cell r="A52" t="str">
            <v>Carcelén</v>
          </cell>
        </row>
        <row r="53">
          <cell r="A53" t="str">
            <v>A09</v>
          </cell>
          <cell r="B53" t="str">
            <v>Ofélia</v>
          </cell>
          <cell r="C53" t="str">
            <v>Carcelen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0.25</v>
          </cell>
        </row>
        <row r="54">
          <cell r="A54" t="str">
            <v>A10</v>
          </cell>
          <cell r="B54" t="str">
            <v>Ofélia</v>
          </cell>
          <cell r="C54" t="str">
            <v>Carcelen bajo</v>
          </cell>
          <cell r="D54">
            <v>1</v>
          </cell>
          <cell r="E54">
            <v>0</v>
          </cell>
          <cell r="F54">
            <v>0</v>
          </cell>
          <cell r="G54">
            <v>8</v>
          </cell>
          <cell r="H54">
            <v>0</v>
          </cell>
          <cell r="I54">
            <v>7230.8334659090933</v>
          </cell>
          <cell r="J54">
            <v>57579.334393939411</v>
          </cell>
          <cell r="K54">
            <v>347.36458333333331</v>
          </cell>
          <cell r="L54">
            <v>0.66598401586370248</v>
          </cell>
          <cell r="M54">
            <v>4793.3645438043468</v>
          </cell>
          <cell r="N54">
            <v>38346.916350434774</v>
          </cell>
          <cell r="O54">
            <v>460162.99620521732</v>
          </cell>
          <cell r="P54">
            <v>8811.0133904521917</v>
          </cell>
          <cell r="Q54">
            <v>5140.8170117724167</v>
          </cell>
          <cell r="R54">
            <v>3042.6000000000004</v>
          </cell>
          <cell r="S54">
            <v>220397.10015191577</v>
          </cell>
          <cell r="T54">
            <v>10522.027396743224</v>
          </cell>
          <cell r="U54">
            <v>126264.3287609187</v>
          </cell>
          <cell r="V54">
            <v>113637.89588482682</v>
          </cell>
          <cell r="W54">
            <v>0</v>
          </cell>
          <cell r="X54">
            <v>0.25</v>
          </cell>
        </row>
        <row r="55">
          <cell r="A55" t="str">
            <v>Laderas</v>
          </cell>
        </row>
        <row r="56">
          <cell r="A56" t="str">
            <v>A05</v>
          </cell>
          <cell r="B56" t="str">
            <v>Ofélia</v>
          </cell>
          <cell r="C56" t="str">
            <v>Rancho Alto</v>
          </cell>
          <cell r="D56">
            <v>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0.25</v>
          </cell>
        </row>
        <row r="57">
          <cell r="A57" t="str">
            <v>A06</v>
          </cell>
          <cell r="B57" t="str">
            <v>Ofélia</v>
          </cell>
          <cell r="C57" t="str">
            <v>Colinas del Norte</v>
          </cell>
          <cell r="D57">
            <v>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0.25</v>
          </cell>
        </row>
        <row r="58">
          <cell r="A58" t="str">
            <v>A07</v>
          </cell>
          <cell r="B58" t="str">
            <v>Ofélia</v>
          </cell>
          <cell r="C58" t="str">
            <v>Pisuli</v>
          </cell>
          <cell r="D58">
            <v>1</v>
          </cell>
          <cell r="E58">
            <v>0</v>
          </cell>
          <cell r="F58">
            <v>0</v>
          </cell>
          <cell r="G58">
            <v>9</v>
          </cell>
          <cell r="H58">
            <v>0</v>
          </cell>
          <cell r="I58">
            <v>7229.775661375661</v>
          </cell>
          <cell r="J58">
            <v>64766.647619047617</v>
          </cell>
          <cell r="K58">
            <v>342.2407407407407</v>
          </cell>
          <cell r="L58">
            <v>0.66282675420082415</v>
          </cell>
          <cell r="M58">
            <v>4769.8963135335407</v>
          </cell>
          <cell r="N58">
            <v>42929.066821801869</v>
          </cell>
          <cell r="O58">
            <v>515148.80186162243</v>
          </cell>
          <cell r="P58">
            <v>10131</v>
          </cell>
          <cell r="Q58">
            <v>4352</v>
          </cell>
          <cell r="R58">
            <v>3644</v>
          </cell>
          <cell r="S58">
            <v>247541.58333333334</v>
          </cell>
          <cell r="T58">
            <v>10259.254966049799</v>
          </cell>
          <cell r="U58">
            <v>123111.05959259759</v>
          </cell>
          <cell r="V58">
            <v>110799.95363333783</v>
          </cell>
          <cell r="W58">
            <v>0</v>
          </cell>
          <cell r="X58">
            <v>0.25</v>
          </cell>
        </row>
        <row r="59">
          <cell r="A59" t="str">
            <v>A08</v>
          </cell>
          <cell r="B59" t="str">
            <v>Ofélia</v>
          </cell>
          <cell r="C59" t="str">
            <v>Roldos</v>
          </cell>
          <cell r="D59">
            <v>1</v>
          </cell>
          <cell r="E59">
            <v>0</v>
          </cell>
          <cell r="F59">
            <v>0</v>
          </cell>
          <cell r="G59">
            <v>7</v>
          </cell>
          <cell r="H59">
            <v>0</v>
          </cell>
          <cell r="I59">
            <v>6793.905587507732</v>
          </cell>
          <cell r="J59">
            <v>47372.67244588746</v>
          </cell>
          <cell r="K59">
            <v>357.76190476190476</v>
          </cell>
          <cell r="L59">
            <v>0.70278168353245218</v>
          </cell>
          <cell r="M59">
            <v>4756.0923564217428</v>
          </cell>
          <cell r="N59">
            <v>33292.646494952198</v>
          </cell>
          <cell r="O59">
            <v>399511.75793942634</v>
          </cell>
          <cell r="P59">
            <v>14544.086381573003</v>
          </cell>
          <cell r="Q59">
            <v>6298.5241267046495</v>
          </cell>
          <cell r="R59">
            <v>5297</v>
          </cell>
          <cell r="S59">
            <v>355926.35328946792</v>
          </cell>
          <cell r="T59">
            <v>14759.469668856234</v>
          </cell>
          <cell r="U59">
            <v>177113.63602627482</v>
          </cell>
          <cell r="V59">
            <v>159402.27242364734</v>
          </cell>
          <cell r="W59">
            <v>0</v>
          </cell>
          <cell r="X59">
            <v>0.25</v>
          </cell>
        </row>
        <row r="60">
          <cell r="A60" t="str">
            <v>Mitad del Mundo</v>
          </cell>
        </row>
        <row r="61">
          <cell r="A61" t="str">
            <v>A11</v>
          </cell>
          <cell r="B61" t="str">
            <v>Ofélia</v>
          </cell>
          <cell r="C61" t="str">
            <v>Pomasqui</v>
          </cell>
          <cell r="D61">
            <v>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0.05</v>
          </cell>
          <cell r="X61">
            <v>0.25</v>
          </cell>
        </row>
        <row r="62">
          <cell r="A62" t="str">
            <v>A12</v>
          </cell>
          <cell r="B62" t="str">
            <v>Ofélia</v>
          </cell>
          <cell r="C62" t="str">
            <v>S Antonio</v>
          </cell>
          <cell r="D62">
            <v>1</v>
          </cell>
          <cell r="E62">
            <v>0</v>
          </cell>
          <cell r="F62">
            <v>0</v>
          </cell>
          <cell r="G62">
            <v>12</v>
          </cell>
          <cell r="H62">
            <v>0</v>
          </cell>
          <cell r="I62">
            <v>10339.138695419764</v>
          </cell>
          <cell r="J62">
            <v>124028.33101170383</v>
          </cell>
          <cell r="K62">
            <v>409.28472222222223</v>
          </cell>
          <cell r="L62">
            <v>0.56004203095932337</v>
          </cell>
          <cell r="M62">
            <v>5788.4231996908202</v>
          </cell>
          <cell r="N62">
            <v>69461.078396289842</v>
          </cell>
          <cell r="O62">
            <v>833532.94075547811</v>
          </cell>
          <cell r="P62">
            <v>20682.893639402635</v>
          </cell>
          <cell r="Q62">
            <v>17129.113835535598</v>
          </cell>
          <cell r="R62">
            <v>12777.576492119049</v>
          </cell>
          <cell r="S62">
            <v>567986.25536124606</v>
          </cell>
          <cell r="T62">
            <v>119245.18584511375</v>
          </cell>
          <cell r="U62">
            <v>1430942.230141365</v>
          </cell>
          <cell r="V62">
            <v>1287848.0071272284</v>
          </cell>
          <cell r="W62">
            <v>0.15</v>
          </cell>
          <cell r="X62">
            <v>0.35</v>
          </cell>
        </row>
        <row r="63">
          <cell r="A63" t="str">
            <v>A13</v>
          </cell>
          <cell r="B63" t="str">
            <v>Ofélia</v>
          </cell>
          <cell r="C63" t="str">
            <v>Pulalahua</v>
          </cell>
          <cell r="D63">
            <v>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0.23</v>
          </cell>
          <cell r="X63">
            <v>0.42</v>
          </cell>
        </row>
        <row r="64">
          <cell r="A64" t="str">
            <v>Panam Nte</v>
          </cell>
        </row>
        <row r="65">
          <cell r="A65" t="str">
            <v>A14</v>
          </cell>
          <cell r="B65" t="str">
            <v>Ofélia</v>
          </cell>
          <cell r="C65" t="str">
            <v>Carapungo</v>
          </cell>
          <cell r="D65">
            <v>1</v>
          </cell>
          <cell r="E65">
            <v>0</v>
          </cell>
          <cell r="F65">
            <v>0</v>
          </cell>
          <cell r="G65">
            <v>13</v>
          </cell>
          <cell r="H65">
            <v>0</v>
          </cell>
          <cell r="I65">
            <v>8850.8690951390963</v>
          </cell>
          <cell r="J65">
            <v>114398.63157014159</v>
          </cell>
          <cell r="K65">
            <v>344.36538461538458</v>
          </cell>
          <cell r="L65">
            <v>0.58147258651980249</v>
          </cell>
          <cell r="M65">
            <v>5116.8975533397042</v>
          </cell>
          <cell r="N65">
            <v>66519.668193416161</v>
          </cell>
          <cell r="O65">
            <v>798236.01832099399</v>
          </cell>
          <cell r="P65">
            <v>20203.524199045671</v>
          </cell>
          <cell r="Q65">
            <v>19866.380558542744</v>
          </cell>
          <cell r="R65">
            <v>8515.2892595131652</v>
          </cell>
          <cell r="S65">
            <v>547650.90567815572</v>
          </cell>
          <cell r="T65">
            <v>37920.585069383349</v>
          </cell>
          <cell r="U65">
            <v>455047.02083260019</v>
          </cell>
          <cell r="V65">
            <v>409542.31874934019</v>
          </cell>
          <cell r="W65">
            <v>0</v>
          </cell>
          <cell r="X65">
            <v>0.25</v>
          </cell>
        </row>
        <row r="66">
          <cell r="A66" t="str">
            <v>A16</v>
          </cell>
          <cell r="B66" t="str">
            <v>Ofélia</v>
          </cell>
          <cell r="C66" t="str">
            <v>Zabala</v>
          </cell>
          <cell r="D66">
            <v>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0.05</v>
          </cell>
          <cell r="X66">
            <v>0.25</v>
          </cell>
        </row>
        <row r="67">
          <cell r="A67" t="str">
            <v>A17</v>
          </cell>
          <cell r="B67" t="str">
            <v>Ofélia</v>
          </cell>
          <cell r="C67" t="str">
            <v>Calderon</v>
          </cell>
          <cell r="D67">
            <v>1</v>
          </cell>
          <cell r="E67">
            <v>0</v>
          </cell>
          <cell r="F67">
            <v>0</v>
          </cell>
          <cell r="G67">
            <v>10</v>
          </cell>
          <cell r="H67">
            <v>0</v>
          </cell>
          <cell r="I67">
            <v>9665.4183474025976</v>
          </cell>
          <cell r="J67">
            <v>96322.18347402598</v>
          </cell>
          <cell r="K67">
            <v>366.57499999999999</v>
          </cell>
          <cell r="L67">
            <v>0.56088847247494478</v>
          </cell>
          <cell r="M67">
            <v>5402.6002354197808</v>
          </cell>
          <cell r="N67">
            <v>54026.002354197808</v>
          </cell>
          <cell r="O67">
            <v>648312.02825037367</v>
          </cell>
          <cell r="P67">
            <v>12066.719806763285</v>
          </cell>
          <cell r="Q67">
            <v>12956.776801480955</v>
          </cell>
          <cell r="R67">
            <v>9358</v>
          </cell>
          <cell r="S67">
            <v>353800.40406329889</v>
          </cell>
          <cell r="T67">
            <v>37548.566581870211</v>
          </cell>
          <cell r="U67">
            <v>450582.79898244253</v>
          </cell>
          <cell r="V67">
            <v>405524.51908419828</v>
          </cell>
          <cell r="W67">
            <v>0.05</v>
          </cell>
          <cell r="X67">
            <v>0.25</v>
          </cell>
        </row>
        <row r="68">
          <cell r="A68" t="str">
            <v>Oriente</v>
          </cell>
        </row>
        <row r="69">
          <cell r="A69" t="str">
            <v>A15</v>
          </cell>
          <cell r="B69" t="str">
            <v>La Y</v>
          </cell>
          <cell r="C69" t="str">
            <v>El Inca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0.25</v>
          </cell>
        </row>
        <row r="70">
          <cell r="A70" t="str">
            <v>A18</v>
          </cell>
          <cell r="B70" t="str">
            <v>Ofélia</v>
          </cell>
          <cell r="C70" t="str">
            <v>Eden</v>
          </cell>
          <cell r="D70">
            <v>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0.25</v>
          </cell>
        </row>
        <row r="71">
          <cell r="A71" t="str">
            <v>Total flota operacional</v>
          </cell>
          <cell r="E71">
            <v>0</v>
          </cell>
          <cell r="F71">
            <v>0</v>
          </cell>
          <cell r="G71">
            <v>74</v>
          </cell>
          <cell r="H71">
            <v>0</v>
          </cell>
          <cell r="J71">
            <v>595877.74813379347</v>
          </cell>
          <cell r="N71">
            <v>379109.7122318254</v>
          </cell>
          <cell r="O71">
            <v>4549316.546781905</v>
          </cell>
          <cell r="P71">
            <v>133877.44202727085</v>
          </cell>
          <cell r="Q71">
            <v>94603.130841462422</v>
          </cell>
          <cell r="R71">
            <v>63369.477755504427</v>
          </cell>
          <cell r="S71">
            <v>3507429.196545525</v>
          </cell>
          <cell r="T71">
            <v>340404.518694442</v>
          </cell>
          <cell r="U71">
            <v>4084854.224333304</v>
          </cell>
          <cell r="V71">
            <v>3676368.8018999738</v>
          </cell>
        </row>
        <row r="72">
          <cell r="A72" t="str">
            <v>Flota total</v>
          </cell>
          <cell r="E72">
            <v>0</v>
          </cell>
          <cell r="F72">
            <v>0</v>
          </cell>
          <cell r="G72">
            <v>80</v>
          </cell>
          <cell r="H72">
            <v>0</v>
          </cell>
        </row>
        <row r="73">
          <cell r="A73" t="str">
            <v>VECINALES</v>
          </cell>
          <cell r="D73" t="str">
            <v>Incluir/Excluir</v>
          </cell>
          <cell r="E73" t="str">
            <v>Flota</v>
          </cell>
          <cell r="I73" t="str">
            <v>Km/bus/mes</v>
          </cell>
          <cell r="J73" t="str">
            <v>Km/ruta/mes</v>
          </cell>
          <cell r="K73" t="str">
            <v>Horas/bus/mes</v>
          </cell>
          <cell r="L73" t="str">
            <v>Costo veh/km</v>
          </cell>
          <cell r="M73" t="str">
            <v>Costo/veh/mes</v>
          </cell>
          <cell r="N73" t="str">
            <v>Costo/ruta/mes</v>
          </cell>
          <cell r="O73" t="str">
            <v>Costo/ruta/año</v>
          </cell>
          <cell r="P73" t="str">
            <v xml:space="preserve">Pas/dia normal </v>
          </cell>
          <cell r="Q73" t="str">
            <v>Pas/dia  Sabado</v>
          </cell>
          <cell r="R73" t="str">
            <v>Pas/dia Domingo</v>
          </cell>
          <cell r="S73" t="str">
            <v>Pas/ruta/mes</v>
          </cell>
          <cell r="T73" t="str">
            <v>Ingreso/mes</v>
          </cell>
          <cell r="U73" t="str">
            <v>Ingresos/año</v>
          </cell>
          <cell r="V73" t="str">
            <v>Ingresos anuales con % evasión</v>
          </cell>
          <cell r="W73" t="str">
            <v>Integrado</v>
          </cell>
          <cell r="X73" t="str">
            <v>No Integrado</v>
          </cell>
        </row>
        <row r="74">
          <cell r="D74" t="str">
            <v>1 = Incluir</v>
          </cell>
          <cell r="E74" t="str">
            <v>Articulado</v>
          </cell>
          <cell r="F74" t="str">
            <v>Tipo 1</v>
          </cell>
          <cell r="G74" t="str">
            <v>Tipo 2</v>
          </cell>
          <cell r="H74" t="str">
            <v>Especial</v>
          </cell>
        </row>
        <row r="75">
          <cell r="A75" t="str">
            <v>V01</v>
          </cell>
          <cell r="B75" t="str">
            <v>Seminario Mayor</v>
          </cell>
          <cell r="C75" t="str">
            <v>Miraflores</v>
          </cell>
          <cell r="D75">
            <v>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0.2</v>
          </cell>
        </row>
        <row r="76">
          <cell r="A76" t="str">
            <v>V02</v>
          </cell>
          <cell r="C76" t="str">
            <v>Primavera</v>
          </cell>
          <cell r="D76">
            <v>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0.2</v>
          </cell>
        </row>
        <row r="77">
          <cell r="A77" t="str">
            <v>V03</v>
          </cell>
          <cell r="C77" t="str">
            <v>San Gabriel</v>
          </cell>
          <cell r="D77">
            <v>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0.2</v>
          </cell>
        </row>
        <row r="78">
          <cell r="A78" t="str">
            <v>V04</v>
          </cell>
          <cell r="C78" t="str">
            <v>Brasil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0.2</v>
          </cell>
        </row>
        <row r="79">
          <cell r="A79" t="str">
            <v>V05</v>
          </cell>
          <cell r="C79" t="str">
            <v>Concepción</v>
          </cell>
          <cell r="D79">
            <v>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0.2</v>
          </cell>
        </row>
        <row r="80">
          <cell r="A80" t="str">
            <v>V06</v>
          </cell>
          <cell r="C80" t="str">
            <v>Pinar</v>
          </cell>
          <cell r="D80">
            <v>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0.2</v>
          </cell>
        </row>
        <row r="81">
          <cell r="A81" t="str">
            <v>V07</v>
          </cell>
          <cell r="C81" t="str">
            <v>Florida</v>
          </cell>
          <cell r="D81">
            <v>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0.2</v>
          </cell>
        </row>
        <row r="82">
          <cell r="A82" t="str">
            <v>V08</v>
          </cell>
          <cell r="C82" t="str">
            <v>Pulida Alta</v>
          </cell>
          <cell r="D82">
            <v>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0.2</v>
          </cell>
        </row>
        <row r="83">
          <cell r="A83" t="str">
            <v>V09</v>
          </cell>
          <cell r="C83" t="str">
            <v>San Carlos</v>
          </cell>
          <cell r="D83">
            <v>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0.2</v>
          </cell>
        </row>
        <row r="84">
          <cell r="A84" t="str">
            <v>V10</v>
          </cell>
          <cell r="C84" t="str">
            <v>Quito Norte</v>
          </cell>
          <cell r="D84">
            <v>2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0.2</v>
          </cell>
        </row>
        <row r="85">
          <cell r="A85" t="str">
            <v>V11</v>
          </cell>
          <cell r="C85" t="str">
            <v>Sta Maria</v>
          </cell>
          <cell r="D85">
            <v>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0.2</v>
          </cell>
        </row>
        <row r="86">
          <cell r="A86" t="str">
            <v>V12</v>
          </cell>
          <cell r="C86" t="str">
            <v>Mena del Hierro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0.2</v>
          </cell>
        </row>
        <row r="87">
          <cell r="A87" t="str">
            <v>V13</v>
          </cell>
          <cell r="C87" t="str">
            <v>Alborada</v>
          </cell>
          <cell r="D87">
            <v>2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0.2</v>
          </cell>
        </row>
        <row r="88">
          <cell r="A88" t="str">
            <v>V14</v>
          </cell>
          <cell r="C88" t="str">
            <v>Agua Clara</v>
          </cell>
          <cell r="D88">
            <v>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0.2</v>
          </cell>
        </row>
        <row r="89">
          <cell r="A89" t="str">
            <v>V15</v>
          </cell>
          <cell r="C89" t="str">
            <v>Bella vista</v>
          </cell>
          <cell r="D89">
            <v>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0.2</v>
          </cell>
        </row>
        <row r="90">
          <cell r="A90" t="str">
            <v>V16</v>
          </cell>
          <cell r="C90" t="str">
            <v>Rumiñahui</v>
          </cell>
          <cell r="D90">
            <v>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</v>
          </cell>
        </row>
        <row r="91">
          <cell r="A91" t="str">
            <v>Total flota operacional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 t="str">
            <v>Flota total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TRANSVERSALES</v>
          </cell>
          <cell r="D93" t="str">
            <v>Incluir/Excluir</v>
          </cell>
          <cell r="E93" t="str">
            <v>Flota</v>
          </cell>
          <cell r="I93" t="str">
            <v>Km/bus/mes</v>
          </cell>
          <cell r="J93" t="str">
            <v>Km/ruta/mes</v>
          </cell>
          <cell r="K93" t="str">
            <v>Horas/bus/mes</v>
          </cell>
          <cell r="L93" t="str">
            <v>Costo veh/km</v>
          </cell>
          <cell r="M93" t="str">
            <v>Costo/veh/mes</v>
          </cell>
          <cell r="N93" t="str">
            <v>Costo/ruta/mes</v>
          </cell>
          <cell r="O93" t="str">
            <v>Costo/ruta/año</v>
          </cell>
          <cell r="P93" t="str">
            <v xml:space="preserve">Pas/dia normal </v>
          </cell>
          <cell r="Q93" t="str">
            <v>Pas/dia  Sabado</v>
          </cell>
          <cell r="R93" t="str">
            <v>Pas/dia Domingo</v>
          </cell>
          <cell r="S93" t="str">
            <v>Pas/ruta/mes</v>
          </cell>
          <cell r="T93" t="str">
            <v>Ingreso/mes</v>
          </cell>
          <cell r="U93" t="str">
            <v>Ingresos/año</v>
          </cell>
          <cell r="V93" t="str">
            <v>Ingresos anuales con % evasión</v>
          </cell>
          <cell r="W93" t="str">
            <v>Integrado</v>
          </cell>
          <cell r="X93" t="str">
            <v>No Integrado</v>
          </cell>
        </row>
        <row r="94">
          <cell r="D94" t="str">
            <v>1 = Incluir</v>
          </cell>
          <cell r="E94" t="str">
            <v>Articulado</v>
          </cell>
          <cell r="F94" t="str">
            <v>Tipo 1</v>
          </cell>
          <cell r="G94" t="str">
            <v>Tipo 2</v>
          </cell>
          <cell r="H94" t="str">
            <v>Especial</v>
          </cell>
        </row>
        <row r="95">
          <cell r="A95" t="str">
            <v>C01</v>
          </cell>
          <cell r="B95" t="str">
            <v>La Comuna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0.2</v>
          </cell>
        </row>
        <row r="96">
          <cell r="A96" t="str">
            <v>C02</v>
          </cell>
          <cell r="B96" t="str">
            <v>San Vicente</v>
          </cell>
          <cell r="D96">
            <v>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0.2</v>
          </cell>
        </row>
        <row r="97">
          <cell r="A97" t="str">
            <v>C03</v>
          </cell>
          <cell r="B97" t="str">
            <v>Granda Centeno</v>
          </cell>
          <cell r="D97">
            <v>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Comp"/>
      <sheetName val="Resultados "/>
      <sheetName val="Costos Generales "/>
      <sheetName val="Precios "/>
      <sheetName val="Costos de operación"/>
      <sheetName val="P S C"/>
      <sheetName val="Line data"/>
      <sheetName val="V01"/>
      <sheetName val="V02"/>
      <sheetName val="V03"/>
      <sheetName val="V04"/>
      <sheetName val="V05"/>
      <sheetName val="V06"/>
      <sheetName val="V07"/>
      <sheetName val="V08"/>
      <sheetName val="V09"/>
      <sheetName val="V10"/>
      <sheetName val="V11"/>
      <sheetName val="V12"/>
      <sheetName val="V13"/>
      <sheetName val="V14"/>
      <sheetName val="V15"/>
      <sheetName val="V16"/>
      <sheetName val="T01"/>
      <sheetName val="T02"/>
      <sheetName val="T03"/>
      <sheetName val="T04"/>
      <sheetName val="T05"/>
      <sheetName val="T06"/>
      <sheetName val="A18"/>
      <sheetName val="A17"/>
      <sheetName val="A16"/>
      <sheetName val="A15"/>
      <sheetName val="A14"/>
      <sheetName val="A13"/>
      <sheetName val="A12"/>
      <sheetName val="A11"/>
      <sheetName val="A10"/>
      <sheetName val="A09"/>
      <sheetName val="A08"/>
      <sheetName val="A07"/>
      <sheetName val="A06"/>
      <sheetName val="A05"/>
      <sheetName val="A03"/>
      <sheetName val="A04"/>
      <sheetName val="A02"/>
      <sheetName val="C01"/>
      <sheetName val="C02"/>
      <sheetName val="C03"/>
      <sheetName val="C04"/>
      <sheetName val="C05"/>
      <sheetName val="Definiciones Esc Ref"/>
      <sheetName val="Cash flow Esc Ref"/>
      <sheetName val="Demanda"/>
      <sheetName val="Registro de cambios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T01</v>
          </cell>
          <cell r="E66" t="str">
            <v>T02</v>
          </cell>
          <cell r="F66" t="str">
            <v>T03</v>
          </cell>
          <cell r="G66" t="str">
            <v>T04</v>
          </cell>
          <cell r="H66" t="str">
            <v>T05</v>
          </cell>
          <cell r="I66" t="str">
            <v>T06</v>
          </cell>
        </row>
        <row r="67">
          <cell r="D67" t="str">
            <v>Varela</v>
          </cell>
          <cell r="E67" t="str">
            <v>Varela</v>
          </cell>
          <cell r="F67" t="str">
            <v>Varela</v>
          </cell>
          <cell r="G67" t="str">
            <v>Semn. Mayor</v>
          </cell>
          <cell r="H67" t="str">
            <v>Amazonas:</v>
          </cell>
          <cell r="I67" t="str">
            <v>Amazonas:</v>
          </cell>
        </row>
        <row r="68">
          <cell r="D68" t="str">
            <v>Ofelia</v>
          </cell>
          <cell r="E68" t="str">
            <v>Ofelia</v>
          </cell>
          <cell r="F68" t="str">
            <v>Ofelia</v>
          </cell>
          <cell r="G68" t="str">
            <v>Ofelia</v>
          </cell>
          <cell r="H68" t="str">
            <v>Aeropuerto</v>
          </cell>
          <cell r="I68" t="str">
            <v>Carcelen</v>
          </cell>
        </row>
        <row r="69">
          <cell r="D69" t="str">
            <v>Regular</v>
          </cell>
          <cell r="E69" t="str">
            <v>Par</v>
          </cell>
          <cell r="F69" t="str">
            <v>Impar</v>
          </cell>
          <cell r="G69" t="str">
            <v>Expreso</v>
          </cell>
          <cell r="H69" t="str">
            <v>Congreso</v>
          </cell>
          <cell r="I69" t="str">
            <v>Congreso</v>
          </cell>
        </row>
        <row r="70">
          <cell r="D70">
            <v>3</v>
          </cell>
          <cell r="E70">
            <v>3</v>
          </cell>
          <cell r="F70">
            <v>3</v>
          </cell>
          <cell r="G70">
            <v>3</v>
          </cell>
          <cell r="H70">
            <v>4</v>
          </cell>
          <cell r="I70">
            <v>5</v>
          </cell>
        </row>
        <row r="71">
          <cell r="D71">
            <v>10.73</v>
          </cell>
          <cell r="E71">
            <v>10.73</v>
          </cell>
          <cell r="F71">
            <v>10.73</v>
          </cell>
          <cell r="G71">
            <v>10.73</v>
          </cell>
          <cell r="H71">
            <v>8.57</v>
          </cell>
          <cell r="I71">
            <v>17.25</v>
          </cell>
        </row>
        <row r="73">
          <cell r="D73">
            <v>45</v>
          </cell>
          <cell r="E73">
            <v>45</v>
          </cell>
          <cell r="F73">
            <v>45</v>
          </cell>
          <cell r="G73">
            <v>45</v>
          </cell>
          <cell r="H73">
            <v>30</v>
          </cell>
          <cell r="I73">
            <v>32</v>
          </cell>
        </row>
        <row r="74">
          <cell r="D74">
            <v>45</v>
          </cell>
          <cell r="E74">
            <v>45</v>
          </cell>
          <cell r="F74">
            <v>45</v>
          </cell>
          <cell r="G74">
            <v>45</v>
          </cell>
          <cell r="H74">
            <v>30</v>
          </cell>
          <cell r="I74">
            <v>32</v>
          </cell>
        </row>
        <row r="75">
          <cell r="D75">
            <v>15</v>
          </cell>
          <cell r="E75">
            <v>8</v>
          </cell>
          <cell r="F75">
            <v>8</v>
          </cell>
          <cell r="G75">
            <v>1</v>
          </cell>
          <cell r="H75">
            <v>18</v>
          </cell>
          <cell r="I75">
            <v>28</v>
          </cell>
        </row>
        <row r="76">
          <cell r="D76">
            <v>40</v>
          </cell>
          <cell r="E76">
            <v>40</v>
          </cell>
          <cell r="F76">
            <v>40</v>
          </cell>
          <cell r="G76">
            <v>45</v>
          </cell>
          <cell r="H76">
            <v>30</v>
          </cell>
          <cell r="I76">
            <v>32</v>
          </cell>
        </row>
        <row r="77">
          <cell r="D77">
            <v>16.094999999999999</v>
          </cell>
          <cell r="E77">
            <v>16.094999999999999</v>
          </cell>
          <cell r="F77">
            <v>16.094999999999999</v>
          </cell>
          <cell r="G77">
            <v>14.306666666666667</v>
          </cell>
          <cell r="H77">
            <v>17.14</v>
          </cell>
          <cell r="I77">
            <v>32.34375</v>
          </cell>
        </row>
        <row r="78">
          <cell r="D78">
            <v>0.4</v>
          </cell>
          <cell r="E78">
            <v>0.4</v>
          </cell>
          <cell r="F78">
            <v>0.4</v>
          </cell>
          <cell r="G78">
            <v>0.66</v>
          </cell>
          <cell r="H78">
            <v>0.33</v>
          </cell>
          <cell r="I78">
            <v>0.33</v>
          </cell>
        </row>
        <row r="79">
          <cell r="D79">
            <v>6</v>
          </cell>
          <cell r="E79">
            <v>3.2</v>
          </cell>
          <cell r="F79">
            <v>3.2</v>
          </cell>
          <cell r="G79">
            <v>0.66</v>
          </cell>
          <cell r="H79">
            <v>5.94</v>
          </cell>
          <cell r="I79">
            <v>9.24</v>
          </cell>
        </row>
        <row r="80">
          <cell r="D80">
            <v>6</v>
          </cell>
          <cell r="E80">
            <v>3.2</v>
          </cell>
          <cell r="F80">
            <v>3.2</v>
          </cell>
          <cell r="G80">
            <v>0.66</v>
          </cell>
          <cell r="H80">
            <v>5.94</v>
          </cell>
          <cell r="I80">
            <v>9.24</v>
          </cell>
        </row>
        <row r="81">
          <cell r="D81">
            <v>36</v>
          </cell>
          <cell r="E81">
            <v>36</v>
          </cell>
          <cell r="F81">
            <v>36</v>
          </cell>
          <cell r="G81">
            <v>36</v>
          </cell>
          <cell r="H81">
            <v>30</v>
          </cell>
          <cell r="I81">
            <v>45</v>
          </cell>
        </row>
        <row r="82">
          <cell r="D82">
            <v>36</v>
          </cell>
          <cell r="E82">
            <v>36</v>
          </cell>
          <cell r="F82">
            <v>36</v>
          </cell>
          <cell r="G82">
            <v>36</v>
          </cell>
          <cell r="H82">
            <v>30</v>
          </cell>
          <cell r="I82">
            <v>45</v>
          </cell>
        </row>
        <row r="83">
          <cell r="D83">
            <v>0.2</v>
          </cell>
          <cell r="E83">
            <v>0.2</v>
          </cell>
          <cell r="F83">
            <v>0.2</v>
          </cell>
          <cell r="G83">
            <v>0.2</v>
          </cell>
          <cell r="H83">
            <v>0.5</v>
          </cell>
          <cell r="I83">
            <v>0.5</v>
          </cell>
        </row>
        <row r="84">
          <cell r="D84">
            <v>7.2</v>
          </cell>
          <cell r="E84">
            <v>7.2</v>
          </cell>
          <cell r="F84">
            <v>7.2</v>
          </cell>
          <cell r="G84">
            <v>7.2</v>
          </cell>
          <cell r="H84">
            <v>15</v>
          </cell>
          <cell r="I84">
            <v>22.5</v>
          </cell>
        </row>
        <row r="85">
          <cell r="D85">
            <v>29.294999999999998</v>
          </cell>
          <cell r="E85">
            <v>26.494999999999997</v>
          </cell>
          <cell r="F85">
            <v>26.494999999999997</v>
          </cell>
          <cell r="G85">
            <v>22.166666666666668</v>
          </cell>
          <cell r="H85">
            <v>38.08</v>
          </cell>
          <cell r="I85">
            <v>64.083750000000009</v>
          </cell>
        </row>
        <row r="86">
          <cell r="D86">
            <v>21.976446492575526</v>
          </cell>
          <cell r="E86">
            <v>24.298924325344409</v>
          </cell>
          <cell r="F86">
            <v>24.298924325344409</v>
          </cell>
          <cell r="G86">
            <v>29.043609022556392</v>
          </cell>
          <cell r="H86">
            <v>13.503151260504204</v>
          </cell>
          <cell r="I86">
            <v>16.150740242261101</v>
          </cell>
        </row>
        <row r="87">
          <cell r="D87">
            <v>4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5</v>
          </cell>
          <cell r="H88">
            <v>0</v>
          </cell>
          <cell r="I88">
            <v>0</v>
          </cell>
        </row>
        <row r="169">
          <cell r="D169" t="str">
            <v>C01</v>
          </cell>
          <cell r="E169" t="str">
            <v>C02</v>
          </cell>
          <cell r="F169" t="str">
            <v>C03</v>
          </cell>
          <cell r="G169" t="str">
            <v>C04</v>
          </cell>
          <cell r="H169" t="str">
            <v>C05</v>
          </cell>
          <cell r="I169" t="str">
            <v>C06</v>
          </cell>
        </row>
        <row r="170">
          <cell r="D170" t="str">
            <v>Comuna</v>
          </cell>
          <cell r="E170" t="str">
            <v>S Vicente</v>
          </cell>
          <cell r="F170" t="str">
            <v>Estadio</v>
          </cell>
          <cell r="G170" t="str">
            <v>Cochabamba</v>
          </cell>
          <cell r="H170" t="str">
            <v>Atacucho</v>
          </cell>
        </row>
        <row r="171">
          <cell r="D171" t="str">
            <v>Floresta</v>
          </cell>
          <cell r="E171" t="str">
            <v>Interoceanica</v>
          </cell>
          <cell r="F171" t="str">
            <v>G Centeno</v>
          </cell>
          <cell r="G171" t="str">
            <v>El Inca</v>
          </cell>
          <cell r="H171" t="str">
            <v>Cte del Pueblo</v>
          </cell>
        </row>
        <row r="172">
          <cell r="D172">
            <v>12</v>
          </cell>
          <cell r="E172">
            <v>12</v>
          </cell>
          <cell r="F172">
            <v>12</v>
          </cell>
          <cell r="G172">
            <v>12</v>
          </cell>
          <cell r="H172">
            <v>12</v>
          </cell>
        </row>
        <row r="173">
          <cell r="D173">
            <v>6.4</v>
          </cell>
          <cell r="E173">
            <v>5.07</v>
          </cell>
          <cell r="F173">
            <v>3.5</v>
          </cell>
          <cell r="G173">
            <v>9</v>
          </cell>
          <cell r="H173">
            <v>9.1</v>
          </cell>
        </row>
        <row r="174">
          <cell r="D174">
            <v>25</v>
          </cell>
          <cell r="E174">
            <v>25</v>
          </cell>
          <cell r="F174">
            <v>30</v>
          </cell>
          <cell r="G174">
            <v>30</v>
          </cell>
          <cell r="H174">
            <v>30</v>
          </cell>
        </row>
        <row r="175">
          <cell r="D175">
            <v>21</v>
          </cell>
          <cell r="E175">
            <v>15</v>
          </cell>
          <cell r="F175">
            <v>12</v>
          </cell>
          <cell r="G175">
            <v>22</v>
          </cell>
          <cell r="H175">
            <v>28</v>
          </cell>
        </row>
        <row r="176">
          <cell r="D176">
            <v>25</v>
          </cell>
          <cell r="E176">
            <v>25</v>
          </cell>
          <cell r="F176">
            <v>30</v>
          </cell>
          <cell r="G176">
            <v>30</v>
          </cell>
          <cell r="H176">
            <v>30</v>
          </cell>
        </row>
        <row r="177">
          <cell r="D177">
            <v>15.36</v>
          </cell>
          <cell r="E177">
            <v>12.168000000000001</v>
          </cell>
          <cell r="F177">
            <v>7</v>
          </cell>
          <cell r="G177">
            <v>18</v>
          </cell>
          <cell r="H177">
            <v>18.2</v>
          </cell>
        </row>
        <row r="178">
          <cell r="D178">
            <v>0.2</v>
          </cell>
          <cell r="E178">
            <v>0.2</v>
          </cell>
          <cell r="F178">
            <v>0.2</v>
          </cell>
          <cell r="G178">
            <v>0.2</v>
          </cell>
          <cell r="H178">
            <v>0.2</v>
          </cell>
        </row>
        <row r="179">
          <cell r="D179">
            <v>4.2</v>
          </cell>
          <cell r="E179">
            <v>3</v>
          </cell>
          <cell r="F179">
            <v>2.4000000000000004</v>
          </cell>
          <cell r="G179">
            <v>4.4000000000000004</v>
          </cell>
          <cell r="H179">
            <v>5.6000000000000005</v>
          </cell>
        </row>
        <row r="180">
          <cell r="D180">
            <v>12</v>
          </cell>
          <cell r="E180">
            <v>9</v>
          </cell>
          <cell r="F180">
            <v>7</v>
          </cell>
          <cell r="G180">
            <v>9</v>
          </cell>
          <cell r="H180">
            <v>9</v>
          </cell>
        </row>
        <row r="181">
          <cell r="D181">
            <v>0.5</v>
          </cell>
          <cell r="E181">
            <v>0.5</v>
          </cell>
          <cell r="F181">
            <v>0.5</v>
          </cell>
          <cell r="G181">
            <v>0.5</v>
          </cell>
          <cell r="H181">
            <v>0.5</v>
          </cell>
        </row>
        <row r="182">
          <cell r="D182">
            <v>6</v>
          </cell>
          <cell r="E182">
            <v>4.5</v>
          </cell>
          <cell r="F182">
            <v>3.5</v>
          </cell>
          <cell r="G182">
            <v>4.5</v>
          </cell>
          <cell r="H182">
            <v>4.5</v>
          </cell>
        </row>
        <row r="183">
          <cell r="D183">
            <v>25.56</v>
          </cell>
          <cell r="E183">
            <v>19.667999999999999</v>
          </cell>
          <cell r="F183">
            <v>12.9</v>
          </cell>
          <cell r="G183">
            <v>26.9</v>
          </cell>
          <cell r="H183">
            <v>28.3</v>
          </cell>
        </row>
        <row r="184">
          <cell r="D184">
            <v>15.023474178403758</v>
          </cell>
          <cell r="E184">
            <v>15.466748017083589</v>
          </cell>
          <cell r="F184">
            <v>16.279069767441861</v>
          </cell>
          <cell r="G184">
            <v>20.074349442379184</v>
          </cell>
          <cell r="H184">
            <v>19.293286219081271</v>
          </cell>
        </row>
        <row r="185"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H185">
            <v>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Xfers"/>
      <sheetName val="RD1P1"/>
      <sheetName val="RD1P2"/>
      <sheetName val="RD1P3"/>
      <sheetName val="RD1P4"/>
      <sheetName val="Dia1"/>
      <sheetName val="Dia1 DMT"/>
    </sheetNames>
    <sheetDataSet>
      <sheetData sheetId="0" refreshError="1"/>
      <sheetData sheetId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10</v>
          </cell>
        </row>
        <row r="3">
          <cell r="B3">
            <v>7327.2</v>
          </cell>
          <cell r="C3">
            <v>68.7</v>
          </cell>
          <cell r="D3">
            <v>37.5</v>
          </cell>
          <cell r="E3">
            <v>120</v>
          </cell>
          <cell r="F3">
            <v>600.79999999999995</v>
          </cell>
          <cell r="G3">
            <v>72.5</v>
          </cell>
          <cell r="H3">
            <v>3058.4</v>
          </cell>
          <cell r="I3">
            <v>2537.4</v>
          </cell>
        </row>
        <row r="4">
          <cell r="B4">
            <v>129.19999999999999</v>
          </cell>
          <cell r="C4">
            <v>2.8</v>
          </cell>
          <cell r="D4">
            <v>0</v>
          </cell>
          <cell r="E4">
            <v>157.69999999999999</v>
          </cell>
          <cell r="F4">
            <v>89</v>
          </cell>
          <cell r="G4">
            <v>0</v>
          </cell>
          <cell r="H4">
            <v>17.899999999999999</v>
          </cell>
          <cell r="I4">
            <v>1149.2</v>
          </cell>
        </row>
        <row r="5">
          <cell r="B5">
            <v>12.7</v>
          </cell>
          <cell r="C5">
            <v>1.2</v>
          </cell>
          <cell r="D5">
            <v>0</v>
          </cell>
          <cell r="E5">
            <v>3.2</v>
          </cell>
          <cell r="F5">
            <v>8.5</v>
          </cell>
          <cell r="G5">
            <v>0</v>
          </cell>
          <cell r="H5">
            <v>27.1</v>
          </cell>
          <cell r="I5">
            <v>122.5</v>
          </cell>
        </row>
        <row r="6">
          <cell r="B6">
            <v>430.3</v>
          </cell>
          <cell r="C6">
            <v>1246.5999999999999</v>
          </cell>
          <cell r="D6">
            <v>16.3</v>
          </cell>
          <cell r="E6">
            <v>0</v>
          </cell>
          <cell r="F6">
            <v>2.7</v>
          </cell>
          <cell r="G6">
            <v>22.8</v>
          </cell>
          <cell r="H6">
            <v>1180.9000000000001</v>
          </cell>
          <cell r="I6">
            <v>369.8</v>
          </cell>
        </row>
        <row r="7">
          <cell r="B7">
            <v>244.8</v>
          </cell>
          <cell r="C7">
            <v>85.9</v>
          </cell>
          <cell r="D7">
            <v>36.299999999999997</v>
          </cell>
          <cell r="E7">
            <v>0</v>
          </cell>
          <cell r="F7">
            <v>1.1000000000000001</v>
          </cell>
          <cell r="G7">
            <v>0</v>
          </cell>
          <cell r="H7">
            <v>168.8</v>
          </cell>
          <cell r="I7">
            <v>483.8</v>
          </cell>
        </row>
        <row r="8">
          <cell r="B8">
            <v>172.1</v>
          </cell>
          <cell r="C8">
            <v>0.2</v>
          </cell>
          <cell r="D8">
            <v>0</v>
          </cell>
          <cell r="E8">
            <v>4</v>
          </cell>
          <cell r="F8">
            <v>0</v>
          </cell>
          <cell r="G8">
            <v>14.2</v>
          </cell>
          <cell r="H8">
            <v>55.4</v>
          </cell>
          <cell r="I8">
            <v>91.9</v>
          </cell>
        </row>
        <row r="9">
          <cell r="B9">
            <v>1576.3</v>
          </cell>
          <cell r="C9">
            <v>123.6</v>
          </cell>
          <cell r="D9">
            <v>6.5</v>
          </cell>
          <cell r="E9">
            <v>405.7</v>
          </cell>
          <cell r="F9">
            <v>486.8</v>
          </cell>
          <cell r="G9">
            <v>49.5</v>
          </cell>
          <cell r="H9">
            <v>748.9</v>
          </cell>
          <cell r="I9">
            <v>1414.9</v>
          </cell>
        </row>
        <row r="10">
          <cell r="B10">
            <v>6798.5</v>
          </cell>
          <cell r="C10">
            <v>1472</v>
          </cell>
          <cell r="D10">
            <v>213.1</v>
          </cell>
          <cell r="E10">
            <v>917.8</v>
          </cell>
          <cell r="F10">
            <v>203.5</v>
          </cell>
          <cell r="G10">
            <v>40</v>
          </cell>
          <cell r="H10">
            <v>2676.5</v>
          </cell>
          <cell r="I10">
            <v>639</v>
          </cell>
        </row>
        <row r="11">
          <cell r="B11">
            <v>8316.2999999999993</v>
          </cell>
          <cell r="C11">
            <v>1405.4</v>
          </cell>
          <cell r="D11">
            <v>90.1</v>
          </cell>
          <cell r="E11">
            <v>284.89999999999998</v>
          </cell>
          <cell r="F11">
            <v>702.1</v>
          </cell>
          <cell r="G11">
            <v>109.5</v>
          </cell>
          <cell r="H11">
            <v>4508.5</v>
          </cell>
          <cell r="I11">
            <v>4754.6000000000004</v>
          </cell>
        </row>
        <row r="12">
          <cell r="B12">
            <v>1576.3</v>
          </cell>
          <cell r="C12">
            <v>123.6</v>
          </cell>
          <cell r="D12">
            <v>6.5</v>
          </cell>
          <cell r="E12">
            <v>405.7</v>
          </cell>
          <cell r="F12">
            <v>486.8</v>
          </cell>
          <cell r="G12">
            <v>49.5</v>
          </cell>
          <cell r="H12">
            <v>748.9</v>
          </cell>
          <cell r="I12">
            <v>1414.9</v>
          </cell>
        </row>
        <row r="13">
          <cell r="B13">
            <v>6798.5</v>
          </cell>
          <cell r="C13">
            <v>1472</v>
          </cell>
          <cell r="D13">
            <v>213.1</v>
          </cell>
          <cell r="E13">
            <v>917.8</v>
          </cell>
          <cell r="F13">
            <v>203.5</v>
          </cell>
          <cell r="G13">
            <v>40</v>
          </cell>
          <cell r="H13">
            <v>2676.5</v>
          </cell>
          <cell r="I13">
            <v>639</v>
          </cell>
        </row>
        <row r="14">
          <cell r="B14">
            <v>0.18810477030603243</v>
          </cell>
          <cell r="C14">
            <v>0.14395165420465023</v>
          </cell>
          <cell r="D14">
            <v>3.0511344395529969E-2</v>
          </cell>
          <cell r="E14">
            <v>3.4185265178785694E-2</v>
          </cell>
          <cell r="F14">
            <v>0.15870253164556963</v>
          </cell>
          <cell r="G14">
            <v>5.5219364599092283E-2</v>
          </cell>
          <cell r="H14">
            <v>0.12519090328492488</v>
          </cell>
          <cell r="I14">
            <v>0.15320616098472645</v>
          </cell>
        </row>
        <row r="15">
          <cell r="B15">
            <v>3.5654022754518108E-2</v>
          </cell>
          <cell r="C15">
            <v>1.2660043019563657E-2</v>
          </cell>
          <cell r="D15">
            <v>2.2011513714866237E-3</v>
          </cell>
          <cell r="E15">
            <v>4.8680105591552676E-2</v>
          </cell>
          <cell r="F15">
            <v>0.1100361663652803</v>
          </cell>
          <cell r="G15">
            <v>2.4962178517397883E-2</v>
          </cell>
          <cell r="H15">
            <v>2.0795268375308915E-2</v>
          </cell>
          <cell r="I15">
            <v>4.5591931430044468E-2</v>
          </cell>
        </row>
        <row r="16">
          <cell r="B16">
            <v>0.15377394766008459</v>
          </cell>
          <cell r="C16">
            <v>0.1507733278705316</v>
          </cell>
          <cell r="D16">
            <v>7.2163901117507617E-2</v>
          </cell>
          <cell r="E16">
            <v>0.11012718982481401</v>
          </cell>
          <cell r="F16">
            <v>4.599909584086799E-2</v>
          </cell>
          <cell r="G16">
            <v>2.0171457387796268E-2</v>
          </cell>
          <cell r="H16">
            <v>7.4320384305667397E-2</v>
          </cell>
          <cell r="I16">
            <v>2.0590320293871239E-2</v>
          </cell>
        </row>
        <row r="19">
          <cell r="B19">
            <v>1</v>
          </cell>
          <cell r="C19">
            <v>2</v>
          </cell>
          <cell r="D19">
            <v>3</v>
          </cell>
          <cell r="E19">
            <v>4</v>
          </cell>
          <cell r="F19">
            <v>5</v>
          </cell>
          <cell r="G19">
            <v>6</v>
          </cell>
          <cell r="H19">
            <v>7</v>
          </cell>
          <cell r="I19">
            <v>10</v>
          </cell>
        </row>
        <row r="20">
          <cell r="B20">
            <v>2224.5</v>
          </cell>
          <cell r="C20">
            <v>26.9</v>
          </cell>
          <cell r="D20">
            <v>29.9</v>
          </cell>
          <cell r="E20">
            <v>233.9</v>
          </cell>
          <cell r="F20">
            <v>131.1</v>
          </cell>
          <cell r="G20">
            <v>166.5</v>
          </cell>
          <cell r="H20">
            <v>1608.9</v>
          </cell>
          <cell r="I20">
            <v>1005.1</v>
          </cell>
        </row>
        <row r="21">
          <cell r="B21">
            <v>96.2</v>
          </cell>
          <cell r="C21">
            <v>2</v>
          </cell>
          <cell r="D21">
            <v>0</v>
          </cell>
          <cell r="E21">
            <v>97.7</v>
          </cell>
          <cell r="F21">
            <v>3.8</v>
          </cell>
          <cell r="G21">
            <v>1</v>
          </cell>
          <cell r="H21">
            <v>141.4</v>
          </cell>
          <cell r="I21">
            <v>790.8</v>
          </cell>
        </row>
        <row r="22">
          <cell r="B22">
            <v>7.2</v>
          </cell>
          <cell r="C22">
            <v>1</v>
          </cell>
          <cell r="D22">
            <v>0</v>
          </cell>
          <cell r="E22">
            <v>0</v>
          </cell>
          <cell r="F22">
            <v>24.1</v>
          </cell>
          <cell r="G22">
            <v>0</v>
          </cell>
          <cell r="H22">
            <v>17.8</v>
          </cell>
          <cell r="I22">
            <v>51.1</v>
          </cell>
        </row>
        <row r="23">
          <cell r="B23">
            <v>146</v>
          </cell>
          <cell r="C23">
            <v>74.5</v>
          </cell>
          <cell r="D23">
            <v>26</v>
          </cell>
          <cell r="E23">
            <v>0</v>
          </cell>
          <cell r="F23">
            <v>0.1</v>
          </cell>
          <cell r="G23">
            <v>73.8</v>
          </cell>
          <cell r="H23">
            <v>588.29999999999995</v>
          </cell>
          <cell r="I23">
            <v>635.9</v>
          </cell>
        </row>
        <row r="24">
          <cell r="B24">
            <v>445.4</v>
          </cell>
          <cell r="C24">
            <v>60.9</v>
          </cell>
          <cell r="D24">
            <v>0</v>
          </cell>
          <cell r="E24">
            <v>52.4</v>
          </cell>
          <cell r="F24">
            <v>0.7</v>
          </cell>
          <cell r="G24">
            <v>0</v>
          </cell>
          <cell r="H24">
            <v>160.69999999999999</v>
          </cell>
          <cell r="I24">
            <v>134</v>
          </cell>
        </row>
        <row r="25">
          <cell r="B25">
            <v>338.2</v>
          </cell>
          <cell r="C25">
            <v>0.1</v>
          </cell>
          <cell r="D25">
            <v>0</v>
          </cell>
          <cell r="E25">
            <v>93.8</v>
          </cell>
          <cell r="F25">
            <v>0</v>
          </cell>
          <cell r="G25">
            <v>0</v>
          </cell>
          <cell r="H25">
            <v>171</v>
          </cell>
          <cell r="I25">
            <v>201.1</v>
          </cell>
        </row>
        <row r="26">
          <cell r="B26">
            <v>882.3</v>
          </cell>
          <cell r="C26">
            <v>137.30000000000001</v>
          </cell>
          <cell r="D26">
            <v>0.5</v>
          </cell>
          <cell r="E26">
            <v>523.70000000000005</v>
          </cell>
          <cell r="F26">
            <v>564.29999999999995</v>
          </cell>
          <cell r="G26">
            <v>173</v>
          </cell>
          <cell r="H26">
            <v>544.6</v>
          </cell>
          <cell r="I26">
            <v>1117.2</v>
          </cell>
        </row>
        <row r="27">
          <cell r="B27">
            <v>1281.5999999999999</v>
          </cell>
          <cell r="C27">
            <v>659.6</v>
          </cell>
          <cell r="D27">
            <v>10.4</v>
          </cell>
          <cell r="E27">
            <v>744.6</v>
          </cell>
          <cell r="F27">
            <v>511.7</v>
          </cell>
          <cell r="G27">
            <v>211.4</v>
          </cell>
          <cell r="H27">
            <v>1231.3</v>
          </cell>
          <cell r="I27">
            <v>161.19999999999999</v>
          </cell>
        </row>
        <row r="28">
          <cell r="B28">
            <v>3257.4999999999995</v>
          </cell>
          <cell r="C28">
            <v>165.4</v>
          </cell>
          <cell r="D28">
            <v>55.9</v>
          </cell>
          <cell r="E28">
            <v>477.8</v>
          </cell>
          <cell r="F28">
            <v>159.79999999999998</v>
          </cell>
          <cell r="G28">
            <v>241.3</v>
          </cell>
          <cell r="H28">
            <v>2688.1</v>
          </cell>
          <cell r="I28">
            <v>2818</v>
          </cell>
        </row>
        <row r="29">
          <cell r="B29">
            <v>882.3</v>
          </cell>
          <cell r="C29">
            <v>137.30000000000001</v>
          </cell>
          <cell r="D29">
            <v>0.5</v>
          </cell>
          <cell r="E29">
            <v>523.70000000000005</v>
          </cell>
          <cell r="F29">
            <v>564.29999999999995</v>
          </cell>
          <cell r="G29">
            <v>173</v>
          </cell>
          <cell r="H29">
            <v>544.6</v>
          </cell>
          <cell r="I29">
            <v>1117.2</v>
          </cell>
        </row>
        <row r="30">
          <cell r="B30">
            <v>1281.5999999999999</v>
          </cell>
          <cell r="C30">
            <v>659.6</v>
          </cell>
          <cell r="D30">
            <v>10.4</v>
          </cell>
          <cell r="E30">
            <v>744.6</v>
          </cell>
          <cell r="F30">
            <v>511.7</v>
          </cell>
          <cell r="G30">
            <v>211.4</v>
          </cell>
          <cell r="H30">
            <v>1231.3</v>
          </cell>
          <cell r="I30">
            <v>161.19999999999999</v>
          </cell>
        </row>
        <row r="31">
          <cell r="B31">
            <v>0.15028835063437138</v>
          </cell>
          <cell r="C31">
            <v>2.3302338686954072E-2</v>
          </cell>
          <cell r="D31">
            <v>3.9561217268223633E-2</v>
          </cell>
          <cell r="E31">
            <v>4.7250791139240508E-2</v>
          </cell>
          <cell r="F31">
            <v>3.9466534946900465E-2</v>
          </cell>
          <cell r="G31">
            <v>7.741418030157203E-2</v>
          </cell>
          <cell r="H31">
            <v>8.5123024794958674E-2</v>
          </cell>
          <cell r="I31">
            <v>0.15291117260838896</v>
          </cell>
        </row>
        <row r="32">
          <cell r="B32">
            <v>4.0705882352941175E-2</v>
          </cell>
          <cell r="C32">
            <v>1.9343477035784731E-2</v>
          </cell>
          <cell r="D32">
            <v>3.5385704175513094E-4</v>
          </cell>
          <cell r="E32">
            <v>5.1789952531645575E-2</v>
          </cell>
          <cell r="F32">
            <v>0.13936774512225239</v>
          </cell>
          <cell r="G32">
            <v>5.5502085338466477E-2</v>
          </cell>
          <cell r="H32">
            <v>1.7245637923936793E-2</v>
          </cell>
          <cell r="I32">
            <v>6.0621846003581316E-2</v>
          </cell>
        </row>
        <row r="33">
          <cell r="B33">
            <v>5.9128027681660894E-2</v>
          </cell>
          <cell r="C33">
            <v>9.2927585235277541E-2</v>
          </cell>
          <cell r="D33">
            <v>7.360226468506724E-3</v>
          </cell>
          <cell r="E33">
            <v>7.3635284810126586E-2</v>
          </cell>
          <cell r="F33">
            <v>0.12637688318103235</v>
          </cell>
          <cell r="G33">
            <v>6.7821623355790825E-2</v>
          </cell>
          <cell r="H33">
            <v>3.8991101681497199E-2</v>
          </cell>
          <cell r="I33">
            <v>8.7470834011612129E-3</v>
          </cell>
        </row>
        <row r="36">
          <cell r="B36">
            <v>1</v>
          </cell>
          <cell r="C36">
            <v>2</v>
          </cell>
          <cell r="D36">
            <v>3</v>
          </cell>
          <cell r="E36">
            <v>4</v>
          </cell>
          <cell r="F36">
            <v>5</v>
          </cell>
          <cell r="G36">
            <v>6</v>
          </cell>
          <cell r="H36">
            <v>7</v>
          </cell>
          <cell r="I36">
            <v>10</v>
          </cell>
        </row>
        <row r="37">
          <cell r="B37">
            <v>2237.1</v>
          </cell>
          <cell r="C37">
            <v>49.9</v>
          </cell>
          <cell r="D37">
            <v>13.8</v>
          </cell>
          <cell r="E37">
            <v>256.89999999999998</v>
          </cell>
          <cell r="F37">
            <v>39.200000000000003</v>
          </cell>
          <cell r="G37">
            <v>302.7</v>
          </cell>
          <cell r="H37">
            <v>984</v>
          </cell>
          <cell r="I37">
            <v>1226.7</v>
          </cell>
        </row>
        <row r="38">
          <cell r="B38">
            <v>35</v>
          </cell>
          <cell r="C38">
            <v>3.8</v>
          </cell>
          <cell r="D38">
            <v>0.1</v>
          </cell>
          <cell r="E38">
            <v>32.700000000000003</v>
          </cell>
          <cell r="F38">
            <v>8.8000000000000007</v>
          </cell>
          <cell r="G38">
            <v>0.8</v>
          </cell>
          <cell r="H38">
            <v>135.1</v>
          </cell>
          <cell r="I38">
            <v>443.8</v>
          </cell>
        </row>
        <row r="39">
          <cell r="B39">
            <v>24.9</v>
          </cell>
          <cell r="C39">
            <v>2.2000000000000002</v>
          </cell>
          <cell r="D39">
            <v>0</v>
          </cell>
          <cell r="E39">
            <v>123.2</v>
          </cell>
          <cell r="F39">
            <v>12.7</v>
          </cell>
          <cell r="G39">
            <v>0</v>
          </cell>
          <cell r="H39">
            <v>2.4</v>
          </cell>
          <cell r="I39">
            <v>342.1</v>
          </cell>
        </row>
        <row r="40">
          <cell r="B40">
            <v>76.2</v>
          </cell>
          <cell r="C40">
            <v>104.8</v>
          </cell>
          <cell r="D40">
            <v>2.8</v>
          </cell>
          <cell r="E40">
            <v>0</v>
          </cell>
          <cell r="F40">
            <v>0</v>
          </cell>
          <cell r="G40">
            <v>8.6</v>
          </cell>
          <cell r="H40">
            <v>1372.2</v>
          </cell>
          <cell r="I40">
            <v>882.5</v>
          </cell>
        </row>
        <row r="41">
          <cell r="B41">
            <v>552.4</v>
          </cell>
          <cell r="C41">
            <v>6</v>
          </cell>
          <cell r="D41">
            <v>113.4</v>
          </cell>
          <cell r="E41">
            <v>805.4</v>
          </cell>
          <cell r="F41">
            <v>1</v>
          </cell>
          <cell r="G41">
            <v>0</v>
          </cell>
          <cell r="H41">
            <v>172.6</v>
          </cell>
          <cell r="I41">
            <v>67.3</v>
          </cell>
        </row>
        <row r="42">
          <cell r="B42">
            <v>75.400000000000006</v>
          </cell>
          <cell r="C42">
            <v>0.5</v>
          </cell>
          <cell r="D42">
            <v>0</v>
          </cell>
          <cell r="E42">
            <v>101.1</v>
          </cell>
          <cell r="F42">
            <v>0</v>
          </cell>
          <cell r="G42">
            <v>0</v>
          </cell>
          <cell r="H42">
            <v>64.2</v>
          </cell>
          <cell r="I42">
            <v>166.5</v>
          </cell>
        </row>
        <row r="43">
          <cell r="B43">
            <v>982</v>
          </cell>
          <cell r="C43">
            <v>50</v>
          </cell>
          <cell r="D43">
            <v>29.6</v>
          </cell>
          <cell r="E43">
            <v>660.8</v>
          </cell>
          <cell r="F43">
            <v>74.5</v>
          </cell>
          <cell r="G43">
            <v>126.6</v>
          </cell>
          <cell r="H43">
            <v>314.3</v>
          </cell>
          <cell r="I43">
            <v>1062.3</v>
          </cell>
        </row>
        <row r="44">
          <cell r="B44">
            <v>667.6</v>
          </cell>
          <cell r="C44">
            <v>324.39999999999998</v>
          </cell>
          <cell r="D44">
            <v>95.2</v>
          </cell>
          <cell r="E44">
            <v>987.4</v>
          </cell>
          <cell r="F44">
            <v>502.8</v>
          </cell>
          <cell r="G44">
            <v>100.2</v>
          </cell>
          <cell r="H44">
            <v>799.4</v>
          </cell>
          <cell r="I44">
            <v>154.5</v>
          </cell>
        </row>
        <row r="45">
          <cell r="B45">
            <v>3001</v>
          </cell>
          <cell r="C45">
            <v>167.2</v>
          </cell>
          <cell r="D45">
            <v>130.1</v>
          </cell>
          <cell r="E45">
            <v>1319.2999999999997</v>
          </cell>
          <cell r="F45">
            <v>61.7</v>
          </cell>
          <cell r="G45">
            <v>312.10000000000002</v>
          </cell>
          <cell r="H45">
            <v>2730.4999999999995</v>
          </cell>
          <cell r="I45">
            <v>3128.9</v>
          </cell>
        </row>
        <row r="46">
          <cell r="B46">
            <v>982</v>
          </cell>
          <cell r="C46">
            <v>50</v>
          </cell>
          <cell r="D46">
            <v>29.6</v>
          </cell>
          <cell r="E46">
            <v>660.8</v>
          </cell>
          <cell r="F46">
            <v>74.5</v>
          </cell>
          <cell r="G46">
            <v>126.6</v>
          </cell>
          <cell r="H46">
            <v>314.3</v>
          </cell>
          <cell r="I46">
            <v>1062.3</v>
          </cell>
        </row>
        <row r="47">
          <cell r="B47">
            <v>667.6</v>
          </cell>
          <cell r="C47">
            <v>324.39999999999998</v>
          </cell>
          <cell r="D47">
            <v>95.2</v>
          </cell>
          <cell r="E47">
            <v>987.4</v>
          </cell>
          <cell r="F47">
            <v>502.8</v>
          </cell>
          <cell r="G47">
            <v>100.2</v>
          </cell>
          <cell r="H47">
            <v>799.4</v>
          </cell>
          <cell r="I47">
            <v>154.5</v>
          </cell>
        </row>
        <row r="48">
          <cell r="B48">
            <v>0.16245331023656145</v>
          </cell>
          <cell r="C48">
            <v>3.458833264377327E-2</v>
          </cell>
          <cell r="D48">
            <v>4.3923024983119514E-2</v>
          </cell>
          <cell r="E48">
            <v>9.6595401962219926E-2</v>
          </cell>
          <cell r="F48">
            <v>1.4476771468793994E-2</v>
          </cell>
          <cell r="G48">
            <v>0.15597201399300351</v>
          </cell>
          <cell r="H48">
            <v>9.9569704262845046E-2</v>
          </cell>
          <cell r="I48">
            <v>0.18832912001926086</v>
          </cell>
        </row>
        <row r="49">
          <cell r="B49">
            <v>5.3158663996102418E-2</v>
          </cell>
          <cell r="C49">
            <v>1.0343400910219279E-2</v>
          </cell>
          <cell r="D49">
            <v>9.9932478055368007E-3</v>
          </cell>
          <cell r="E49">
            <v>4.8381900717528188E-2</v>
          </cell>
          <cell r="F49">
            <v>1.7480056311590803E-2</v>
          </cell>
          <cell r="G49">
            <v>6.3268365817091457E-2</v>
          </cell>
          <cell r="H49">
            <v>1.1461182219304963E-2</v>
          </cell>
          <cell r="I49">
            <v>6.3940050559768868E-2</v>
          </cell>
        </row>
        <row r="50">
          <cell r="B50">
            <v>3.6139230227900179E-2</v>
          </cell>
          <cell r="C50">
            <v>6.7107985105502685E-2</v>
          </cell>
          <cell r="D50">
            <v>3.2140445644834571E-2</v>
          </cell>
          <cell r="E50">
            <v>7.2294625860301651E-2</v>
          </cell>
          <cell r="F50">
            <v>0.11797278273111216</v>
          </cell>
          <cell r="G50">
            <v>5.0074962518740634E-2</v>
          </cell>
          <cell r="H50">
            <v>2.9150712905225539E-2</v>
          </cell>
          <cell r="I50">
            <v>9.299386059949441E-3</v>
          </cell>
        </row>
        <row r="53"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10</v>
          </cell>
        </row>
        <row r="54">
          <cell r="B54">
            <v>5747.5</v>
          </cell>
          <cell r="C54">
            <v>60.2</v>
          </cell>
          <cell r="D54">
            <v>23.9</v>
          </cell>
          <cell r="E54">
            <v>466.8</v>
          </cell>
          <cell r="F54">
            <v>81.599999999999994</v>
          </cell>
          <cell r="G54">
            <v>441.8</v>
          </cell>
          <cell r="H54">
            <v>1122</v>
          </cell>
          <cell r="I54">
            <v>2520.6</v>
          </cell>
        </row>
        <row r="55">
          <cell r="B55">
            <v>161.9</v>
          </cell>
          <cell r="C55">
            <v>34.6</v>
          </cell>
          <cell r="D55">
            <v>0</v>
          </cell>
          <cell r="E55">
            <v>322.89999999999998</v>
          </cell>
          <cell r="F55">
            <v>8.8000000000000007</v>
          </cell>
          <cell r="G55">
            <v>6.9</v>
          </cell>
          <cell r="H55">
            <v>75.599999999999994</v>
          </cell>
          <cell r="I55">
            <v>958.5</v>
          </cell>
        </row>
        <row r="56">
          <cell r="B56">
            <v>11.7</v>
          </cell>
          <cell r="C56">
            <v>0</v>
          </cell>
          <cell r="D56">
            <v>0</v>
          </cell>
          <cell r="E56">
            <v>218.2</v>
          </cell>
          <cell r="F56">
            <v>4</v>
          </cell>
          <cell r="G56">
            <v>0</v>
          </cell>
          <cell r="H56">
            <v>51.5</v>
          </cell>
          <cell r="I56">
            <v>165.9</v>
          </cell>
        </row>
        <row r="57">
          <cell r="B57">
            <v>101.9</v>
          </cell>
          <cell r="C57">
            <v>150.30000000000001</v>
          </cell>
          <cell r="D57">
            <v>6.3</v>
          </cell>
          <cell r="E57">
            <v>0</v>
          </cell>
          <cell r="F57">
            <v>0</v>
          </cell>
          <cell r="G57">
            <v>16.600000000000001</v>
          </cell>
          <cell r="H57">
            <v>428.5</v>
          </cell>
          <cell r="I57">
            <v>604.5</v>
          </cell>
        </row>
        <row r="58">
          <cell r="B58">
            <v>169.7</v>
          </cell>
          <cell r="C58">
            <v>45.3</v>
          </cell>
          <cell r="D58">
            <v>18.7</v>
          </cell>
          <cell r="E58">
            <v>3.2</v>
          </cell>
          <cell r="F58">
            <v>0.7</v>
          </cell>
          <cell r="G58">
            <v>0</v>
          </cell>
          <cell r="H58">
            <v>65.599999999999994</v>
          </cell>
          <cell r="I58">
            <v>69.900000000000006</v>
          </cell>
        </row>
        <row r="59">
          <cell r="B59">
            <v>113</v>
          </cell>
          <cell r="C59">
            <v>0.1</v>
          </cell>
          <cell r="D59">
            <v>0</v>
          </cell>
          <cell r="E59">
            <v>72</v>
          </cell>
          <cell r="F59">
            <v>0</v>
          </cell>
          <cell r="G59">
            <v>0</v>
          </cell>
          <cell r="H59">
            <v>194.6</v>
          </cell>
          <cell r="I59">
            <v>154.30000000000001</v>
          </cell>
        </row>
        <row r="60">
          <cell r="B60">
            <v>2369.3000000000002</v>
          </cell>
          <cell r="C60">
            <v>151.5</v>
          </cell>
          <cell r="D60">
            <v>12.5</v>
          </cell>
          <cell r="E60">
            <v>577.5</v>
          </cell>
          <cell r="F60">
            <v>90.5</v>
          </cell>
          <cell r="G60">
            <v>123</v>
          </cell>
          <cell r="H60">
            <v>1113.3</v>
          </cell>
          <cell r="I60">
            <v>1613.8</v>
          </cell>
        </row>
        <row r="61">
          <cell r="B61">
            <v>1343.4</v>
          </cell>
          <cell r="C61">
            <v>740.3</v>
          </cell>
          <cell r="D61">
            <v>130.9</v>
          </cell>
          <cell r="E61">
            <v>744.7</v>
          </cell>
          <cell r="F61">
            <v>304.5</v>
          </cell>
          <cell r="G61">
            <v>83.3</v>
          </cell>
          <cell r="H61">
            <v>930.7</v>
          </cell>
          <cell r="I61">
            <v>255.1</v>
          </cell>
        </row>
        <row r="62">
          <cell r="B62">
            <v>6305.6999999999989</v>
          </cell>
          <cell r="C62">
            <v>290.50000000000006</v>
          </cell>
          <cell r="D62">
            <v>48.9</v>
          </cell>
          <cell r="E62">
            <v>1083.1000000000001</v>
          </cell>
          <cell r="F62">
            <v>95.1</v>
          </cell>
          <cell r="G62">
            <v>465.3</v>
          </cell>
          <cell r="H62">
            <v>1937.7999999999997</v>
          </cell>
          <cell r="I62">
            <v>4473.7</v>
          </cell>
        </row>
        <row r="63">
          <cell r="B63">
            <v>2369.3000000000002</v>
          </cell>
          <cell r="C63">
            <v>151.5</v>
          </cell>
          <cell r="D63">
            <v>12.5</v>
          </cell>
          <cell r="E63">
            <v>577.5</v>
          </cell>
          <cell r="F63">
            <v>90.5</v>
          </cell>
          <cell r="G63">
            <v>123</v>
          </cell>
          <cell r="H63">
            <v>1113.3</v>
          </cell>
          <cell r="I63">
            <v>1613.8</v>
          </cell>
        </row>
        <row r="64">
          <cell r="B64">
            <v>1343.4</v>
          </cell>
          <cell r="C64">
            <v>740.3</v>
          </cell>
          <cell r="D64">
            <v>130.9</v>
          </cell>
          <cell r="E64">
            <v>744.7</v>
          </cell>
          <cell r="F64">
            <v>304.5</v>
          </cell>
          <cell r="G64">
            <v>83.3</v>
          </cell>
          <cell r="H64">
            <v>930.7</v>
          </cell>
          <cell r="I64">
            <v>255.1</v>
          </cell>
        </row>
        <row r="65">
          <cell r="B65">
            <v>0.18214564256622082</v>
          </cell>
          <cell r="C65">
            <v>3.1391830559757951E-2</v>
          </cell>
          <cell r="D65">
            <v>1.7717391304347827E-2</v>
          </cell>
          <cell r="E65">
            <v>9.6164432211666526E-2</v>
          </cell>
          <cell r="F65">
            <v>4.0780445969125209E-2</v>
          </cell>
          <cell r="G65">
            <v>0.17355464378963073</v>
          </cell>
          <cell r="H65">
            <v>5.7592058727375391E-2</v>
          </cell>
          <cell r="I65">
            <v>0.19333189282627483</v>
          </cell>
        </row>
        <row r="66">
          <cell r="B66">
            <v>6.8439296340160036E-2</v>
          </cell>
          <cell r="C66">
            <v>1.6371298897773934E-2</v>
          </cell>
          <cell r="D66">
            <v>4.528985507246377E-3</v>
          </cell>
          <cell r="E66">
            <v>5.127408328154133E-2</v>
          </cell>
          <cell r="F66">
            <v>3.8807890222984566E-2</v>
          </cell>
          <cell r="G66">
            <v>4.587840358075345E-2</v>
          </cell>
          <cell r="H66">
            <v>3.3087645258121079E-2</v>
          </cell>
          <cell r="I66">
            <v>6.9740708729472772E-2</v>
          </cell>
        </row>
        <row r="67">
          <cell r="B67">
            <v>3.8805280337386984E-2</v>
          </cell>
          <cell r="C67">
            <v>7.9997838772422725E-2</v>
          </cell>
          <cell r="D67">
            <v>4.742753623188406E-2</v>
          </cell>
          <cell r="E67">
            <v>6.6119151203054255E-2</v>
          </cell>
          <cell r="F67">
            <v>0.13057461406518009</v>
          </cell>
          <cell r="G67">
            <v>3.1070496083550912E-2</v>
          </cell>
          <cell r="H67">
            <v>2.7660712693553663E-2</v>
          </cell>
          <cell r="I67">
            <v>1.1024200518582541E-2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71C74-D360-0F42-BCCE-25F131300F21}">
  <dimension ref="A1:U70"/>
  <sheetViews>
    <sheetView zoomScale="70" zoomScaleNormal="70" zoomScaleSheetLayoutView="70" workbookViewId="0">
      <selection activeCell="L53" sqref="L53"/>
    </sheetView>
  </sheetViews>
  <sheetFormatPr baseColWidth="10" defaultRowHeight="15" x14ac:dyDescent="0.2"/>
  <cols>
    <col min="1" max="2" width="12.5" customWidth="1"/>
    <col min="3" max="3" width="17.5" customWidth="1"/>
    <col min="4" max="4" width="19.6640625" customWidth="1"/>
    <col min="5" max="5" width="14.5" customWidth="1"/>
    <col min="6" max="6" width="15.5" customWidth="1"/>
    <col min="7" max="7" width="13.6640625" customWidth="1"/>
    <col min="8" max="8" width="13.33203125" customWidth="1"/>
    <col min="9" max="9" width="13.5" customWidth="1"/>
    <col min="10" max="10" width="16.6640625" customWidth="1"/>
    <col min="11" max="11" width="17.5" customWidth="1"/>
    <col min="12" max="12" width="14.1640625" customWidth="1"/>
    <col min="13" max="13" width="16.6640625" customWidth="1"/>
    <col min="14" max="14" width="16.33203125" customWidth="1"/>
    <col min="15" max="15" width="17.1640625" customWidth="1"/>
    <col min="17" max="17" width="13.33203125" customWidth="1"/>
    <col min="21" max="21" width="18" customWidth="1"/>
  </cols>
  <sheetData>
    <row r="1" spans="1:12" ht="16" x14ac:dyDescent="0.2">
      <c r="A1" s="59" t="s">
        <v>45</v>
      </c>
      <c r="B1" s="60"/>
      <c r="C1" s="60"/>
      <c r="D1" s="60"/>
      <c r="J1" s="61"/>
      <c r="K1" s="62"/>
    </row>
    <row r="2" spans="1:12" x14ac:dyDescent="0.2">
      <c r="J2" s="63"/>
    </row>
    <row r="3" spans="1:12" x14ac:dyDescent="0.2">
      <c r="J3" s="63"/>
    </row>
    <row r="4" spans="1:12" ht="75.75" customHeight="1" x14ac:dyDescent="0.2">
      <c r="A4" s="64" t="s">
        <v>46</v>
      </c>
      <c r="B4" s="64" t="s">
        <v>47</v>
      </c>
      <c r="C4" s="64" t="s">
        <v>48</v>
      </c>
      <c r="D4" s="64" t="s">
        <v>49</v>
      </c>
      <c r="E4" s="64" t="s">
        <v>50</v>
      </c>
      <c r="F4" s="65" t="s">
        <v>51</v>
      </c>
      <c r="H4" s="66" t="s">
        <v>52</v>
      </c>
      <c r="I4" s="66" t="s">
        <v>53</v>
      </c>
      <c r="K4" s="67" t="s">
        <v>54</v>
      </c>
      <c r="L4" s="66">
        <v>5.3</v>
      </c>
    </row>
    <row r="5" spans="1:12" ht="35.25" customHeight="1" x14ac:dyDescent="0.2">
      <c r="A5" s="68" t="s">
        <v>53</v>
      </c>
      <c r="B5" s="69">
        <f>192879+193317</f>
        <v>386196</v>
      </c>
      <c r="C5" s="70">
        <v>1.167</v>
      </c>
      <c r="D5" s="71">
        <f>+B5*C5</f>
        <v>450690.73200000002</v>
      </c>
      <c r="E5" s="66">
        <f>+I7</f>
        <v>551</v>
      </c>
      <c r="F5" s="69">
        <f>+D5/E5</f>
        <v>817.95051179673328</v>
      </c>
      <c r="H5" s="72" t="s">
        <v>55</v>
      </c>
      <c r="I5" s="66">
        <v>134</v>
      </c>
      <c r="K5" s="67" t="s">
        <v>56</v>
      </c>
      <c r="L5" s="66">
        <v>29</v>
      </c>
    </row>
    <row r="6" spans="1:12" ht="37.5" customHeight="1" x14ac:dyDescent="0.2">
      <c r="A6" s="73" t="s">
        <v>57</v>
      </c>
      <c r="B6" s="69">
        <f>109548+110160</f>
        <v>219708</v>
      </c>
      <c r="C6" s="70">
        <v>1.167</v>
      </c>
      <c r="D6" s="74">
        <f>+B6*C6</f>
        <v>256399.236</v>
      </c>
      <c r="E6" s="66">
        <v>309</v>
      </c>
      <c r="F6" s="69">
        <f>+D6/E6</f>
        <v>829.77099029126214</v>
      </c>
      <c r="H6" s="72" t="s">
        <v>58</v>
      </c>
      <c r="I6" s="66">
        <v>417</v>
      </c>
      <c r="K6" s="67" t="s">
        <v>59</v>
      </c>
      <c r="L6" s="66">
        <v>2</v>
      </c>
    </row>
    <row r="7" spans="1:12" ht="22.5" customHeight="1" x14ac:dyDescent="0.2">
      <c r="A7" s="7"/>
      <c r="B7" s="75">
        <f>SUM(B5:B6)</f>
        <v>605904</v>
      </c>
      <c r="C7" s="70"/>
      <c r="D7" s="69">
        <f>SUM(D5:D6)</f>
        <v>707089.96799999999</v>
      </c>
      <c r="F7" s="76">
        <f>AVERAGE(F5:F6)</f>
        <v>823.86075104399765</v>
      </c>
      <c r="H7" s="72"/>
      <c r="I7" s="66">
        <f>SUM(I5:I6)</f>
        <v>551</v>
      </c>
      <c r="K7" s="67" t="s">
        <v>60</v>
      </c>
      <c r="L7" s="66">
        <f>+L4*L5*L6</f>
        <v>307.39999999999998</v>
      </c>
    </row>
    <row r="8" spans="1:12" x14ac:dyDescent="0.2">
      <c r="I8" s="77"/>
    </row>
    <row r="9" spans="1:12" x14ac:dyDescent="0.2">
      <c r="A9" t="s">
        <v>61</v>
      </c>
      <c r="E9" s="78"/>
      <c r="J9" s="79"/>
    </row>
    <row r="10" spans="1:12" x14ac:dyDescent="0.2">
      <c r="A10" t="s">
        <v>62</v>
      </c>
      <c r="F10" t="s">
        <v>63</v>
      </c>
      <c r="I10" s="43">
        <v>2.2000000000000002</v>
      </c>
    </row>
    <row r="11" spans="1:12" x14ac:dyDescent="0.2">
      <c r="A11" t="s">
        <v>64</v>
      </c>
      <c r="F11" t="s">
        <v>65</v>
      </c>
      <c r="I11" s="80">
        <v>1</v>
      </c>
    </row>
    <row r="12" spans="1:12" x14ac:dyDescent="0.2">
      <c r="A12" t="s">
        <v>66</v>
      </c>
      <c r="F12" t="s">
        <v>67</v>
      </c>
      <c r="I12" s="80">
        <v>0.12</v>
      </c>
    </row>
    <row r="14" spans="1:12" x14ac:dyDescent="0.2">
      <c r="A14" s="81" t="s">
        <v>68</v>
      </c>
      <c r="B14" s="60"/>
      <c r="C14" s="60"/>
    </row>
    <row r="15" spans="1:12" ht="16" x14ac:dyDescent="0.2">
      <c r="A15" s="82" t="s">
        <v>69</v>
      </c>
      <c r="B15" s="66" t="s">
        <v>70</v>
      </c>
      <c r="C15" s="66" t="s">
        <v>71</v>
      </c>
    </row>
    <row r="16" spans="1:12" x14ac:dyDescent="0.2">
      <c r="A16" s="83">
        <v>317</v>
      </c>
      <c r="B16" s="83">
        <v>12</v>
      </c>
      <c r="C16" s="84">
        <f>+A16/B16</f>
        <v>26.416666666666668</v>
      </c>
      <c r="F16" s="79"/>
    </row>
    <row r="18" spans="1:15" x14ac:dyDescent="0.2">
      <c r="A18" t="s">
        <v>72</v>
      </c>
    </row>
    <row r="20" spans="1:15" x14ac:dyDescent="0.2">
      <c r="E20" s="85"/>
    </row>
    <row r="21" spans="1:15" x14ac:dyDescent="0.2">
      <c r="A21" s="86" t="s">
        <v>73</v>
      </c>
    </row>
    <row r="22" spans="1:15" ht="18" customHeight="1" x14ac:dyDescent="0.2"/>
    <row r="23" spans="1:15" x14ac:dyDescent="0.2">
      <c r="A23" s="87" t="s">
        <v>74</v>
      </c>
      <c r="B23" s="88"/>
      <c r="C23" s="83">
        <v>2020</v>
      </c>
      <c r="D23" s="83">
        <v>2021</v>
      </c>
      <c r="E23" s="83">
        <v>2022</v>
      </c>
      <c r="F23" s="83">
        <v>2023</v>
      </c>
      <c r="G23" s="83">
        <v>2024</v>
      </c>
      <c r="H23" s="83">
        <v>2025</v>
      </c>
      <c r="I23" s="83">
        <v>2026</v>
      </c>
      <c r="J23" s="83">
        <v>2027</v>
      </c>
      <c r="K23" s="83">
        <v>2028</v>
      </c>
      <c r="L23" s="83">
        <v>2029</v>
      </c>
    </row>
    <row r="24" spans="1:15" ht="16" thickBot="1" x14ac:dyDescent="0.25">
      <c r="A24" s="89"/>
      <c r="B24" s="90"/>
      <c r="C24" s="91">
        <v>8.3999999999999995E-3</v>
      </c>
      <c r="D24" s="92">
        <v>0.01</v>
      </c>
      <c r="E24" s="92">
        <v>0.01</v>
      </c>
      <c r="F24" s="92">
        <v>1.2E-2</v>
      </c>
      <c r="G24" s="92">
        <v>1.2E-2</v>
      </c>
      <c r="H24" s="92">
        <v>1.2999999999999999E-2</v>
      </c>
      <c r="I24" s="92">
        <v>1.2999999999999999E-2</v>
      </c>
      <c r="J24" s="92">
        <v>1.4E-2</v>
      </c>
      <c r="K24" s="92">
        <v>1.4E-2</v>
      </c>
      <c r="L24" s="92">
        <v>1.4999999999999999E-2</v>
      </c>
      <c r="M24" s="43"/>
      <c r="N24" s="43" t="s">
        <v>75</v>
      </c>
      <c r="O24" t="s">
        <v>76</v>
      </c>
    </row>
    <row r="25" spans="1:15" ht="17" thickTop="1" thickBot="1" x14ac:dyDescent="0.25">
      <c r="A25" s="93" t="s">
        <v>77</v>
      </c>
      <c r="B25" s="93"/>
      <c r="C25" s="94">
        <v>1</v>
      </c>
      <c r="D25" s="94">
        <f>C25+1</f>
        <v>2</v>
      </c>
      <c r="E25" s="94">
        <f t="shared" ref="E25:L25" si="0">D25+1</f>
        <v>3</v>
      </c>
      <c r="F25" s="94">
        <f t="shared" si="0"/>
        <v>4</v>
      </c>
      <c r="G25" s="94">
        <f t="shared" si="0"/>
        <v>5</v>
      </c>
      <c r="H25" s="94">
        <f t="shared" si="0"/>
        <v>6</v>
      </c>
      <c r="I25" s="94">
        <f t="shared" si="0"/>
        <v>7</v>
      </c>
      <c r="J25" s="94">
        <f t="shared" si="0"/>
        <v>8</v>
      </c>
      <c r="K25" s="94">
        <f t="shared" si="0"/>
        <v>9</v>
      </c>
      <c r="L25" s="94">
        <f t="shared" si="0"/>
        <v>10</v>
      </c>
    </row>
    <row r="26" spans="1:15" ht="16" thickTop="1" x14ac:dyDescent="0.2">
      <c r="A26" s="95" t="s">
        <v>78</v>
      </c>
      <c r="B26" s="95"/>
      <c r="C26" s="96">
        <v>38739.566021894745</v>
      </c>
      <c r="D26" s="96">
        <v>39361.723452206374</v>
      </c>
      <c r="E26" s="96">
        <v>39993.872730848809</v>
      </c>
      <c r="F26" s="96">
        <v>40716.641998840714</v>
      </c>
      <c r="G26" s="96">
        <v>41452.473153043771</v>
      </c>
      <c r="H26" s="96">
        <v>42243.303435857539</v>
      </c>
      <c r="I26" s="96">
        <v>43049.221178806823</v>
      </c>
      <c r="J26" s="96">
        <v>43913.821736961982</v>
      </c>
      <c r="K26" s="96">
        <v>44795.786932727133</v>
      </c>
      <c r="L26" s="96">
        <v>45740.530079138342</v>
      </c>
      <c r="M26" s="97">
        <f>AVERAGE(C26:L26)</f>
        <v>42000.694072032624</v>
      </c>
      <c r="N26" s="98">
        <f>+M26/12</f>
        <v>3500.057839336052</v>
      </c>
      <c r="O26" s="99">
        <f>+N26+N30</f>
        <v>4300.4166932937742</v>
      </c>
    </row>
    <row r="27" spans="1:15" x14ac:dyDescent="0.2">
      <c r="A27" s="95" t="s">
        <v>79</v>
      </c>
      <c r="B27" s="95"/>
      <c r="C27" s="96">
        <v>12823.657408252177</v>
      </c>
      <c r="D27" s="96">
        <v>14428.49427348035</v>
      </c>
      <c r="E27" s="96">
        <v>14601.636204762115</v>
      </c>
      <c r="F27" s="96">
        <v>14850.740118415355</v>
      </c>
      <c r="G27" s="96">
        <v>15119.018738654522</v>
      </c>
      <c r="H27" s="96">
        <v>15392.143812168315</v>
      </c>
      <c r="I27" s="96">
        <v>15685.671994666362</v>
      </c>
      <c r="J27" s="96">
        <v>15984.797759604649</v>
      </c>
      <c r="K27" s="96">
        <v>16305.692574628707</v>
      </c>
      <c r="L27" s="96">
        <v>16633.029353064376</v>
      </c>
      <c r="M27" s="97">
        <f t="shared" ref="M27:M31" si="1">AVERAGE(C27:L27)</f>
        <v>15182.488223769693</v>
      </c>
      <c r="N27" s="100">
        <f t="shared" ref="N27:N31" si="2">+M27/12</f>
        <v>1265.2073519808077</v>
      </c>
    </row>
    <row r="28" spans="1:15" x14ac:dyDescent="0.2">
      <c r="A28" s="95" t="s">
        <v>80</v>
      </c>
      <c r="B28" s="95"/>
      <c r="C28" s="96">
        <v>8755.4177960274283</v>
      </c>
      <c r="D28" s="96">
        <v>9554.5209531655655</v>
      </c>
      <c r="E28" s="96">
        <v>10168.238189339649</v>
      </c>
      <c r="F28" s="96">
        <v>8661.4471108256403</v>
      </c>
      <c r="G28" s="96">
        <v>9274.1517252261765</v>
      </c>
      <c r="H28" s="96">
        <v>8878.9967374031821</v>
      </c>
      <c r="I28" s="96">
        <v>8025.9461344917781</v>
      </c>
      <c r="J28" s="96">
        <v>8023.5409621648805</v>
      </c>
      <c r="K28" s="96">
        <v>8303.0210896171047</v>
      </c>
      <c r="L28" s="96">
        <v>7926.1556316237857</v>
      </c>
      <c r="M28" s="97">
        <f t="shared" si="1"/>
        <v>8757.14363298852</v>
      </c>
      <c r="N28" s="101">
        <f t="shared" si="2"/>
        <v>729.76196941571004</v>
      </c>
    </row>
    <row r="29" spans="1:15" x14ac:dyDescent="0.2">
      <c r="A29" s="95" t="s">
        <v>81</v>
      </c>
      <c r="B29" s="95"/>
      <c r="C29" s="96">
        <v>24565.071633561904</v>
      </c>
      <c r="D29" s="96">
        <v>35182.046843046381</v>
      </c>
      <c r="E29" s="96">
        <v>44253.994000163737</v>
      </c>
      <c r="F29" s="96">
        <v>35651.925708281669</v>
      </c>
      <c r="G29" s="96">
        <v>43278.774639036295</v>
      </c>
      <c r="H29" s="96">
        <v>45198.341967252643</v>
      </c>
      <c r="I29" s="96">
        <v>39845.905825346548</v>
      </c>
      <c r="J29" s="96">
        <v>41580.363041819874</v>
      </c>
      <c r="K29" s="96">
        <v>45663.55894758799</v>
      </c>
      <c r="L29" s="96">
        <v>44275.296062322013</v>
      </c>
      <c r="M29" s="97">
        <f t="shared" si="1"/>
        <v>39949.527866841898</v>
      </c>
      <c r="N29" s="102">
        <f t="shared" si="2"/>
        <v>3329.127322236825</v>
      </c>
    </row>
    <row r="30" spans="1:15" x14ac:dyDescent="0.2">
      <c r="A30" s="95" t="s">
        <v>82</v>
      </c>
      <c r="B30" s="95"/>
      <c r="C30" s="96">
        <v>8858.583511289864</v>
      </c>
      <c r="D30" s="96">
        <v>9000.8523624811824</v>
      </c>
      <c r="E30" s="96">
        <v>9145.4060514226312</v>
      </c>
      <c r="F30" s="96">
        <v>9310.6818295839403</v>
      </c>
      <c r="G30" s="96">
        <v>9478.9444716081853</v>
      </c>
      <c r="H30" s="96">
        <v>9659.783774237525</v>
      </c>
      <c r="I30" s="96">
        <v>9844.073129082426</v>
      </c>
      <c r="J30" s="96">
        <v>10041.781493806915</v>
      </c>
      <c r="K30" s="96">
        <v>10243.460633328536</v>
      </c>
      <c r="L30" s="96">
        <v>10459.495218085434</v>
      </c>
      <c r="M30" s="97">
        <f t="shared" si="1"/>
        <v>9604.3062474926646</v>
      </c>
      <c r="N30" s="98">
        <f t="shared" si="2"/>
        <v>800.35885395772209</v>
      </c>
    </row>
    <row r="31" spans="1:15" x14ac:dyDescent="0.2">
      <c r="A31" s="95" t="s">
        <v>83</v>
      </c>
      <c r="B31" s="95"/>
      <c r="C31" s="96">
        <v>1562.8183200000001</v>
      </c>
      <c r="D31" s="96">
        <v>1578.4465031999998</v>
      </c>
      <c r="E31" s="96">
        <v>1594.2309682319999</v>
      </c>
      <c r="F31" s="96">
        <v>1613.361739850784</v>
      </c>
      <c r="G31" s="96">
        <v>1632.7220807289932</v>
      </c>
      <c r="H31" s="96">
        <v>1653.9474677784699</v>
      </c>
      <c r="I31" s="96">
        <v>1675.4487848595898</v>
      </c>
      <c r="J31" s="96">
        <v>1698.9050678476237</v>
      </c>
      <c r="K31" s="96">
        <v>1722.6897387974905</v>
      </c>
      <c r="L31" s="96">
        <v>1748.5300848794529</v>
      </c>
      <c r="M31" s="97">
        <f t="shared" si="1"/>
        <v>1648.1100756174405</v>
      </c>
      <c r="N31" s="103">
        <f t="shared" si="2"/>
        <v>137.34250630145337</v>
      </c>
    </row>
    <row r="32" spans="1:15" x14ac:dyDescent="0.2">
      <c r="A32" s="95" t="s">
        <v>84</v>
      </c>
      <c r="B32" s="95"/>
      <c r="C32" s="96">
        <v>95305.11469102613</v>
      </c>
      <c r="D32" s="96">
        <v>109106.08438757985</v>
      </c>
      <c r="E32" s="96">
        <v>119757.37814476895</v>
      </c>
      <c r="F32" s="96">
        <v>110804.7985057981</v>
      </c>
      <c r="G32" s="96">
        <v>120236.08480829795</v>
      </c>
      <c r="H32" s="96">
        <v>123026.51719469768</v>
      </c>
      <c r="I32" s="96">
        <v>118126.26704725352</v>
      </c>
      <c r="J32" s="96">
        <v>121243.21006220592</v>
      </c>
      <c r="K32" s="96">
        <v>127034.20991668696</v>
      </c>
      <c r="L32" s="96">
        <v>126783.0364291134</v>
      </c>
      <c r="M32" s="97">
        <f>AVERAGE(C32:L32)</f>
        <v>117142.27011874286</v>
      </c>
      <c r="N32" s="104">
        <f>+M32/12</f>
        <v>9761.8558432285718</v>
      </c>
    </row>
    <row r="33" spans="1:21" x14ac:dyDescent="0.2">
      <c r="N33" s="85"/>
      <c r="O33" s="105"/>
    </row>
    <row r="34" spans="1:21" x14ac:dyDescent="0.2">
      <c r="C34" s="106"/>
      <c r="N34" s="105"/>
      <c r="O34" s="79"/>
    </row>
    <row r="35" spans="1:21" x14ac:dyDescent="0.2">
      <c r="A35" s="95" t="s">
        <v>85</v>
      </c>
      <c r="M35" s="86"/>
      <c r="N35" s="107"/>
    </row>
    <row r="36" spans="1:21" x14ac:dyDescent="0.2">
      <c r="O36" s="105"/>
    </row>
    <row r="37" spans="1:21" ht="18.75" customHeight="1" x14ac:dyDescent="0.2">
      <c r="A37" s="108" t="s">
        <v>86</v>
      </c>
      <c r="C37" s="83">
        <v>2020</v>
      </c>
      <c r="D37" s="83">
        <v>2021</v>
      </c>
      <c r="E37" s="83">
        <v>2022</v>
      </c>
      <c r="F37" s="83">
        <v>2023</v>
      </c>
      <c r="G37" s="83">
        <v>2024</v>
      </c>
      <c r="H37" s="83">
        <v>2025</v>
      </c>
      <c r="I37" s="83">
        <v>2026</v>
      </c>
      <c r="J37" s="83">
        <v>2027</v>
      </c>
      <c r="K37" s="83">
        <v>2028</v>
      </c>
      <c r="L37" s="83">
        <v>2029</v>
      </c>
      <c r="P37" s="86"/>
      <c r="Q37" s="86"/>
      <c r="S37" s="86"/>
      <c r="T37" s="86"/>
      <c r="U37" s="109"/>
    </row>
    <row r="38" spans="1:21" ht="16" thickBot="1" x14ac:dyDescent="0.25">
      <c r="C38" s="91">
        <v>8.3999999999999995E-3</v>
      </c>
      <c r="D38" s="92">
        <v>0.01</v>
      </c>
      <c r="E38" s="92">
        <v>0.01</v>
      </c>
      <c r="F38" s="92">
        <v>1.2E-2</v>
      </c>
      <c r="G38" s="92">
        <v>1.2E-2</v>
      </c>
      <c r="H38" s="92">
        <v>1.2999999999999999E-2</v>
      </c>
      <c r="I38" s="92">
        <v>1.2999999999999999E-2</v>
      </c>
      <c r="J38" s="92">
        <v>1.4E-2</v>
      </c>
      <c r="K38" s="92">
        <v>1.4E-2</v>
      </c>
      <c r="L38" s="92">
        <v>1.4999999999999999E-2</v>
      </c>
      <c r="T38" s="110"/>
    </row>
    <row r="39" spans="1:21" ht="17" thickTop="1" thickBot="1" x14ac:dyDescent="0.25">
      <c r="A39" s="93" t="s">
        <v>77</v>
      </c>
      <c r="B39" s="93"/>
      <c r="C39" s="94">
        <v>1</v>
      </c>
      <c r="D39" s="94">
        <f>C39+1</f>
        <v>2</v>
      </c>
      <c r="E39" s="94">
        <f t="shared" ref="E39:L39" si="3">D39+1</f>
        <v>3</v>
      </c>
      <c r="F39" s="94">
        <f t="shared" si="3"/>
        <v>4</v>
      </c>
      <c r="G39" s="94">
        <f t="shared" si="3"/>
        <v>5</v>
      </c>
      <c r="H39" s="94">
        <f t="shared" si="3"/>
        <v>6</v>
      </c>
      <c r="I39" s="94">
        <f t="shared" si="3"/>
        <v>7</v>
      </c>
      <c r="J39" s="94">
        <f t="shared" si="3"/>
        <v>8</v>
      </c>
      <c r="K39" s="94">
        <f t="shared" si="3"/>
        <v>9</v>
      </c>
      <c r="L39" s="94">
        <f t="shared" si="3"/>
        <v>10</v>
      </c>
      <c r="M39" s="43" t="s">
        <v>87</v>
      </c>
      <c r="N39" s="43" t="s">
        <v>75</v>
      </c>
      <c r="T39" s="110"/>
      <c r="U39" s="78"/>
    </row>
    <row r="40" spans="1:21" ht="16" thickTop="1" x14ac:dyDescent="0.2">
      <c r="A40" s="95" t="s">
        <v>78</v>
      </c>
      <c r="B40" s="95"/>
      <c r="C40" s="111">
        <v>38739.566021894745</v>
      </c>
      <c r="D40" s="111">
        <v>39361.723452206374</v>
      </c>
      <c r="E40" s="111">
        <v>39993.872730848809</v>
      </c>
      <c r="F40" s="111">
        <v>40716.641998840714</v>
      </c>
      <c r="G40" s="111">
        <v>41452.473153043771</v>
      </c>
      <c r="H40" s="111">
        <v>42243.303435857539</v>
      </c>
      <c r="I40" s="111">
        <v>43049.221178806823</v>
      </c>
      <c r="J40" s="111">
        <v>43913.821736961982</v>
      </c>
      <c r="K40" s="111">
        <v>44795.786932727133</v>
      </c>
      <c r="L40" s="111">
        <v>45740.530079138342</v>
      </c>
      <c r="M40" s="97">
        <f t="shared" ref="M40:M45" si="4">AVERAGE(C40:L40)</f>
        <v>42000.694072032624</v>
      </c>
      <c r="N40" s="98">
        <f t="shared" ref="N40:N45" si="5">+M40/12</f>
        <v>3500.057839336052</v>
      </c>
      <c r="O40" s="99">
        <f>+N40+N44</f>
        <v>4300.4166932937742</v>
      </c>
      <c r="T40" s="112"/>
    </row>
    <row r="41" spans="1:21" x14ac:dyDescent="0.2">
      <c r="A41" s="95" t="s">
        <v>79</v>
      </c>
      <c r="B41" s="95"/>
      <c r="C41" s="111">
        <v>8082.7077943962367</v>
      </c>
      <c r="D41" s="111">
        <v>8163.5348723401985</v>
      </c>
      <c r="E41" s="111">
        <v>8261.49729080828</v>
      </c>
      <c r="F41" s="111">
        <v>8402.4384345894687</v>
      </c>
      <c r="G41" s="111">
        <v>8554.2284849103253</v>
      </c>
      <c r="H41" s="111">
        <v>8708.7606224902283</v>
      </c>
      <c r="I41" s="111">
        <v>8874.8366875611173</v>
      </c>
      <c r="J41" s="111">
        <v>9044.0798231929057</v>
      </c>
      <c r="K41" s="111">
        <v>9225.6397256434993</v>
      </c>
      <c r="L41" s="111">
        <v>9410.8444431357912</v>
      </c>
      <c r="M41" s="97">
        <f t="shared" si="4"/>
        <v>8672.8568179068061</v>
      </c>
      <c r="N41" s="100">
        <f t="shared" si="5"/>
        <v>722.73806815890055</v>
      </c>
    </row>
    <row r="42" spans="1:21" x14ac:dyDescent="0.2">
      <c r="A42" s="95" t="s">
        <v>80</v>
      </c>
      <c r="B42" s="95"/>
      <c r="C42" s="111">
        <v>5763.205006184</v>
      </c>
      <c r="D42" s="111">
        <v>6252.8367405595309</v>
      </c>
      <c r="E42" s="111">
        <v>5452.8837880897681</v>
      </c>
      <c r="F42" s="111">
        <v>6319.8899241669769</v>
      </c>
      <c r="G42" s="111">
        <v>4622.2290078591759</v>
      </c>
      <c r="H42" s="111">
        <v>5613.1790898423278</v>
      </c>
      <c r="I42" s="111">
        <v>5315.5418274260528</v>
      </c>
      <c r="J42" s="111">
        <v>4407.4246318092182</v>
      </c>
      <c r="K42" s="111">
        <v>5028.3045013048286</v>
      </c>
      <c r="L42" s="111">
        <v>3928.5369934967412</v>
      </c>
      <c r="M42" s="97">
        <f t="shared" si="4"/>
        <v>5270.4031510738623</v>
      </c>
      <c r="N42" s="101">
        <f t="shared" si="5"/>
        <v>439.20026258948855</v>
      </c>
    </row>
    <row r="43" spans="1:21" x14ac:dyDescent="0.2">
      <c r="A43" s="95" t="s">
        <v>81</v>
      </c>
      <c r="B43" s="95"/>
      <c r="C43" s="111">
        <v>12148.365051533332</v>
      </c>
      <c r="D43" s="111">
        <v>19144.491737996093</v>
      </c>
      <c r="E43" s="111">
        <v>15393.933989748068</v>
      </c>
      <c r="F43" s="111">
        <v>25531.589152792814</v>
      </c>
      <c r="G43" s="111">
        <v>13030.138660977953</v>
      </c>
      <c r="H43" s="111">
        <v>25323.644904245517</v>
      </c>
      <c r="I43" s="111">
        <v>24133.733266465497</v>
      </c>
      <c r="J43" s="111">
        <v>17854.670288856025</v>
      </c>
      <c r="K43" s="111">
        <v>24316.944044985681</v>
      </c>
      <c r="L43" s="111">
        <v>16438.577411263308</v>
      </c>
      <c r="M43" s="97">
        <f t="shared" si="4"/>
        <v>19331.60885088643</v>
      </c>
      <c r="N43" s="102">
        <f t="shared" si="5"/>
        <v>1610.9674042405359</v>
      </c>
    </row>
    <row r="44" spans="1:21" x14ac:dyDescent="0.2">
      <c r="A44" s="95" t="s">
        <v>82</v>
      </c>
      <c r="B44" s="95"/>
      <c r="C44" s="111">
        <v>8858.583511289864</v>
      </c>
      <c r="D44" s="111">
        <v>9000.8523624811824</v>
      </c>
      <c r="E44" s="111">
        <v>9145.4060514226312</v>
      </c>
      <c r="F44" s="111">
        <v>9310.6818295839403</v>
      </c>
      <c r="G44" s="111">
        <v>9478.9444716081853</v>
      </c>
      <c r="H44" s="111">
        <v>9659.783774237525</v>
      </c>
      <c r="I44" s="111">
        <v>9844.073129082426</v>
      </c>
      <c r="J44" s="111">
        <v>10041.781493806915</v>
      </c>
      <c r="K44" s="111">
        <v>10243.460633328536</v>
      </c>
      <c r="L44" s="111">
        <v>10459.495218085434</v>
      </c>
      <c r="M44" s="97">
        <f t="shared" si="4"/>
        <v>9604.3062474926646</v>
      </c>
      <c r="N44" s="98">
        <f t="shared" si="5"/>
        <v>800.35885395772209</v>
      </c>
      <c r="P44" s="113"/>
      <c r="Q44" s="113"/>
      <c r="R44" s="114"/>
    </row>
    <row r="45" spans="1:21" x14ac:dyDescent="0.2">
      <c r="A45" s="95" t="s">
        <v>83</v>
      </c>
      <c r="B45" s="95"/>
      <c r="C45" s="111">
        <v>1562.8183200000001</v>
      </c>
      <c r="D45" s="111">
        <v>1578.4465031999998</v>
      </c>
      <c r="E45" s="111">
        <v>1594.2309682319999</v>
      </c>
      <c r="F45" s="111">
        <v>1613.361739850784</v>
      </c>
      <c r="G45" s="111">
        <v>1632.7220807289932</v>
      </c>
      <c r="H45" s="111">
        <v>1653.9474677784699</v>
      </c>
      <c r="I45" s="111">
        <v>1675.4487848595898</v>
      </c>
      <c r="J45" s="111">
        <v>1698.9050678476237</v>
      </c>
      <c r="K45" s="111">
        <v>1722.6897387974905</v>
      </c>
      <c r="L45" s="111">
        <v>1748.5300848794529</v>
      </c>
      <c r="M45" s="97">
        <f t="shared" si="4"/>
        <v>1648.1100756174405</v>
      </c>
      <c r="N45" s="103">
        <f t="shared" si="5"/>
        <v>137.34250630145337</v>
      </c>
    </row>
    <row r="46" spans="1:21" x14ac:dyDescent="0.2">
      <c r="A46" s="95" t="s">
        <v>84</v>
      </c>
      <c r="B46" s="95"/>
      <c r="C46" s="115">
        <v>75155.245705298177</v>
      </c>
      <c r="D46" s="115">
        <v>83501.885668783376</v>
      </c>
      <c r="E46" s="115">
        <v>79841.824819149551</v>
      </c>
      <c r="F46" s="115">
        <v>91894.603079824679</v>
      </c>
      <c r="G46" s="115">
        <v>78770.735859128414</v>
      </c>
      <c r="H46" s="115">
        <v>93202.619294451608</v>
      </c>
      <c r="I46" s="115">
        <v>92892.854874201497</v>
      </c>
      <c r="J46" s="115">
        <v>86960.683042474673</v>
      </c>
      <c r="K46" s="115">
        <v>95332.82557678716</v>
      </c>
      <c r="L46" s="115">
        <v>87726.514229999069</v>
      </c>
      <c r="M46" s="97">
        <f>AVERAGE(C46:L46)</f>
        <v>86527.979215009807</v>
      </c>
      <c r="N46" s="104">
        <f>+M46/12</f>
        <v>7210.6649345841506</v>
      </c>
    </row>
    <row r="47" spans="1:21" x14ac:dyDescent="0.2">
      <c r="N47" s="105"/>
      <c r="O47" s="105"/>
    </row>
    <row r="48" spans="1:21" x14ac:dyDescent="0.2">
      <c r="N48" s="85"/>
    </row>
    <row r="49" spans="2:14" x14ac:dyDescent="0.2">
      <c r="M49" s="86"/>
      <c r="N49" s="107"/>
    </row>
    <row r="50" spans="2:14" ht="47.25" customHeight="1" x14ac:dyDescent="0.2">
      <c r="B50" s="116"/>
      <c r="C50" s="117" t="s">
        <v>53</v>
      </c>
      <c r="D50" s="64" t="s">
        <v>88</v>
      </c>
      <c r="E50" s="117" t="s">
        <v>89</v>
      </c>
      <c r="F50" s="117" t="s">
        <v>90</v>
      </c>
      <c r="G50" s="117" t="s">
        <v>52</v>
      </c>
    </row>
    <row r="51" spans="2:14" ht="20.25" customHeight="1" x14ac:dyDescent="0.2">
      <c r="B51" s="72" t="s">
        <v>91</v>
      </c>
      <c r="C51" s="66">
        <v>128</v>
      </c>
      <c r="D51" s="66">
        <v>172</v>
      </c>
      <c r="E51" s="66">
        <f>SUM(C51:D51)</f>
        <v>300</v>
      </c>
      <c r="F51" s="118">
        <f>+E51/E53</f>
        <v>0.7109004739336493</v>
      </c>
      <c r="G51" s="119">
        <f>+F51*G53</f>
        <v>35.545023696682463</v>
      </c>
      <c r="H51" s="79"/>
    </row>
    <row r="52" spans="2:14" x14ac:dyDescent="0.2">
      <c r="B52" s="72" t="s">
        <v>92</v>
      </c>
      <c r="C52" s="66">
        <v>6</v>
      </c>
      <c r="D52" s="66">
        <f>137-21</f>
        <v>116</v>
      </c>
      <c r="E52" s="66">
        <f>SUM(C52:D52)</f>
        <v>122</v>
      </c>
      <c r="F52" s="118">
        <f>+E52/E53</f>
        <v>0.2890995260663507</v>
      </c>
      <c r="G52" s="119">
        <f>+F52*G53</f>
        <v>14.454976303317535</v>
      </c>
      <c r="H52" s="99"/>
    </row>
    <row r="53" spans="2:14" x14ac:dyDescent="0.2">
      <c r="B53" s="72" t="s">
        <v>93</v>
      </c>
      <c r="C53" s="120">
        <f>SUM(C51:C52)</f>
        <v>134</v>
      </c>
      <c r="D53" s="66">
        <v>309</v>
      </c>
      <c r="E53" s="66">
        <f>SUM(E51:E52)</f>
        <v>422</v>
      </c>
      <c r="F53" s="118">
        <f>SUM(F51:F52)</f>
        <v>1</v>
      </c>
      <c r="G53" s="66">
        <v>50</v>
      </c>
      <c r="I53" t="s">
        <v>94</v>
      </c>
    </row>
    <row r="56" spans="2:14" x14ac:dyDescent="0.2">
      <c r="B56" s="59" t="s">
        <v>95</v>
      </c>
      <c r="C56" s="60"/>
      <c r="D56" s="60"/>
      <c r="E56" s="60"/>
      <c r="F56" s="60"/>
    </row>
    <row r="58" spans="2:14" x14ac:dyDescent="0.2">
      <c r="B58" s="121">
        <f>+N32</f>
        <v>9761.8558432285718</v>
      </c>
      <c r="C58" s="122">
        <f>+F51</f>
        <v>0.7109004739336493</v>
      </c>
      <c r="D58" s="123">
        <f>+B58*C58</f>
        <v>6939.7079454231553</v>
      </c>
    </row>
    <row r="59" spans="2:14" x14ac:dyDescent="0.2">
      <c r="B59" s="121">
        <f>+N46</f>
        <v>7210.6649345841506</v>
      </c>
      <c r="C59" s="122">
        <f>+F52</f>
        <v>0.2890995260663507</v>
      </c>
      <c r="D59" s="123">
        <f>+B59*C59</f>
        <v>2084.5998152115317</v>
      </c>
    </row>
    <row r="60" spans="2:14" x14ac:dyDescent="0.2">
      <c r="D60" s="124">
        <f>SUM(D58:D59)</f>
        <v>9024.3077606346869</v>
      </c>
    </row>
    <row r="70" spans="13:14" x14ac:dyDescent="0.2">
      <c r="M70" s="97"/>
      <c r="N70" s="98"/>
    </row>
  </sheetData>
  <mergeCells count="4">
    <mergeCell ref="A23:B24"/>
    <mergeCell ref="A25:B25"/>
    <mergeCell ref="A39:B39"/>
    <mergeCell ref="P44:Q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2AF3-3DB2-BC4F-BA5F-80EC71519621}">
  <dimension ref="B1:M23"/>
  <sheetViews>
    <sheetView zoomScale="80" zoomScaleNormal="80" workbookViewId="0">
      <selection activeCell="C58" sqref="C58"/>
    </sheetView>
  </sheetViews>
  <sheetFormatPr baseColWidth="10" defaultRowHeight="15" x14ac:dyDescent="0.2"/>
  <cols>
    <col min="1" max="1" width="1.1640625" customWidth="1"/>
    <col min="2" max="2" width="31.6640625" customWidth="1"/>
    <col min="5" max="5" width="13.1640625" customWidth="1"/>
    <col min="6" max="6" width="12" customWidth="1"/>
    <col min="8" max="8" width="16.83203125" customWidth="1"/>
  </cols>
  <sheetData>
    <row r="1" spans="2:13" x14ac:dyDescent="0.2">
      <c r="B1" s="86" t="s">
        <v>96</v>
      </c>
    </row>
    <row r="2" spans="2:13" ht="16" x14ac:dyDescent="0.2">
      <c r="B2" s="125" t="s">
        <v>97</v>
      </c>
      <c r="C2" s="126" t="s">
        <v>98</v>
      </c>
      <c r="D2" s="127"/>
    </row>
    <row r="3" spans="2:13" x14ac:dyDescent="0.2">
      <c r="B3" s="86" t="s">
        <v>99</v>
      </c>
      <c r="C3" s="128">
        <f>+C14</f>
        <v>23835</v>
      </c>
    </row>
    <row r="4" spans="2:13" x14ac:dyDescent="0.2">
      <c r="B4" s="86"/>
      <c r="C4" s="129"/>
    </row>
    <row r="5" spans="2:13" ht="64" x14ac:dyDescent="0.2">
      <c r="B5" s="117" t="s">
        <v>100</v>
      </c>
      <c r="C5" s="64" t="s">
        <v>101</v>
      </c>
      <c r="D5" s="117" t="s">
        <v>102</v>
      </c>
      <c r="E5" s="64" t="s">
        <v>103</v>
      </c>
      <c r="F5" s="64" t="s">
        <v>104</v>
      </c>
      <c r="G5" s="109"/>
      <c r="H5" s="130" t="s">
        <v>105</v>
      </c>
      <c r="I5" s="131" t="s">
        <v>106</v>
      </c>
      <c r="J5" s="131"/>
      <c r="K5" s="131"/>
      <c r="L5" s="131"/>
      <c r="M5" s="131"/>
    </row>
    <row r="6" spans="2:13" ht="21.75" customHeight="1" x14ac:dyDescent="0.2">
      <c r="B6" s="72" t="s">
        <v>107</v>
      </c>
      <c r="C6" s="132">
        <v>9052</v>
      </c>
      <c r="D6" s="133">
        <f t="shared" ref="D6:D13" si="0">+C6/$C$14</f>
        <v>0.37977763792741764</v>
      </c>
      <c r="E6" s="66">
        <v>0.25</v>
      </c>
      <c r="F6" s="134">
        <f>+E6*D6</f>
        <v>9.4944409481854411E-2</v>
      </c>
      <c r="I6" s="135" t="s">
        <v>108</v>
      </c>
      <c r="J6" s="135"/>
      <c r="K6" s="135"/>
      <c r="L6" s="135"/>
      <c r="M6" s="135"/>
    </row>
    <row r="7" spans="2:13" x14ac:dyDescent="0.2">
      <c r="B7" s="72" t="s">
        <v>109</v>
      </c>
      <c r="C7" s="132">
        <v>1844</v>
      </c>
      <c r="D7" s="133">
        <f t="shared" si="0"/>
        <v>7.7365219215439485E-2</v>
      </c>
      <c r="E7" s="66">
        <v>0.35</v>
      </c>
      <c r="F7" s="134">
        <f t="shared" ref="F7:F13" si="1">+E7*D7</f>
        <v>2.707782672540382E-2</v>
      </c>
      <c r="I7" s="136" t="s">
        <v>110</v>
      </c>
      <c r="J7" s="136"/>
      <c r="K7" s="136"/>
      <c r="L7" s="136"/>
      <c r="M7" s="136"/>
    </row>
    <row r="8" spans="2:13" x14ac:dyDescent="0.2">
      <c r="B8" s="72" t="s">
        <v>111</v>
      </c>
      <c r="C8" s="132">
        <v>389</v>
      </c>
      <c r="D8" s="133">
        <f t="shared" si="0"/>
        <v>1.6320537025382841E-2</v>
      </c>
      <c r="E8" s="137">
        <v>0.3</v>
      </c>
      <c r="F8" s="134">
        <f t="shared" si="1"/>
        <v>4.8961611076148524E-3</v>
      </c>
      <c r="I8" s="136" t="s">
        <v>112</v>
      </c>
      <c r="J8" s="136"/>
      <c r="K8" s="136"/>
      <c r="L8" s="136"/>
      <c r="M8" s="136"/>
    </row>
    <row r="9" spans="2:13" x14ac:dyDescent="0.2">
      <c r="B9" s="72" t="s">
        <v>113</v>
      </c>
      <c r="C9" s="132">
        <v>327</v>
      </c>
      <c r="D9" s="133">
        <f t="shared" si="0"/>
        <v>1.3719320327249842E-2</v>
      </c>
      <c r="E9" s="66">
        <v>0.25</v>
      </c>
      <c r="F9" s="134">
        <f t="shared" si="1"/>
        <v>3.4298300818124605E-3</v>
      </c>
      <c r="H9" s="117" t="s">
        <v>105</v>
      </c>
      <c r="I9" s="136" t="s">
        <v>114</v>
      </c>
      <c r="J9" s="136"/>
      <c r="K9" s="136"/>
      <c r="L9" s="136"/>
      <c r="M9" s="136"/>
    </row>
    <row r="10" spans="2:13" x14ac:dyDescent="0.2">
      <c r="B10" s="138" t="s">
        <v>115</v>
      </c>
      <c r="C10" s="132">
        <v>7257</v>
      </c>
      <c r="D10" s="133">
        <f t="shared" si="0"/>
        <v>0.30446821900566395</v>
      </c>
      <c r="E10" s="66">
        <v>0.25</v>
      </c>
      <c r="F10" s="134">
        <f t="shared" si="1"/>
        <v>7.6117054751415988E-2</v>
      </c>
    </row>
    <row r="11" spans="2:13" x14ac:dyDescent="0.2">
      <c r="B11" s="72" t="s">
        <v>116</v>
      </c>
      <c r="C11" s="132">
        <v>752</v>
      </c>
      <c r="D11" s="133">
        <f t="shared" si="0"/>
        <v>3.1550241241871196E-2</v>
      </c>
      <c r="E11" s="66">
        <v>0.25</v>
      </c>
      <c r="F11" s="134">
        <f t="shared" si="1"/>
        <v>7.8875603104677991E-3</v>
      </c>
      <c r="I11" s="112">
        <v>0.8</v>
      </c>
      <c r="J11" t="s">
        <v>117</v>
      </c>
    </row>
    <row r="12" spans="2:13" x14ac:dyDescent="0.2">
      <c r="B12" s="72" t="s">
        <v>118</v>
      </c>
      <c r="C12" s="132">
        <v>1014</v>
      </c>
      <c r="D12" s="133">
        <f t="shared" si="0"/>
        <v>4.254247954688483E-2</v>
      </c>
      <c r="E12" s="137">
        <v>0.4</v>
      </c>
      <c r="F12" s="134">
        <f t="shared" si="1"/>
        <v>1.7016991818753931E-2</v>
      </c>
      <c r="I12" s="112">
        <v>0.2</v>
      </c>
      <c r="J12" t="s">
        <v>119</v>
      </c>
    </row>
    <row r="13" spans="2:13" x14ac:dyDescent="0.2">
      <c r="B13" s="72" t="s">
        <v>120</v>
      </c>
      <c r="C13" s="132">
        <v>3200</v>
      </c>
      <c r="D13" s="133">
        <f t="shared" si="0"/>
        <v>0.13425634571009021</v>
      </c>
      <c r="E13" s="139">
        <v>0.48</v>
      </c>
      <c r="F13" s="134">
        <f t="shared" si="1"/>
        <v>6.4443045940843297E-2</v>
      </c>
    </row>
    <row r="14" spans="2:13" x14ac:dyDescent="0.2">
      <c r="B14" s="1"/>
      <c r="C14" s="140">
        <f>SUM(C6:C13)</f>
        <v>23835</v>
      </c>
      <c r="D14" s="141">
        <f>SUM(D6:D13)</f>
        <v>1</v>
      </c>
      <c r="E14" s="66"/>
      <c r="F14" s="134">
        <f>SUM(F6:F13)</f>
        <v>0.2958128802181666</v>
      </c>
    </row>
    <row r="15" spans="2:13" ht="6" customHeight="1" x14ac:dyDescent="0.2"/>
    <row r="16" spans="2:13" ht="32" x14ac:dyDescent="0.2">
      <c r="B16" s="67" t="s">
        <v>121</v>
      </c>
      <c r="C16" s="7"/>
      <c r="D16" s="7"/>
      <c r="E16" s="7"/>
      <c r="F16" s="142">
        <f>+F14*0.9</f>
        <v>0.26623159219634995</v>
      </c>
      <c r="H16" s="1" t="s">
        <v>122</v>
      </c>
      <c r="I16" s="66">
        <v>0.9</v>
      </c>
      <c r="J16" s="1" t="s">
        <v>123</v>
      </c>
      <c r="K16" s="1"/>
    </row>
    <row r="17" spans="2:8" x14ac:dyDescent="0.2">
      <c r="B17" s="127" t="s">
        <v>124</v>
      </c>
      <c r="C17" s="143">
        <v>0.48</v>
      </c>
      <c r="D17">
        <f>F16/C17</f>
        <v>0.55464915040906237</v>
      </c>
      <c r="H17" t="s">
        <v>125</v>
      </c>
    </row>
    <row r="18" spans="2:8" ht="16" x14ac:dyDescent="0.2">
      <c r="B18" s="144" t="s">
        <v>126</v>
      </c>
      <c r="C18" s="145">
        <f>+F14/C17</f>
        <v>0.61627683378784714</v>
      </c>
    </row>
    <row r="19" spans="2:8" x14ac:dyDescent="0.2">
      <c r="B19" t="s">
        <v>127</v>
      </c>
      <c r="C19" s="146">
        <f>+C18</f>
        <v>0.61627683378784714</v>
      </c>
      <c r="D19" t="s">
        <v>128</v>
      </c>
    </row>
    <row r="20" spans="2:8" x14ac:dyDescent="0.2">
      <c r="B20" s="60" t="s">
        <v>129</v>
      </c>
      <c r="C20" s="147">
        <f>+F16</f>
        <v>0.26623159219634995</v>
      </c>
      <c r="D20" t="s">
        <v>130</v>
      </c>
    </row>
    <row r="23" spans="2:8" x14ac:dyDescent="0.2">
      <c r="B23" s="86" t="s">
        <v>131</v>
      </c>
    </row>
  </sheetData>
  <mergeCells count="5">
    <mergeCell ref="I5:M5"/>
    <mergeCell ref="I6:M6"/>
    <mergeCell ref="I7:M7"/>
    <mergeCell ref="I8:M8"/>
    <mergeCell ref="I9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1871-24C0-0447-9D6D-378BB25DB27F}">
  <sheetPr>
    <pageSetUpPr fitToPage="1"/>
  </sheetPr>
  <dimension ref="B1:P14"/>
  <sheetViews>
    <sheetView showGridLines="0" zoomScale="140" zoomScaleNormal="140" workbookViewId="0">
      <selection activeCell="I12" sqref="I12"/>
    </sheetView>
  </sheetViews>
  <sheetFormatPr baseColWidth="10" defaultColWidth="11.5" defaultRowHeight="13" x14ac:dyDescent="0.15"/>
  <cols>
    <col min="1" max="1" width="1.1640625" style="148" customWidth="1"/>
    <col min="2" max="13" width="8.5" style="148" customWidth="1"/>
    <col min="14" max="14" width="13.5" style="148" customWidth="1"/>
    <col min="15" max="16384" width="11.5" style="148"/>
  </cols>
  <sheetData>
    <row r="1" spans="2:16" x14ac:dyDescent="0.15">
      <c r="M1" s="148">
        <v>100</v>
      </c>
      <c r="N1" s="148">
        <v>0.95</v>
      </c>
    </row>
    <row r="2" spans="2:16" ht="15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2:16" ht="15" x14ac:dyDescent="0.2">
      <c r="B3" s="150" t="s">
        <v>132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2:16" ht="15" x14ac:dyDescent="0.2">
      <c r="B4" s="150" t="s">
        <v>133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2:16" ht="15" x14ac:dyDescent="0.2">
      <c r="B5" s="152" t="str">
        <f>+'TARIFA EQUIVALENTE RUTA TIPO'!C2</f>
        <v>La Merced-El Girón</v>
      </c>
      <c r="C5" s="152"/>
      <c r="D5" s="152"/>
      <c r="F5" s="151"/>
      <c r="G5" s="151"/>
      <c r="H5" s="151"/>
      <c r="I5" s="151"/>
      <c r="J5" s="151"/>
      <c r="K5" s="151"/>
      <c r="L5" s="151"/>
      <c r="M5" s="151"/>
    </row>
    <row r="6" spans="2:16" ht="25" customHeight="1" x14ac:dyDescent="0.2">
      <c r="B6" s="169" t="s">
        <v>147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2:16" ht="72" x14ac:dyDescent="0.15">
      <c r="B7" s="153" t="s">
        <v>134</v>
      </c>
      <c r="C7" s="153" t="s">
        <v>60</v>
      </c>
      <c r="D7" s="153" t="s">
        <v>135</v>
      </c>
      <c r="E7" s="153" t="s">
        <v>136</v>
      </c>
      <c r="F7" s="153" t="s">
        <v>137</v>
      </c>
      <c r="G7" s="153" t="s">
        <v>138</v>
      </c>
      <c r="H7" s="153" t="s">
        <v>139</v>
      </c>
      <c r="I7" s="153" t="s">
        <v>140</v>
      </c>
      <c r="J7" s="153" t="s">
        <v>141</v>
      </c>
      <c r="K7" s="153" t="s">
        <v>90</v>
      </c>
      <c r="L7" s="153" t="s">
        <v>142</v>
      </c>
      <c r="M7" s="153" t="s">
        <v>0</v>
      </c>
    </row>
    <row r="8" spans="2:16" ht="23.25" customHeight="1" x14ac:dyDescent="0.2">
      <c r="B8" s="154">
        <v>29</v>
      </c>
      <c r="C8" s="155">
        <f>+'DATOS BASE'!L7</f>
        <v>307.39999999999998</v>
      </c>
      <c r="D8" s="156">
        <f>C8*'DATOS BASE'!C16</f>
        <v>8120.4833333333327</v>
      </c>
      <c r="E8" s="157">
        <f>+'DATOS BASE'!F7*'DATOS BASE'!C16</f>
        <v>21763.65484007894</v>
      </c>
      <c r="F8" s="156">
        <f>+'DATOS BASE'!D60</f>
        <v>9024.3077606346869</v>
      </c>
      <c r="G8" s="158">
        <f>F8/D8</f>
        <v>1.1113018019003</v>
      </c>
      <c r="H8" s="157">
        <f>+F8/E8</f>
        <v>0.41465038050575675</v>
      </c>
      <c r="I8" s="159">
        <v>0.48</v>
      </c>
      <c r="J8" s="160">
        <f>+'TARIFA EQUIVALENTE RUTA TIPO'!F16</f>
        <v>0.26623159219634995</v>
      </c>
      <c r="K8" s="161">
        <f>(H8-J8)/J8</f>
        <v>0.55748000109598428</v>
      </c>
      <c r="L8" s="162">
        <f>I8*(1+K8)</f>
        <v>0.7475904005260724</v>
      </c>
      <c r="M8" s="163">
        <f>L8/B8</f>
        <v>2.5778979328485253E-2</v>
      </c>
    </row>
    <row r="9" spans="2:16" ht="15" x14ac:dyDescent="0.2">
      <c r="B9" s="151"/>
      <c r="C9" s="151"/>
      <c r="D9" s="151"/>
      <c r="E9" s="151"/>
      <c r="F9" s="151"/>
      <c r="G9" s="164"/>
      <c r="H9" s="151"/>
      <c r="I9" s="151"/>
      <c r="J9" s="151"/>
      <c r="K9" s="151"/>
      <c r="L9" s="151"/>
      <c r="M9" s="151"/>
    </row>
    <row r="10" spans="2:16" ht="30" customHeight="1" x14ac:dyDescent="0.2">
      <c r="B10" s="165" t="s">
        <v>143</v>
      </c>
      <c r="C10" s="165" t="s">
        <v>144</v>
      </c>
      <c r="D10" s="165"/>
      <c r="E10" s="151"/>
      <c r="F10" s="151"/>
      <c r="G10" s="151"/>
      <c r="H10" s="151"/>
      <c r="I10" s="151"/>
      <c r="J10" s="151"/>
      <c r="K10" s="151"/>
    </row>
    <row r="11" spans="2:16" ht="29.25" customHeight="1" x14ac:dyDescent="0.2">
      <c r="B11" s="166" t="s">
        <v>145</v>
      </c>
      <c r="C11" s="166"/>
      <c r="D11" s="165" t="s">
        <v>146</v>
      </c>
      <c r="E11" s="151"/>
      <c r="F11" s="151"/>
      <c r="G11" s="151"/>
      <c r="H11" s="151"/>
      <c r="I11" s="151"/>
      <c r="J11" s="151"/>
    </row>
    <row r="12" spans="2:16" ht="15" x14ac:dyDescent="0.2">
      <c r="B12" s="151"/>
      <c r="C12" s="151"/>
      <c r="D12" s="151"/>
      <c r="E12" s="151"/>
      <c r="F12" s="151"/>
      <c r="G12" s="151"/>
      <c r="H12" s="151"/>
      <c r="I12" s="151"/>
      <c r="J12" s="151"/>
    </row>
    <row r="13" spans="2:16" ht="15" x14ac:dyDescent="0.2">
      <c r="B13" s="151"/>
      <c r="C13" s="167"/>
      <c r="D13" s="167"/>
      <c r="E13" s="167"/>
      <c r="F13" s="167"/>
      <c r="G13" s="167"/>
      <c r="H13" s="167"/>
      <c r="I13" s="167"/>
      <c r="J13" s="151"/>
      <c r="K13" s="167"/>
      <c r="L13" s="151"/>
      <c r="M13" s="151"/>
    </row>
    <row r="14" spans="2:16" ht="15" x14ac:dyDescent="0.2"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68"/>
      <c r="M14" s="168"/>
    </row>
  </sheetData>
  <mergeCells count="3">
    <mergeCell ref="B5:D5"/>
    <mergeCell ref="B11:C11"/>
    <mergeCell ref="L14:M1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3FF8-D6D9-4E63-9D9B-9FF042012F3F}">
  <dimension ref="A1:AA132"/>
  <sheetViews>
    <sheetView showGridLines="0" tabSelected="1" workbookViewId="0">
      <selection activeCell="I7" sqref="I7"/>
    </sheetView>
  </sheetViews>
  <sheetFormatPr baseColWidth="10" defaultColWidth="11.5" defaultRowHeight="15" x14ac:dyDescent="0.2"/>
  <cols>
    <col min="1" max="1" width="31" style="1" customWidth="1"/>
    <col min="2" max="2" width="10.1640625" style="1" customWidth="1"/>
    <col min="3" max="6" width="9.6640625" style="43" customWidth="1"/>
    <col min="7" max="8" width="9.6640625" style="7" customWidth="1"/>
    <col min="9" max="9" width="27.6640625" style="1" customWidth="1"/>
    <col min="10" max="10" width="7.6640625" style="1" customWidth="1"/>
    <col min="11" max="11" width="11.5" style="1"/>
    <col min="12" max="12" width="17" bestFit="1" customWidth="1"/>
    <col min="21" max="16384" width="11.5" style="1"/>
  </cols>
  <sheetData>
    <row r="1" spans="1:27" ht="27.75" customHeight="1" x14ac:dyDescent="0.2">
      <c r="A1" s="53" t="s">
        <v>42</v>
      </c>
      <c r="B1" s="53"/>
      <c r="C1" s="53"/>
      <c r="D1" s="53"/>
      <c r="E1" s="53"/>
      <c r="F1" s="53"/>
      <c r="G1" s="53"/>
      <c r="H1" s="53"/>
    </row>
    <row r="2" spans="1:27" ht="3.75" customHeight="1" x14ac:dyDescent="0.2">
      <c r="A2" s="55"/>
      <c r="B2" s="55"/>
      <c r="C2" s="40"/>
      <c r="D2" s="41"/>
      <c r="E2" s="34"/>
      <c r="F2" s="34"/>
      <c r="G2" s="3"/>
      <c r="H2" s="3"/>
      <c r="I2" s="2"/>
      <c r="J2" s="2"/>
      <c r="K2" s="2"/>
      <c r="L2" s="4"/>
    </row>
    <row r="3" spans="1:27" customFormat="1" ht="27" customHeight="1" x14ac:dyDescent="0.2">
      <c r="A3" s="19" t="s">
        <v>32</v>
      </c>
      <c r="B3" s="19"/>
      <c r="C3" s="52" t="s">
        <v>0</v>
      </c>
      <c r="D3" s="52"/>
      <c r="E3" s="52"/>
      <c r="F3" s="30">
        <v>2.58E-2</v>
      </c>
      <c r="G3" s="5"/>
      <c r="H3" s="5"/>
      <c r="I3" s="5"/>
      <c r="J3" s="5"/>
      <c r="K3" s="2"/>
      <c r="L3" s="4"/>
      <c r="U3" s="1"/>
      <c r="V3" s="1"/>
      <c r="W3" s="1"/>
      <c r="X3" s="1"/>
      <c r="Y3" s="1"/>
      <c r="Z3" s="1"/>
      <c r="AA3" s="1"/>
    </row>
    <row r="4" spans="1:27" customFormat="1" ht="35.25" customHeight="1" x14ac:dyDescent="0.2">
      <c r="A4" s="48" t="s">
        <v>1</v>
      </c>
      <c r="B4" s="29" t="s">
        <v>2</v>
      </c>
      <c r="C4" s="35" t="s">
        <v>3</v>
      </c>
      <c r="D4" s="36" t="s">
        <v>4</v>
      </c>
      <c r="E4" s="36" t="s">
        <v>5</v>
      </c>
      <c r="F4" s="36" t="s">
        <v>6</v>
      </c>
      <c r="G4" s="56" t="s">
        <v>31</v>
      </c>
      <c r="H4" s="56"/>
      <c r="I4" s="5"/>
      <c r="J4" s="5"/>
      <c r="K4" s="2"/>
      <c r="L4" s="4"/>
      <c r="U4" s="1"/>
      <c r="V4" s="1"/>
      <c r="W4" s="1"/>
      <c r="X4" s="1"/>
      <c r="Y4" s="1"/>
      <c r="Z4" s="1"/>
      <c r="AA4" s="1"/>
    </row>
    <row r="5" spans="1:27" customFormat="1" ht="17.25" customHeight="1" x14ac:dyDescent="0.2">
      <c r="A5" s="23" t="s">
        <v>7</v>
      </c>
      <c r="B5" s="21">
        <v>0.3</v>
      </c>
      <c r="C5" s="44">
        <v>15</v>
      </c>
      <c r="D5" s="38">
        <f t="shared" ref="D5:D29" si="0">C5*$F$3</f>
        <v>0.38700000000000001</v>
      </c>
      <c r="E5" s="45">
        <f t="shared" ref="E5:E29" si="1">D5/0.9</f>
        <v>0.43</v>
      </c>
      <c r="F5" s="37">
        <f>E5/2</f>
        <v>0.215</v>
      </c>
      <c r="G5" s="31">
        <f>+E5</f>
        <v>0.43</v>
      </c>
      <c r="H5" s="31">
        <v>0.21</v>
      </c>
      <c r="I5" s="5"/>
      <c r="J5" s="5"/>
      <c r="K5" s="2"/>
      <c r="L5" s="4"/>
      <c r="U5" s="1"/>
      <c r="V5" s="1"/>
      <c r="W5" s="1"/>
      <c r="X5" s="1"/>
      <c r="Y5" s="1"/>
      <c r="Z5" s="1"/>
      <c r="AA5" s="1"/>
    </row>
    <row r="6" spans="1:27" customFormat="1" ht="15" customHeight="1" x14ac:dyDescent="0.2">
      <c r="A6" s="23" t="s">
        <v>8</v>
      </c>
      <c r="B6" s="21">
        <v>0.4</v>
      </c>
      <c r="C6" s="44">
        <v>20</v>
      </c>
      <c r="D6" s="38">
        <f t="shared" si="0"/>
        <v>0.51600000000000001</v>
      </c>
      <c r="E6" s="45">
        <f t="shared" si="1"/>
        <v>0.57333333333333336</v>
      </c>
      <c r="F6" s="38">
        <f t="shared" ref="F6:F29" si="2">E6/2</f>
        <v>0.28666666666666668</v>
      </c>
      <c r="G6" s="33">
        <f t="shared" ref="G6:G20" si="3">+E6</f>
        <v>0.57333333333333336</v>
      </c>
      <c r="H6" s="31">
        <v>0.28000000000000003</v>
      </c>
      <c r="I6" s="5"/>
      <c r="J6" s="5"/>
      <c r="K6" s="2"/>
      <c r="L6" s="4"/>
      <c r="U6" s="1"/>
      <c r="V6" s="1"/>
      <c r="W6" s="1"/>
      <c r="X6" s="1"/>
      <c r="Y6" s="1"/>
      <c r="Z6" s="1"/>
      <c r="AA6" s="1"/>
    </row>
    <row r="7" spans="1:27" customFormat="1" ht="17.25" customHeight="1" x14ac:dyDescent="0.2">
      <c r="A7" s="23" t="s">
        <v>9</v>
      </c>
      <c r="B7" s="21">
        <v>0.75</v>
      </c>
      <c r="C7" s="44">
        <v>32</v>
      </c>
      <c r="D7" s="38">
        <f t="shared" si="0"/>
        <v>0.8256</v>
      </c>
      <c r="E7" s="45">
        <f t="shared" si="1"/>
        <v>0.91733333333333333</v>
      </c>
      <c r="F7" s="38">
        <f t="shared" si="2"/>
        <v>0.45866666666666667</v>
      </c>
      <c r="G7" s="33">
        <f t="shared" si="3"/>
        <v>0.91733333333333333</v>
      </c>
      <c r="H7" s="32">
        <f t="shared" ref="H7:H12" si="4">+G7/2</f>
        <v>0.45866666666666667</v>
      </c>
      <c r="I7" s="5"/>
      <c r="J7" s="5"/>
      <c r="K7" s="2"/>
      <c r="L7" s="4"/>
      <c r="U7" s="1"/>
      <c r="V7" s="1"/>
      <c r="W7" s="1"/>
      <c r="X7" s="1"/>
      <c r="Y7" s="1"/>
      <c r="Z7" s="1"/>
      <c r="AA7" s="1"/>
    </row>
    <row r="8" spans="1:27" customFormat="1" ht="15" customHeight="1" x14ac:dyDescent="0.2">
      <c r="A8" s="23" t="s">
        <v>41</v>
      </c>
      <c r="B8" s="21">
        <v>0.85</v>
      </c>
      <c r="C8" s="46">
        <v>35</v>
      </c>
      <c r="D8" s="38">
        <f t="shared" si="0"/>
        <v>0.90300000000000002</v>
      </c>
      <c r="E8" s="45">
        <f t="shared" si="1"/>
        <v>1.0033333333333334</v>
      </c>
      <c r="F8" s="38">
        <f t="shared" si="2"/>
        <v>0.50166666666666671</v>
      </c>
      <c r="G8" s="33">
        <f t="shared" si="3"/>
        <v>1.0033333333333334</v>
      </c>
      <c r="H8" s="31">
        <f t="shared" si="4"/>
        <v>0.50166666666666671</v>
      </c>
      <c r="I8" s="5"/>
      <c r="J8" s="5"/>
      <c r="K8" s="2"/>
      <c r="L8" s="4"/>
      <c r="U8" s="1"/>
      <c r="V8" s="1"/>
      <c r="W8" s="1"/>
      <c r="X8" s="1"/>
      <c r="Y8" s="1"/>
      <c r="Z8" s="1"/>
      <c r="AA8" s="1"/>
    </row>
    <row r="9" spans="1:27" customFormat="1" ht="15" customHeight="1" x14ac:dyDescent="0.2">
      <c r="A9" s="23" t="s">
        <v>10</v>
      </c>
      <c r="B9" s="21">
        <v>0.85</v>
      </c>
      <c r="C9" s="46">
        <v>38</v>
      </c>
      <c r="D9" s="38">
        <f t="shared" si="0"/>
        <v>0.98040000000000005</v>
      </c>
      <c r="E9" s="45">
        <f t="shared" si="1"/>
        <v>1.0893333333333333</v>
      </c>
      <c r="F9" s="38">
        <f t="shared" si="2"/>
        <v>0.54466666666666663</v>
      </c>
      <c r="G9" s="33">
        <f t="shared" si="3"/>
        <v>1.0893333333333333</v>
      </c>
      <c r="H9" s="31">
        <f t="shared" si="4"/>
        <v>0.54466666666666663</v>
      </c>
      <c r="I9" s="5"/>
      <c r="J9" s="5"/>
      <c r="K9" s="2"/>
      <c r="L9" s="4"/>
      <c r="U9" s="1"/>
      <c r="V9" s="1"/>
      <c r="W9" s="1"/>
      <c r="X9" s="1"/>
      <c r="Y9" s="1"/>
      <c r="Z9" s="1"/>
      <c r="AA9" s="1"/>
    </row>
    <row r="10" spans="1:27" customFormat="1" ht="15" customHeight="1" x14ac:dyDescent="0.2">
      <c r="A10" s="23" t="s">
        <v>22</v>
      </c>
      <c r="B10" s="21">
        <v>0.95</v>
      </c>
      <c r="C10" s="46">
        <v>40</v>
      </c>
      <c r="D10" s="38">
        <f t="shared" si="0"/>
        <v>1.032</v>
      </c>
      <c r="E10" s="45">
        <f t="shared" si="1"/>
        <v>1.1466666666666667</v>
      </c>
      <c r="F10" s="38">
        <f t="shared" si="2"/>
        <v>0.57333333333333336</v>
      </c>
      <c r="G10" s="33">
        <f t="shared" si="3"/>
        <v>1.1466666666666667</v>
      </c>
      <c r="H10" s="31">
        <f t="shared" si="4"/>
        <v>0.57333333333333336</v>
      </c>
      <c r="I10" s="5"/>
      <c r="J10" s="5"/>
      <c r="K10" s="2"/>
      <c r="L10" s="4"/>
      <c r="U10" s="1"/>
      <c r="V10" s="1"/>
      <c r="W10" s="1"/>
      <c r="X10" s="1"/>
      <c r="Y10" s="1"/>
      <c r="Z10" s="1"/>
      <c r="AA10" s="1"/>
    </row>
    <row r="11" spans="1:27" customFormat="1" ht="15" customHeight="1" x14ac:dyDescent="0.2">
      <c r="A11" s="23" t="s">
        <v>23</v>
      </c>
      <c r="B11" s="21">
        <v>0.95</v>
      </c>
      <c r="C11" s="46">
        <v>46</v>
      </c>
      <c r="D11" s="38">
        <f t="shared" si="0"/>
        <v>1.1868000000000001</v>
      </c>
      <c r="E11" s="45">
        <f t="shared" si="1"/>
        <v>1.3186666666666667</v>
      </c>
      <c r="F11" s="38">
        <f t="shared" si="2"/>
        <v>0.65933333333333333</v>
      </c>
      <c r="G11" s="33">
        <f t="shared" si="3"/>
        <v>1.3186666666666667</v>
      </c>
      <c r="H11" s="31">
        <f t="shared" si="4"/>
        <v>0.65933333333333333</v>
      </c>
      <c r="I11" s="5"/>
      <c r="J11" s="5"/>
      <c r="K11" s="2"/>
      <c r="L11" s="4"/>
      <c r="U11" s="1"/>
      <c r="V11" s="1"/>
      <c r="W11" s="1"/>
      <c r="X11" s="1"/>
      <c r="Y11" s="1"/>
      <c r="Z11" s="1"/>
      <c r="AA11" s="1"/>
    </row>
    <row r="12" spans="1:27" customFormat="1" ht="15" customHeight="1" x14ac:dyDescent="0.2">
      <c r="A12" s="23" t="s">
        <v>11</v>
      </c>
      <c r="B12" s="21">
        <v>0.35</v>
      </c>
      <c r="C12" s="46">
        <v>14</v>
      </c>
      <c r="D12" s="38">
        <f t="shared" si="0"/>
        <v>0.36120000000000002</v>
      </c>
      <c r="E12" s="45">
        <f t="shared" si="1"/>
        <v>0.40133333333333332</v>
      </c>
      <c r="F12" s="38">
        <f t="shared" si="2"/>
        <v>0.20066666666666666</v>
      </c>
      <c r="G12" s="33">
        <f t="shared" si="3"/>
        <v>0.40133333333333332</v>
      </c>
      <c r="H12" s="31">
        <f t="shared" si="4"/>
        <v>0.20066666666666666</v>
      </c>
      <c r="I12" s="5"/>
      <c r="J12" s="5"/>
      <c r="K12" s="2"/>
      <c r="L12" s="4"/>
      <c r="U12" s="1"/>
      <c r="V12" s="1"/>
      <c r="W12" s="1"/>
      <c r="X12" s="1"/>
      <c r="Y12" s="1"/>
      <c r="Z12" s="1"/>
      <c r="AA12" s="1"/>
    </row>
    <row r="13" spans="1:27" customFormat="1" ht="15" customHeight="1" x14ac:dyDescent="0.2">
      <c r="A13" s="23" t="s">
        <v>12</v>
      </c>
      <c r="B13" s="21">
        <v>0.65</v>
      </c>
      <c r="C13" s="46">
        <v>27</v>
      </c>
      <c r="D13" s="38">
        <f t="shared" si="0"/>
        <v>0.6966</v>
      </c>
      <c r="E13" s="45">
        <f t="shared" si="1"/>
        <v>0.77400000000000002</v>
      </c>
      <c r="F13" s="38">
        <f t="shared" si="2"/>
        <v>0.38700000000000001</v>
      </c>
      <c r="G13" s="33">
        <f t="shared" si="3"/>
        <v>0.77400000000000002</v>
      </c>
      <c r="H13" s="31">
        <v>0.38</v>
      </c>
      <c r="I13" s="5"/>
      <c r="J13" s="5"/>
      <c r="K13" s="2"/>
      <c r="L13" s="4"/>
      <c r="U13" s="1"/>
      <c r="V13" s="1"/>
      <c r="W13" s="1"/>
      <c r="X13" s="1"/>
      <c r="Y13" s="1"/>
      <c r="Z13" s="1"/>
      <c r="AA13" s="1"/>
    </row>
    <row r="14" spans="1:27" customFormat="1" ht="15" customHeight="1" x14ac:dyDescent="0.2">
      <c r="A14" s="23" t="s">
        <v>40</v>
      </c>
      <c r="B14" s="21">
        <v>0.75</v>
      </c>
      <c r="C14" s="46">
        <v>32</v>
      </c>
      <c r="D14" s="38">
        <f t="shared" si="0"/>
        <v>0.8256</v>
      </c>
      <c r="E14" s="45">
        <f t="shared" si="1"/>
        <v>0.91733333333333333</v>
      </c>
      <c r="F14" s="38">
        <f t="shared" si="2"/>
        <v>0.45866666666666667</v>
      </c>
      <c r="G14" s="33">
        <f t="shared" si="3"/>
        <v>0.91733333333333333</v>
      </c>
      <c r="H14" s="31">
        <f t="shared" ref="H14:H20" si="5">+G14/2</f>
        <v>0.45866666666666667</v>
      </c>
      <c r="I14" s="5"/>
      <c r="J14" s="5"/>
      <c r="K14" s="2"/>
      <c r="L14" s="4"/>
      <c r="U14" s="1"/>
      <c r="V14" s="1"/>
      <c r="W14" s="1"/>
      <c r="X14" s="1"/>
      <c r="Y14" s="1"/>
      <c r="Z14" s="1"/>
      <c r="AA14" s="1"/>
    </row>
    <row r="15" spans="1:27" customFormat="1" ht="15" customHeight="1" x14ac:dyDescent="0.2">
      <c r="A15" s="23" t="s">
        <v>13</v>
      </c>
      <c r="B15" s="21">
        <v>0.75</v>
      </c>
      <c r="C15" s="46">
        <v>36</v>
      </c>
      <c r="D15" s="38">
        <f t="shared" si="0"/>
        <v>0.92879999999999996</v>
      </c>
      <c r="E15" s="45">
        <f t="shared" si="1"/>
        <v>1.032</v>
      </c>
      <c r="F15" s="38">
        <f t="shared" si="2"/>
        <v>0.51600000000000001</v>
      </c>
      <c r="G15" s="33">
        <f t="shared" si="3"/>
        <v>1.032</v>
      </c>
      <c r="H15" s="31">
        <v>0.51</v>
      </c>
      <c r="I15" s="5"/>
      <c r="J15" s="5"/>
      <c r="K15" s="2"/>
      <c r="L15" s="4"/>
      <c r="U15" s="1"/>
      <c r="V15" s="1"/>
      <c r="W15" s="1"/>
      <c r="X15" s="1"/>
      <c r="Y15" s="1"/>
      <c r="Z15" s="1"/>
      <c r="AA15" s="1"/>
    </row>
    <row r="16" spans="1:27" customFormat="1" ht="15" customHeight="1" x14ac:dyDescent="0.2">
      <c r="A16" s="23" t="s">
        <v>26</v>
      </c>
      <c r="B16" s="21">
        <v>0.85</v>
      </c>
      <c r="C16" s="46">
        <v>38</v>
      </c>
      <c r="D16" s="38">
        <f t="shared" si="0"/>
        <v>0.98040000000000005</v>
      </c>
      <c r="E16" s="45">
        <f t="shared" si="1"/>
        <v>1.0893333333333333</v>
      </c>
      <c r="F16" s="38">
        <f t="shared" si="2"/>
        <v>0.54466666666666663</v>
      </c>
      <c r="G16" s="33">
        <f t="shared" si="3"/>
        <v>1.0893333333333333</v>
      </c>
      <c r="H16" s="31">
        <f t="shared" si="5"/>
        <v>0.54466666666666663</v>
      </c>
      <c r="I16" s="5"/>
      <c r="J16" s="5"/>
      <c r="K16" s="2"/>
      <c r="L16" s="4"/>
      <c r="U16" s="1"/>
      <c r="V16" s="1"/>
      <c r="W16" s="1"/>
      <c r="X16" s="1"/>
      <c r="Y16" s="1"/>
      <c r="Z16" s="1"/>
      <c r="AA16" s="1"/>
    </row>
    <row r="17" spans="1:25" ht="15" customHeight="1" x14ac:dyDescent="0.2">
      <c r="A17" s="23" t="s">
        <v>14</v>
      </c>
      <c r="B17" s="21">
        <v>0.85</v>
      </c>
      <c r="C17" s="46">
        <v>43</v>
      </c>
      <c r="D17" s="38">
        <f t="shared" si="0"/>
        <v>1.1093999999999999</v>
      </c>
      <c r="E17" s="45">
        <f t="shared" si="1"/>
        <v>1.2326666666666666</v>
      </c>
      <c r="F17" s="38">
        <f t="shared" si="2"/>
        <v>0.61633333333333329</v>
      </c>
      <c r="G17" s="33">
        <f t="shared" si="3"/>
        <v>1.2326666666666666</v>
      </c>
      <c r="H17" s="31">
        <v>0.61</v>
      </c>
      <c r="I17" s="5"/>
      <c r="J17" s="5"/>
      <c r="K17" s="2"/>
      <c r="L17" s="4"/>
    </row>
    <row r="18" spans="1:25" ht="15" customHeight="1" x14ac:dyDescent="0.2">
      <c r="A18" s="23" t="s">
        <v>15</v>
      </c>
      <c r="B18" s="21">
        <v>0.3</v>
      </c>
      <c r="C18" s="46">
        <v>15</v>
      </c>
      <c r="D18" s="38">
        <f t="shared" si="0"/>
        <v>0.38700000000000001</v>
      </c>
      <c r="E18" s="45">
        <f t="shared" si="1"/>
        <v>0.43</v>
      </c>
      <c r="F18" s="38">
        <f t="shared" si="2"/>
        <v>0.215</v>
      </c>
      <c r="G18" s="33">
        <f t="shared" si="3"/>
        <v>0.43</v>
      </c>
      <c r="H18" s="31">
        <v>0.21</v>
      </c>
      <c r="I18" s="5"/>
      <c r="J18" s="5"/>
      <c r="K18" s="2"/>
      <c r="L18" s="4"/>
    </row>
    <row r="19" spans="1:25" ht="15" customHeight="1" x14ac:dyDescent="0.2">
      <c r="A19" s="23" t="s">
        <v>16</v>
      </c>
      <c r="B19" s="21">
        <v>0.5</v>
      </c>
      <c r="C19" s="46">
        <v>22</v>
      </c>
      <c r="D19" s="38">
        <f t="shared" si="0"/>
        <v>0.56759999999999999</v>
      </c>
      <c r="E19" s="45">
        <f t="shared" si="1"/>
        <v>0.6306666666666666</v>
      </c>
      <c r="F19" s="38">
        <f t="shared" si="2"/>
        <v>0.3153333333333333</v>
      </c>
      <c r="G19" s="33">
        <f t="shared" si="3"/>
        <v>0.6306666666666666</v>
      </c>
      <c r="H19" s="31">
        <v>0.31</v>
      </c>
      <c r="I19" s="5"/>
      <c r="J19" s="5"/>
      <c r="K19" s="2"/>
      <c r="L19" s="4"/>
    </row>
    <row r="20" spans="1:25" ht="15" customHeight="1" x14ac:dyDescent="0.2">
      <c r="A20" s="23" t="s">
        <v>25</v>
      </c>
      <c r="B20" s="21">
        <v>0.65</v>
      </c>
      <c r="C20" s="46">
        <v>28</v>
      </c>
      <c r="D20" s="38">
        <f t="shared" si="0"/>
        <v>0.72240000000000004</v>
      </c>
      <c r="E20" s="45">
        <f t="shared" si="1"/>
        <v>0.80266666666666664</v>
      </c>
      <c r="F20" s="38">
        <f t="shared" si="2"/>
        <v>0.40133333333333332</v>
      </c>
      <c r="G20" s="33">
        <f t="shared" si="3"/>
        <v>0.80266666666666664</v>
      </c>
      <c r="H20" s="31">
        <f t="shared" si="5"/>
        <v>0.40133333333333332</v>
      </c>
      <c r="I20" s="5"/>
      <c r="J20" s="5"/>
      <c r="K20" s="2"/>
      <c r="L20" s="4"/>
    </row>
    <row r="21" spans="1:25" ht="15" customHeight="1" x14ac:dyDescent="0.2">
      <c r="A21" s="23" t="s">
        <v>17</v>
      </c>
      <c r="B21" s="21">
        <v>0.65</v>
      </c>
      <c r="C21" s="46">
        <v>30</v>
      </c>
      <c r="D21" s="38">
        <f t="shared" si="0"/>
        <v>0.77400000000000002</v>
      </c>
      <c r="E21" s="45">
        <f t="shared" si="1"/>
        <v>0.86</v>
      </c>
      <c r="F21" s="38">
        <f t="shared" si="2"/>
        <v>0.43</v>
      </c>
      <c r="G21" s="57">
        <f>AVERAGE(E21:E22)</f>
        <v>0.8743333333333333</v>
      </c>
      <c r="H21" s="57">
        <f>+F21</f>
        <v>0.43</v>
      </c>
      <c r="I21" s="5"/>
      <c r="J21" s="5"/>
      <c r="K21" s="2"/>
      <c r="L21" s="4"/>
    </row>
    <row r="22" spans="1:25" ht="15" customHeight="1" x14ac:dyDescent="0.2">
      <c r="A22" s="23" t="s">
        <v>43</v>
      </c>
      <c r="B22" s="21">
        <v>0.7</v>
      </c>
      <c r="C22" s="46">
        <v>31</v>
      </c>
      <c r="D22" s="38">
        <f t="shared" si="0"/>
        <v>0.79979999999999996</v>
      </c>
      <c r="E22" s="45">
        <f t="shared" si="1"/>
        <v>0.8886666666666666</v>
      </c>
      <c r="F22" s="38">
        <f t="shared" si="2"/>
        <v>0.4443333333333333</v>
      </c>
      <c r="G22" s="58"/>
      <c r="H22" s="58"/>
      <c r="I22" s="5"/>
      <c r="J22" s="5"/>
      <c r="K22" s="2"/>
      <c r="L22" s="4"/>
    </row>
    <row r="23" spans="1:25" ht="15" customHeight="1" x14ac:dyDescent="0.2">
      <c r="A23" s="23" t="s">
        <v>39</v>
      </c>
      <c r="B23" s="21">
        <v>0.7</v>
      </c>
      <c r="C23" s="46">
        <v>36</v>
      </c>
      <c r="D23" s="38">
        <f t="shared" si="0"/>
        <v>0.92879999999999996</v>
      </c>
      <c r="E23" s="45">
        <f t="shared" si="1"/>
        <v>1.032</v>
      </c>
      <c r="F23" s="38">
        <f t="shared" si="2"/>
        <v>0.51600000000000001</v>
      </c>
      <c r="G23" s="31">
        <f>+E23</f>
        <v>1.032</v>
      </c>
      <c r="H23" s="31">
        <v>0.51</v>
      </c>
      <c r="I23" s="5"/>
      <c r="J23" s="5"/>
      <c r="K23" s="2"/>
      <c r="L23" s="4"/>
    </row>
    <row r="24" spans="1:25" ht="15" customHeight="1" x14ac:dyDescent="0.2">
      <c r="A24" s="23" t="s">
        <v>18</v>
      </c>
      <c r="B24" s="21">
        <v>0.3</v>
      </c>
      <c r="C24" s="46">
        <v>13</v>
      </c>
      <c r="D24" s="38">
        <f t="shared" si="0"/>
        <v>0.33539999999999998</v>
      </c>
      <c r="E24" s="45">
        <f t="shared" si="1"/>
        <v>0.37266666666666665</v>
      </c>
      <c r="F24" s="38">
        <f t="shared" si="2"/>
        <v>0.18633333333333332</v>
      </c>
      <c r="G24" s="33">
        <f t="shared" ref="G24:G29" si="6">+E24</f>
        <v>0.37266666666666665</v>
      </c>
      <c r="H24" s="33">
        <v>0.18</v>
      </c>
      <c r="I24" s="5"/>
      <c r="J24" s="5"/>
      <c r="K24" s="2"/>
      <c r="L24" s="4"/>
    </row>
    <row r="25" spans="1:25" ht="15" customHeight="1" x14ac:dyDescent="0.2">
      <c r="A25" s="23" t="s">
        <v>21</v>
      </c>
      <c r="B25" s="21">
        <v>0.45</v>
      </c>
      <c r="C25" s="46">
        <v>19</v>
      </c>
      <c r="D25" s="38">
        <f t="shared" si="0"/>
        <v>0.49020000000000002</v>
      </c>
      <c r="E25" s="45">
        <f t="shared" si="1"/>
        <v>0.54466666666666663</v>
      </c>
      <c r="F25" s="38">
        <f t="shared" si="2"/>
        <v>0.27233333333333332</v>
      </c>
      <c r="G25" s="33">
        <f t="shared" si="6"/>
        <v>0.54466666666666663</v>
      </c>
      <c r="H25" s="33">
        <f t="shared" ref="H25:H29" si="7">+F25</f>
        <v>0.27233333333333332</v>
      </c>
      <c r="I25" s="5"/>
      <c r="J25" s="5"/>
      <c r="K25" s="2"/>
      <c r="L25" s="4"/>
    </row>
    <row r="26" spans="1:25" ht="15" customHeight="1" x14ac:dyDescent="0.2">
      <c r="A26" s="23" t="s">
        <v>19</v>
      </c>
      <c r="B26" s="21">
        <v>0.5</v>
      </c>
      <c r="C26" s="46">
        <v>22</v>
      </c>
      <c r="D26" s="38">
        <f t="shared" si="0"/>
        <v>0.56759999999999999</v>
      </c>
      <c r="E26" s="45">
        <f t="shared" si="1"/>
        <v>0.6306666666666666</v>
      </c>
      <c r="F26" s="38">
        <f t="shared" si="2"/>
        <v>0.3153333333333333</v>
      </c>
      <c r="G26" s="33">
        <f t="shared" si="6"/>
        <v>0.6306666666666666</v>
      </c>
      <c r="H26" s="33">
        <v>0.31</v>
      </c>
      <c r="I26" s="5"/>
      <c r="J26" s="5"/>
      <c r="K26" s="2"/>
      <c r="L26" s="4"/>
    </row>
    <row r="27" spans="1:25" ht="15" customHeight="1" x14ac:dyDescent="0.2">
      <c r="A27" s="23" t="s">
        <v>20</v>
      </c>
      <c r="B27" s="21">
        <v>0.55000000000000004</v>
      </c>
      <c r="C27" s="46">
        <v>24</v>
      </c>
      <c r="D27" s="38">
        <f t="shared" si="0"/>
        <v>0.61919999999999997</v>
      </c>
      <c r="E27" s="45">
        <f t="shared" si="1"/>
        <v>0.68799999999999994</v>
      </c>
      <c r="F27" s="38">
        <f t="shared" si="2"/>
        <v>0.34399999999999997</v>
      </c>
      <c r="G27" s="33">
        <f t="shared" si="6"/>
        <v>0.68799999999999994</v>
      </c>
      <c r="H27" s="33">
        <f t="shared" si="7"/>
        <v>0.34399999999999997</v>
      </c>
      <c r="I27" s="5"/>
      <c r="J27" s="5"/>
      <c r="K27" s="2"/>
      <c r="L27" s="4"/>
    </row>
    <row r="28" spans="1:25" ht="15" customHeight="1" x14ac:dyDescent="0.2">
      <c r="A28" s="23" t="s">
        <v>38</v>
      </c>
      <c r="B28" s="21">
        <v>0.55000000000000004</v>
      </c>
      <c r="C28" s="46">
        <v>29</v>
      </c>
      <c r="D28" s="38">
        <f t="shared" si="0"/>
        <v>0.74819999999999998</v>
      </c>
      <c r="E28" s="45">
        <f t="shared" si="1"/>
        <v>0.83133333333333326</v>
      </c>
      <c r="F28" s="38">
        <f t="shared" si="2"/>
        <v>0.41566666666666663</v>
      </c>
      <c r="G28" s="33">
        <f t="shared" si="6"/>
        <v>0.83133333333333326</v>
      </c>
      <c r="H28" s="33">
        <v>0.41</v>
      </c>
      <c r="I28" s="5"/>
      <c r="J28" s="5"/>
      <c r="K28" s="2"/>
      <c r="L28" s="4"/>
    </row>
    <row r="29" spans="1:25" ht="15" customHeight="1" x14ac:dyDescent="0.2">
      <c r="A29" s="23" t="s">
        <v>24</v>
      </c>
      <c r="B29" s="21">
        <v>0.35</v>
      </c>
      <c r="C29" s="46">
        <v>18</v>
      </c>
      <c r="D29" s="38">
        <f t="shared" si="0"/>
        <v>0.46439999999999998</v>
      </c>
      <c r="E29" s="45">
        <f t="shared" si="1"/>
        <v>0.51600000000000001</v>
      </c>
      <c r="F29" s="38">
        <f t="shared" si="2"/>
        <v>0.25800000000000001</v>
      </c>
      <c r="G29" s="33">
        <f t="shared" si="6"/>
        <v>0.51600000000000001</v>
      </c>
      <c r="H29" s="33">
        <f t="shared" si="7"/>
        <v>0.25800000000000001</v>
      </c>
      <c r="I29" s="5"/>
      <c r="J29" s="5"/>
      <c r="K29" s="2"/>
      <c r="L29" s="4"/>
    </row>
    <row r="30" spans="1:25" ht="15" customHeight="1" x14ac:dyDescent="0.2">
      <c r="A30" s="24"/>
      <c r="B30" s="17"/>
      <c r="C30" s="40"/>
      <c r="D30" s="39"/>
      <c r="E30" s="39"/>
      <c r="F30" s="39"/>
      <c r="G30" s="6"/>
      <c r="H30" s="6"/>
      <c r="I30" s="5"/>
      <c r="J30" s="5"/>
      <c r="K30" s="2"/>
      <c r="L30" s="4"/>
    </row>
    <row r="31" spans="1:25" customFormat="1" ht="37.5" customHeight="1" x14ac:dyDescent="0.2">
      <c r="A31" s="49"/>
      <c r="B31" s="29" t="s">
        <v>2</v>
      </c>
      <c r="C31" s="35" t="s">
        <v>3</v>
      </c>
      <c r="D31" s="36" t="s">
        <v>4</v>
      </c>
      <c r="E31" s="36" t="s">
        <v>5</v>
      </c>
      <c r="F31" s="36" t="s">
        <v>6</v>
      </c>
      <c r="G31" s="51" t="s">
        <v>31</v>
      </c>
      <c r="H31" s="51"/>
      <c r="I31" s="5"/>
      <c r="J31" s="5"/>
      <c r="K31" s="5"/>
      <c r="L31" s="4"/>
      <c r="U31" s="1"/>
      <c r="V31" s="1"/>
      <c r="W31" s="1"/>
      <c r="X31" s="1"/>
      <c r="Y31" s="1"/>
    </row>
    <row r="32" spans="1:25" customFormat="1" ht="15" customHeight="1" x14ac:dyDescent="0.2">
      <c r="A32" s="23" t="s">
        <v>37</v>
      </c>
      <c r="B32" s="21">
        <v>0.95</v>
      </c>
      <c r="C32" s="46">
        <v>48</v>
      </c>
      <c r="D32" s="38">
        <f t="shared" ref="D32:D37" si="8">C32*$F$3</f>
        <v>1.2383999999999999</v>
      </c>
      <c r="E32" s="45">
        <f t="shared" ref="E32:E37" si="9">D32/0.9</f>
        <v>1.3759999999999999</v>
      </c>
      <c r="F32" s="38">
        <f t="shared" ref="F32:F37" si="10">E32/2</f>
        <v>0.68799999999999994</v>
      </c>
      <c r="G32" s="54">
        <f>AVERAGE(E32:E33)</f>
        <v>1.3473333333333333</v>
      </c>
      <c r="H32" s="54">
        <f>+G32/2</f>
        <v>0.67366666666666664</v>
      </c>
      <c r="I32" s="5"/>
      <c r="J32" s="5"/>
      <c r="K32" s="5"/>
      <c r="L32" s="4"/>
      <c r="U32" s="1"/>
      <c r="V32" s="1"/>
      <c r="W32" s="1"/>
      <c r="X32" s="1"/>
      <c r="Y32" s="1"/>
    </row>
    <row r="33" spans="1:25" customFormat="1" ht="15" customHeight="1" x14ac:dyDescent="0.2">
      <c r="A33" s="23" t="s">
        <v>36</v>
      </c>
      <c r="B33" s="21">
        <v>0.85</v>
      </c>
      <c r="C33" s="46">
        <v>46</v>
      </c>
      <c r="D33" s="38">
        <f t="shared" si="8"/>
        <v>1.1868000000000001</v>
      </c>
      <c r="E33" s="45">
        <f t="shared" si="9"/>
        <v>1.3186666666666667</v>
      </c>
      <c r="F33" s="38">
        <f t="shared" si="10"/>
        <v>0.65933333333333333</v>
      </c>
      <c r="G33" s="54"/>
      <c r="H33" s="54"/>
      <c r="I33" s="5"/>
      <c r="J33" s="5"/>
      <c r="K33" s="7"/>
      <c r="L33" s="4"/>
      <c r="U33" s="1"/>
      <c r="V33" s="1"/>
      <c r="W33" s="1"/>
      <c r="X33" s="1"/>
      <c r="Y33" s="1"/>
    </row>
    <row r="34" spans="1:25" customFormat="1" ht="15" customHeight="1" x14ac:dyDescent="0.2">
      <c r="A34" s="23" t="s">
        <v>35</v>
      </c>
      <c r="B34" s="21">
        <v>0.8</v>
      </c>
      <c r="C34" s="46">
        <v>40</v>
      </c>
      <c r="D34" s="38">
        <f t="shared" si="8"/>
        <v>1.032</v>
      </c>
      <c r="E34" s="45">
        <f t="shared" si="9"/>
        <v>1.1466666666666667</v>
      </c>
      <c r="F34" s="38">
        <f t="shared" si="10"/>
        <v>0.57333333333333336</v>
      </c>
      <c r="G34" s="31">
        <v>1.1499999999999999</v>
      </c>
      <c r="H34" s="31">
        <v>0.56999999999999995</v>
      </c>
      <c r="I34" s="5"/>
      <c r="J34" s="5"/>
      <c r="K34" s="7"/>
      <c r="L34" s="4"/>
      <c r="U34" s="1"/>
      <c r="V34" s="1"/>
      <c r="W34" s="1"/>
      <c r="X34" s="1"/>
      <c r="Y34" s="1"/>
    </row>
    <row r="35" spans="1:25" customFormat="1" ht="15" customHeight="1" x14ac:dyDescent="0.2">
      <c r="A35" s="23" t="s">
        <v>34</v>
      </c>
      <c r="B35" s="21">
        <v>0.75</v>
      </c>
      <c r="C35" s="46">
        <v>32</v>
      </c>
      <c r="D35" s="38">
        <f t="shared" si="8"/>
        <v>0.8256</v>
      </c>
      <c r="E35" s="45">
        <f t="shared" si="9"/>
        <v>0.91733333333333333</v>
      </c>
      <c r="F35" s="38">
        <f t="shared" si="10"/>
        <v>0.45866666666666667</v>
      </c>
      <c r="G35" s="31">
        <v>0.9</v>
      </c>
      <c r="H35" s="31">
        <f>+G35/2</f>
        <v>0.45</v>
      </c>
      <c r="I35" s="5"/>
      <c r="J35" s="5"/>
      <c r="K35" s="7"/>
      <c r="L35" s="6"/>
      <c r="U35" s="1"/>
      <c r="V35" s="1"/>
      <c r="W35" s="1"/>
      <c r="X35" s="1"/>
      <c r="Y35" s="1"/>
    </row>
    <row r="36" spans="1:25" customFormat="1" ht="15" customHeight="1" x14ac:dyDescent="0.2">
      <c r="A36" s="25" t="s">
        <v>29</v>
      </c>
      <c r="B36" s="21">
        <v>0.5</v>
      </c>
      <c r="C36" s="46">
        <v>24</v>
      </c>
      <c r="D36" s="38">
        <f t="shared" si="8"/>
        <v>0.61919999999999997</v>
      </c>
      <c r="E36" s="45">
        <f t="shared" si="9"/>
        <v>0.68799999999999994</v>
      </c>
      <c r="F36" s="38">
        <f t="shared" si="10"/>
        <v>0.34399999999999997</v>
      </c>
      <c r="G36" s="31">
        <v>0.7</v>
      </c>
      <c r="H36" s="31">
        <f>+G36/2</f>
        <v>0.35</v>
      </c>
      <c r="I36" s="5"/>
      <c r="J36" s="5"/>
      <c r="K36" s="7"/>
      <c r="L36" s="6"/>
      <c r="U36" s="1"/>
      <c r="V36" s="1"/>
      <c r="W36" s="1"/>
      <c r="X36" s="1"/>
      <c r="Y36" s="1"/>
    </row>
    <row r="37" spans="1:25" customFormat="1" ht="15" customHeight="1" x14ac:dyDescent="0.2">
      <c r="A37" s="25" t="s">
        <v>30</v>
      </c>
      <c r="B37" s="21">
        <v>0.3</v>
      </c>
      <c r="C37" s="46">
        <v>18</v>
      </c>
      <c r="D37" s="38">
        <f t="shared" si="8"/>
        <v>0.46439999999999998</v>
      </c>
      <c r="E37" s="45">
        <f t="shared" si="9"/>
        <v>0.51600000000000001</v>
      </c>
      <c r="F37" s="38">
        <f t="shared" si="10"/>
        <v>0.25800000000000001</v>
      </c>
      <c r="G37" s="31">
        <v>0.5</v>
      </c>
      <c r="H37" s="31">
        <f>+G37/2</f>
        <v>0.25</v>
      </c>
      <c r="I37" s="5"/>
      <c r="J37" s="5"/>
      <c r="K37" s="7"/>
      <c r="L37" s="6"/>
      <c r="U37" s="1"/>
      <c r="V37" s="1"/>
      <c r="W37" s="1"/>
      <c r="X37" s="1"/>
      <c r="Y37" s="1"/>
    </row>
    <row r="38" spans="1:25" ht="15" customHeight="1" x14ac:dyDescent="0.2">
      <c r="A38" s="8"/>
      <c r="B38" s="17"/>
      <c r="C38" s="41"/>
      <c r="D38" s="40"/>
      <c r="E38" s="40"/>
      <c r="F38" s="40"/>
      <c r="G38" s="5"/>
      <c r="H38" s="5"/>
      <c r="I38" s="5"/>
      <c r="J38" s="5"/>
      <c r="K38" s="7"/>
      <c r="L38" s="6"/>
    </row>
    <row r="39" spans="1:25" ht="41.25" customHeight="1" x14ac:dyDescent="0.2">
      <c r="A39" s="49"/>
      <c r="B39" s="29" t="s">
        <v>2</v>
      </c>
      <c r="C39" s="35" t="s">
        <v>3</v>
      </c>
      <c r="D39" s="36" t="s">
        <v>4</v>
      </c>
      <c r="E39" s="36" t="s">
        <v>5</v>
      </c>
      <c r="F39" s="36" t="s">
        <v>6</v>
      </c>
      <c r="G39" s="51" t="s">
        <v>31</v>
      </c>
      <c r="H39" s="51"/>
      <c r="I39" s="5"/>
      <c r="J39" s="5"/>
      <c r="K39" s="7"/>
      <c r="L39" s="6"/>
    </row>
    <row r="40" spans="1:25" customFormat="1" x14ac:dyDescent="0.2">
      <c r="A40" s="20" t="s">
        <v>28</v>
      </c>
      <c r="B40" s="21">
        <v>1</v>
      </c>
      <c r="C40" s="44">
        <v>52</v>
      </c>
      <c r="D40" s="38">
        <f>C40*$F$3</f>
        <v>1.3415999999999999</v>
      </c>
      <c r="E40" s="45">
        <f t="shared" ref="E40:E42" si="11">D40/0.9</f>
        <v>1.4906666666666666</v>
      </c>
      <c r="F40" s="38">
        <f t="shared" ref="F40:F42" si="12">E40/2</f>
        <v>0.74533333333333329</v>
      </c>
      <c r="G40" s="54">
        <v>1.5</v>
      </c>
      <c r="H40" s="54">
        <f>+G40/2</f>
        <v>0.75</v>
      </c>
      <c r="I40" s="5"/>
      <c r="J40" s="5"/>
      <c r="K40" s="7"/>
      <c r="L40" s="6"/>
      <c r="U40" s="1"/>
      <c r="V40" s="1"/>
      <c r="W40" s="1"/>
      <c r="X40" s="1"/>
      <c r="Y40" s="1"/>
    </row>
    <row r="41" spans="1:25" customFormat="1" ht="15" hidden="1" customHeight="1" x14ac:dyDescent="0.2">
      <c r="A41" s="20"/>
      <c r="B41" s="21">
        <v>0.25</v>
      </c>
      <c r="C41" s="44">
        <v>12</v>
      </c>
      <c r="D41" s="38">
        <f>C41*$F$3</f>
        <v>0.30959999999999999</v>
      </c>
      <c r="E41" s="45">
        <f t="shared" si="11"/>
        <v>0.34399999999999997</v>
      </c>
      <c r="F41" s="38">
        <f t="shared" si="12"/>
        <v>0.17199999999999999</v>
      </c>
      <c r="G41" s="54"/>
      <c r="H41" s="54"/>
      <c r="I41" s="5"/>
      <c r="J41" s="5"/>
      <c r="K41" s="7"/>
      <c r="L41" s="6"/>
      <c r="U41" s="1"/>
      <c r="V41" s="1"/>
      <c r="W41" s="1"/>
      <c r="X41" s="1"/>
      <c r="Y41" s="1"/>
    </row>
    <row r="42" spans="1:25" customFormat="1" x14ac:dyDescent="0.2">
      <c r="A42" s="20" t="s">
        <v>27</v>
      </c>
      <c r="B42" s="21">
        <v>1</v>
      </c>
      <c r="C42" s="44">
        <v>72</v>
      </c>
      <c r="D42" s="38">
        <f>C42*$F$3</f>
        <v>1.8575999999999999</v>
      </c>
      <c r="E42" s="45">
        <f t="shared" si="11"/>
        <v>2.0640000000000001</v>
      </c>
      <c r="F42" s="38">
        <f t="shared" si="12"/>
        <v>1.032</v>
      </c>
      <c r="G42" s="31">
        <v>2</v>
      </c>
      <c r="H42" s="31">
        <f>+G42/2</f>
        <v>1</v>
      </c>
      <c r="I42" s="5"/>
      <c r="J42" s="5"/>
      <c r="K42" s="7"/>
      <c r="L42" s="6"/>
      <c r="U42" s="1"/>
      <c r="V42" s="1"/>
      <c r="W42" s="1"/>
      <c r="X42" s="1"/>
      <c r="Y42" s="1"/>
    </row>
    <row r="43" spans="1:25" customFormat="1" x14ac:dyDescent="0.2">
      <c r="A43" s="8"/>
      <c r="B43" s="8"/>
      <c r="C43" s="41"/>
      <c r="D43" s="40"/>
      <c r="E43" s="40"/>
      <c r="F43" s="40"/>
      <c r="G43" s="7"/>
      <c r="H43" s="7"/>
      <c r="I43" s="5"/>
      <c r="J43" s="5"/>
      <c r="K43" s="7"/>
      <c r="L43" s="4"/>
      <c r="U43" s="1"/>
      <c r="V43" s="1"/>
      <c r="W43" s="1"/>
      <c r="X43" s="1"/>
      <c r="Y43" s="1"/>
    </row>
    <row r="44" spans="1:25" customFormat="1" ht="37" x14ac:dyDescent="0.2">
      <c r="A44" s="49"/>
      <c r="B44" s="29" t="s">
        <v>2</v>
      </c>
      <c r="C44" s="35" t="s">
        <v>3</v>
      </c>
      <c r="D44" s="36" t="s">
        <v>4</v>
      </c>
      <c r="E44" s="36" t="s">
        <v>5</v>
      </c>
      <c r="F44" s="36" t="s">
        <v>6</v>
      </c>
      <c r="G44" s="51" t="s">
        <v>31</v>
      </c>
      <c r="H44" s="51"/>
      <c r="I44" s="5"/>
      <c r="J44" s="5"/>
      <c r="K44" s="2"/>
      <c r="L44" s="4"/>
      <c r="U44" s="1"/>
      <c r="V44" s="1"/>
      <c r="W44" s="1"/>
      <c r="X44" s="1"/>
      <c r="Y44" s="1"/>
    </row>
    <row r="45" spans="1:25" customFormat="1" x14ac:dyDescent="0.2">
      <c r="A45" s="20" t="s">
        <v>33</v>
      </c>
      <c r="B45" s="21">
        <v>0.4</v>
      </c>
      <c r="C45" s="44">
        <v>20</v>
      </c>
      <c r="D45" s="38">
        <f>C45*$F$3</f>
        <v>0.51600000000000001</v>
      </c>
      <c r="E45" s="45">
        <f t="shared" ref="E45" si="13">D45/0.9</f>
        <v>0.57333333333333336</v>
      </c>
      <c r="F45" s="38">
        <f t="shared" ref="F45" si="14">E45/2</f>
        <v>0.28666666666666668</v>
      </c>
      <c r="G45" s="22">
        <v>0.6</v>
      </c>
      <c r="H45" s="22">
        <f>+G45/2</f>
        <v>0.3</v>
      </c>
      <c r="I45" s="5"/>
      <c r="J45" s="5"/>
      <c r="K45" s="2"/>
      <c r="L45" s="4"/>
      <c r="U45" s="1"/>
      <c r="V45" s="1"/>
      <c r="W45" s="1"/>
      <c r="X45" s="1"/>
      <c r="Y45" s="1"/>
    </row>
    <row r="46" spans="1:25" customFormat="1" x14ac:dyDescent="0.2">
      <c r="A46" s="24"/>
      <c r="B46" s="17"/>
      <c r="C46" s="41"/>
      <c r="D46" s="41"/>
      <c r="E46" s="39"/>
      <c r="F46" s="39"/>
      <c r="G46" s="5"/>
      <c r="H46" s="5"/>
      <c r="I46" s="5"/>
      <c r="J46" s="5"/>
      <c r="K46" s="2"/>
      <c r="L46" s="4"/>
      <c r="U46" s="1"/>
      <c r="V46" s="1"/>
      <c r="W46" s="1"/>
      <c r="X46" s="1"/>
      <c r="Y46" s="1"/>
    </row>
    <row r="47" spans="1:25" customFormat="1" ht="15" customHeight="1" x14ac:dyDescent="0.2">
      <c r="A47" s="50" t="s">
        <v>44</v>
      </c>
      <c r="B47" s="50"/>
      <c r="C47" s="50"/>
      <c r="D47" s="50"/>
      <c r="E47" s="50"/>
      <c r="F47" s="50"/>
      <c r="G47" s="50"/>
      <c r="H47" s="50"/>
      <c r="I47" s="5"/>
      <c r="J47" s="5"/>
      <c r="K47" s="2"/>
      <c r="L47" s="4"/>
      <c r="U47" s="1"/>
      <c r="V47" s="1"/>
      <c r="W47" s="1"/>
      <c r="X47" s="1"/>
      <c r="Y47" s="1"/>
    </row>
    <row r="48" spans="1:25" x14ac:dyDescent="0.2">
      <c r="A48" s="50"/>
      <c r="B48" s="50"/>
      <c r="C48" s="50"/>
      <c r="D48" s="50"/>
      <c r="E48" s="50"/>
      <c r="F48" s="50"/>
      <c r="G48" s="50"/>
      <c r="H48" s="50"/>
      <c r="I48" s="5"/>
      <c r="J48" s="5"/>
      <c r="K48" s="2"/>
      <c r="L48" s="4"/>
    </row>
    <row r="49" spans="1:25" x14ac:dyDescent="0.2">
      <c r="A49" s="24"/>
      <c r="B49" s="18"/>
      <c r="C49" s="41"/>
      <c r="D49" s="41"/>
      <c r="E49" s="41"/>
      <c r="F49" s="41"/>
      <c r="G49" s="12"/>
      <c r="H49" s="12"/>
      <c r="I49" s="5"/>
      <c r="J49" s="5"/>
      <c r="K49" s="2"/>
      <c r="L49" s="4"/>
    </row>
    <row r="50" spans="1:25" customFormat="1" x14ac:dyDescent="0.2">
      <c r="A50" s="27"/>
      <c r="B50" s="26"/>
      <c r="C50" s="41"/>
      <c r="D50" s="40"/>
      <c r="E50" s="39"/>
      <c r="F50" s="39"/>
      <c r="G50" s="6"/>
      <c r="H50" s="6"/>
      <c r="I50" s="5"/>
      <c r="J50" s="5"/>
      <c r="K50" s="6"/>
      <c r="L50" s="4"/>
      <c r="U50" s="1"/>
      <c r="V50" s="1"/>
      <c r="W50" s="1"/>
      <c r="X50" s="1"/>
      <c r="Y50" s="1"/>
    </row>
    <row r="51" spans="1:25" customFormat="1" x14ac:dyDescent="0.2">
      <c r="A51" s="28"/>
      <c r="B51" s="18"/>
      <c r="C51" s="41"/>
      <c r="D51" s="41"/>
      <c r="E51" s="41"/>
      <c r="F51" s="41"/>
      <c r="G51" s="12"/>
      <c r="H51" s="12"/>
      <c r="I51" s="5"/>
      <c r="J51" s="5"/>
      <c r="K51" s="2"/>
      <c r="L51" s="4"/>
      <c r="U51" s="1"/>
      <c r="V51" s="1"/>
      <c r="W51" s="1"/>
      <c r="X51" s="1"/>
      <c r="Y51" s="1"/>
    </row>
    <row r="52" spans="1:25" customFormat="1" x14ac:dyDescent="0.2">
      <c r="A52" s="18"/>
      <c r="B52" s="26"/>
      <c r="C52" s="41"/>
      <c r="D52" s="41"/>
      <c r="E52" s="41"/>
      <c r="F52" s="41"/>
      <c r="G52" s="12"/>
      <c r="H52" s="12"/>
      <c r="I52" s="5"/>
      <c r="J52" s="5"/>
      <c r="K52" s="2"/>
      <c r="L52" s="4"/>
      <c r="U52" s="1"/>
      <c r="V52" s="1"/>
      <c r="W52" s="1"/>
      <c r="X52" s="1"/>
      <c r="Y52" s="1"/>
    </row>
    <row r="53" spans="1:25" customFormat="1" x14ac:dyDescent="0.2">
      <c r="A53" s="14"/>
      <c r="B53" s="10"/>
      <c r="C53" s="47"/>
      <c r="D53" s="42"/>
      <c r="E53" s="42"/>
      <c r="F53" s="42"/>
      <c r="G53" s="12"/>
      <c r="H53" s="12"/>
      <c r="I53" s="5"/>
      <c r="J53" s="5"/>
      <c r="K53" s="2"/>
      <c r="L53" s="4"/>
      <c r="U53" s="1"/>
      <c r="V53" s="1"/>
      <c r="W53" s="1"/>
      <c r="X53" s="1"/>
      <c r="Y53" s="1"/>
    </row>
    <row r="54" spans="1:25" customFormat="1" x14ac:dyDescent="0.2">
      <c r="A54" s="15"/>
      <c r="B54" s="2"/>
      <c r="C54" s="47"/>
      <c r="D54" s="42"/>
      <c r="E54" s="42"/>
      <c r="F54" s="42"/>
      <c r="G54" s="12"/>
      <c r="H54" s="12"/>
      <c r="I54" s="5"/>
      <c r="J54" s="5"/>
      <c r="K54" s="2"/>
      <c r="L54" s="4"/>
      <c r="U54" s="1"/>
      <c r="V54" s="1"/>
      <c r="W54" s="1"/>
      <c r="X54" s="1"/>
      <c r="Y54" s="1"/>
    </row>
    <row r="55" spans="1:25" customFormat="1" x14ac:dyDescent="0.2">
      <c r="A55" s="13"/>
      <c r="B55" s="2"/>
      <c r="C55" s="47"/>
      <c r="D55" s="42"/>
      <c r="E55" s="42"/>
      <c r="F55" s="42"/>
      <c r="G55" s="12"/>
      <c r="H55" s="12"/>
      <c r="I55" s="5"/>
      <c r="J55" s="5"/>
      <c r="K55" s="2"/>
      <c r="L55" s="4"/>
      <c r="U55" s="1"/>
      <c r="V55" s="1"/>
      <c r="W55" s="1"/>
      <c r="X55" s="1"/>
      <c r="Y55" s="1"/>
    </row>
    <row r="56" spans="1:25" customFormat="1" x14ac:dyDescent="0.2">
      <c r="A56" s="9"/>
      <c r="B56" s="2"/>
      <c r="C56" s="47"/>
      <c r="D56" s="42"/>
      <c r="E56" s="42"/>
      <c r="F56" s="42"/>
      <c r="G56" s="12"/>
      <c r="H56" s="12"/>
      <c r="I56" s="5"/>
      <c r="J56" s="5"/>
      <c r="K56" s="2"/>
      <c r="L56" s="4"/>
      <c r="U56" s="1"/>
      <c r="V56" s="1"/>
      <c r="W56" s="1"/>
      <c r="X56" s="1"/>
      <c r="Y56" s="1"/>
    </row>
    <row r="57" spans="1:25" customFormat="1" x14ac:dyDescent="0.2">
      <c r="A57" s="9"/>
      <c r="B57" s="2"/>
      <c r="C57" s="47"/>
      <c r="D57" s="42"/>
      <c r="E57" s="42"/>
      <c r="F57" s="42"/>
      <c r="G57" s="12"/>
      <c r="H57" s="12"/>
      <c r="I57" s="5"/>
      <c r="J57" s="5"/>
      <c r="K57" s="2"/>
      <c r="L57" s="4"/>
      <c r="U57" s="1"/>
      <c r="V57" s="1"/>
      <c r="W57" s="1"/>
      <c r="X57" s="1"/>
      <c r="Y57" s="1"/>
    </row>
    <row r="58" spans="1:25" customFormat="1" x14ac:dyDescent="0.2">
      <c r="A58" s="2"/>
      <c r="B58" s="10"/>
      <c r="C58" s="47"/>
      <c r="D58" s="42"/>
      <c r="E58" s="42"/>
      <c r="F58" s="42"/>
      <c r="G58" s="12"/>
      <c r="H58" s="12"/>
      <c r="I58" s="5"/>
      <c r="J58" s="5"/>
      <c r="K58" s="2"/>
      <c r="L58" s="4"/>
      <c r="U58" s="1"/>
      <c r="V58" s="1"/>
      <c r="W58" s="1"/>
      <c r="X58" s="1"/>
      <c r="Y58" s="1"/>
    </row>
    <row r="59" spans="1:25" customFormat="1" ht="15" customHeight="1" x14ac:dyDescent="0.2">
      <c r="A59" s="14"/>
      <c r="B59" s="10"/>
      <c r="C59" s="47"/>
      <c r="D59" s="42"/>
      <c r="E59" s="42"/>
      <c r="F59" s="42"/>
      <c r="G59" s="12"/>
      <c r="H59" s="12"/>
      <c r="I59" s="5"/>
      <c r="J59" s="5"/>
      <c r="K59" s="2"/>
      <c r="L59" s="4"/>
      <c r="U59" s="1"/>
      <c r="V59" s="1"/>
      <c r="W59" s="1"/>
      <c r="X59" s="1"/>
      <c r="Y59" s="1"/>
    </row>
    <row r="60" spans="1:25" customFormat="1" x14ac:dyDescent="0.2">
      <c r="A60" s="15"/>
      <c r="B60" s="2"/>
      <c r="C60" s="47"/>
      <c r="D60" s="42"/>
      <c r="E60" s="42"/>
      <c r="F60" s="42"/>
      <c r="G60" s="12"/>
      <c r="H60" s="12"/>
      <c r="I60" s="5"/>
      <c r="J60" s="5"/>
      <c r="K60" s="2"/>
      <c r="L60" s="4"/>
      <c r="U60" s="1"/>
      <c r="V60" s="1"/>
      <c r="W60" s="1"/>
      <c r="X60" s="1"/>
      <c r="Y60" s="1"/>
    </row>
    <row r="61" spans="1:25" customFormat="1" x14ac:dyDescent="0.2">
      <c r="A61" s="13"/>
      <c r="B61" s="2"/>
      <c r="C61" s="47"/>
      <c r="D61" s="42"/>
      <c r="E61" s="42"/>
      <c r="F61" s="42"/>
      <c r="G61" s="12"/>
      <c r="H61" s="12"/>
      <c r="I61" s="5"/>
      <c r="J61" s="5"/>
      <c r="K61" s="2"/>
      <c r="L61" s="4"/>
      <c r="U61" s="1"/>
      <c r="V61" s="1"/>
      <c r="W61" s="1"/>
      <c r="X61" s="1"/>
      <c r="Y61" s="1"/>
    </row>
    <row r="62" spans="1:25" customFormat="1" x14ac:dyDescent="0.2">
      <c r="A62" s="9"/>
      <c r="B62" s="2"/>
      <c r="C62" s="47"/>
      <c r="D62" s="42"/>
      <c r="E62" s="42"/>
      <c r="F62" s="42"/>
      <c r="G62" s="12"/>
      <c r="H62" s="12"/>
      <c r="I62" s="5"/>
      <c r="J62" s="5"/>
      <c r="K62" s="2"/>
      <c r="L62" s="4"/>
      <c r="U62" s="1"/>
      <c r="V62" s="1"/>
      <c r="W62" s="1"/>
      <c r="X62" s="1"/>
      <c r="Y62" s="1"/>
    </row>
    <row r="63" spans="1:25" customFormat="1" x14ac:dyDescent="0.2">
      <c r="A63" s="9"/>
      <c r="B63" s="2"/>
      <c r="C63" s="47"/>
      <c r="D63" s="42"/>
      <c r="E63" s="42"/>
      <c r="F63" s="42"/>
      <c r="G63" s="12"/>
      <c r="H63" s="12"/>
      <c r="I63" s="5"/>
      <c r="J63" s="5"/>
      <c r="K63" s="2"/>
      <c r="L63" s="4"/>
      <c r="U63" s="1"/>
      <c r="V63" s="1"/>
      <c r="W63" s="1"/>
      <c r="X63" s="1"/>
      <c r="Y63" s="1"/>
    </row>
    <row r="64" spans="1:25" customFormat="1" x14ac:dyDescent="0.2">
      <c r="A64" s="2"/>
      <c r="B64" s="10"/>
      <c r="C64" s="47"/>
      <c r="D64" s="42"/>
      <c r="E64" s="42"/>
      <c r="F64" s="42"/>
      <c r="G64" s="12"/>
      <c r="H64" s="12"/>
      <c r="I64" s="5"/>
      <c r="J64" s="5"/>
      <c r="K64" s="2"/>
      <c r="L64" s="4"/>
      <c r="U64" s="1"/>
      <c r="V64" s="1"/>
      <c r="W64" s="1"/>
      <c r="X64" s="1"/>
      <c r="Y64" s="1"/>
    </row>
    <row r="65" spans="1:25" customFormat="1" ht="15" customHeight="1" x14ac:dyDescent="0.2">
      <c r="A65" s="14"/>
      <c r="B65" s="10"/>
      <c r="C65" s="47"/>
      <c r="D65" s="42"/>
      <c r="E65" s="42"/>
      <c r="F65" s="42"/>
      <c r="G65" s="12"/>
      <c r="H65" s="12"/>
      <c r="I65" s="5"/>
      <c r="J65" s="5"/>
      <c r="K65" s="2"/>
      <c r="L65" s="4"/>
      <c r="U65" s="1"/>
      <c r="V65" s="1"/>
      <c r="W65" s="1"/>
      <c r="X65" s="1"/>
      <c r="Y65" s="1"/>
    </row>
    <row r="66" spans="1:25" customFormat="1" x14ac:dyDescent="0.2">
      <c r="A66" s="15"/>
      <c r="B66" s="2"/>
      <c r="C66" s="47"/>
      <c r="D66" s="42"/>
      <c r="E66" s="42"/>
      <c r="F66" s="42"/>
      <c r="G66" s="12"/>
      <c r="H66" s="12"/>
      <c r="I66" s="5"/>
      <c r="J66" s="5"/>
      <c r="K66" s="2"/>
      <c r="L66" s="4"/>
      <c r="U66" s="1"/>
      <c r="V66" s="1"/>
      <c r="W66" s="1"/>
      <c r="X66" s="1"/>
      <c r="Y66" s="1"/>
    </row>
    <row r="67" spans="1:25" customFormat="1" x14ac:dyDescent="0.2">
      <c r="A67" s="13"/>
      <c r="B67" s="2"/>
      <c r="C67" s="47"/>
      <c r="D67" s="42"/>
      <c r="E67" s="42"/>
      <c r="F67" s="42"/>
      <c r="G67" s="12"/>
      <c r="H67" s="12"/>
      <c r="I67" s="5"/>
      <c r="J67" s="5"/>
      <c r="K67" s="2"/>
      <c r="L67" s="4"/>
      <c r="U67" s="1"/>
      <c r="V67" s="1"/>
      <c r="W67" s="1"/>
      <c r="X67" s="1"/>
      <c r="Y67" s="1"/>
    </row>
    <row r="68" spans="1:25" customFormat="1" x14ac:dyDescent="0.2">
      <c r="A68" s="9"/>
      <c r="B68" s="2"/>
      <c r="C68" s="47"/>
      <c r="D68" s="42"/>
      <c r="E68" s="42"/>
      <c r="F68" s="42"/>
      <c r="G68" s="12"/>
      <c r="H68" s="12"/>
      <c r="I68" s="5"/>
      <c r="J68" s="5"/>
      <c r="K68" s="2"/>
      <c r="L68" s="4"/>
      <c r="U68" s="1"/>
      <c r="V68" s="1"/>
      <c r="W68" s="1"/>
      <c r="X68" s="1"/>
      <c r="Y68" s="1"/>
    </row>
    <row r="69" spans="1:25" customFormat="1" x14ac:dyDescent="0.2">
      <c r="A69" s="9"/>
      <c r="B69" s="2"/>
      <c r="C69" s="47"/>
      <c r="D69" s="42"/>
      <c r="E69" s="42"/>
      <c r="F69" s="42"/>
      <c r="G69" s="12"/>
      <c r="H69" s="12"/>
      <c r="I69" s="5"/>
      <c r="J69" s="5"/>
      <c r="K69" s="2"/>
      <c r="L69" s="4"/>
      <c r="U69" s="1"/>
      <c r="V69" s="1"/>
      <c r="W69" s="1"/>
      <c r="X69" s="1"/>
      <c r="Y69" s="1"/>
    </row>
    <row r="70" spans="1:25" customFormat="1" x14ac:dyDescent="0.2">
      <c r="A70" s="2"/>
      <c r="B70" s="2"/>
      <c r="C70" s="47"/>
      <c r="D70" s="42"/>
      <c r="E70" s="42"/>
      <c r="F70" s="42"/>
      <c r="G70" s="12"/>
      <c r="H70" s="12"/>
      <c r="I70" s="5"/>
      <c r="J70" s="5"/>
      <c r="K70" s="2"/>
      <c r="L70" s="4"/>
      <c r="U70" s="1"/>
      <c r="V70" s="1"/>
      <c r="W70" s="1"/>
      <c r="X70" s="1"/>
      <c r="Y70" s="1"/>
    </row>
    <row r="71" spans="1:25" customFormat="1" x14ac:dyDescent="0.2">
      <c r="A71" s="14"/>
      <c r="B71" s="10"/>
      <c r="C71" s="47"/>
      <c r="D71" s="42"/>
      <c r="E71" s="42"/>
      <c r="F71" s="42"/>
      <c r="G71" s="12"/>
      <c r="H71" s="12"/>
      <c r="I71" s="5"/>
      <c r="J71" s="5"/>
      <c r="K71" s="2"/>
      <c r="L71" s="4"/>
      <c r="U71" s="1"/>
      <c r="V71" s="1"/>
      <c r="W71" s="1"/>
      <c r="X71" s="1"/>
      <c r="Y71" s="1"/>
    </row>
    <row r="72" spans="1:25" customFormat="1" x14ac:dyDescent="0.2">
      <c r="A72" s="15"/>
      <c r="B72" s="2"/>
      <c r="C72" s="47"/>
      <c r="D72" s="42"/>
      <c r="E72" s="42"/>
      <c r="F72" s="42"/>
      <c r="G72" s="12"/>
      <c r="H72" s="12"/>
      <c r="I72" s="5"/>
      <c r="J72" s="5"/>
      <c r="K72" s="2"/>
      <c r="L72" s="4"/>
      <c r="U72" s="1"/>
      <c r="V72" s="1"/>
      <c r="W72" s="1"/>
      <c r="X72" s="1"/>
      <c r="Y72" s="1"/>
    </row>
    <row r="73" spans="1:25" customFormat="1" x14ac:dyDescent="0.2">
      <c r="A73" s="13"/>
      <c r="B73" s="2"/>
      <c r="C73" s="47"/>
      <c r="D73" s="42"/>
      <c r="E73" s="42"/>
      <c r="F73" s="42"/>
      <c r="G73" s="12"/>
      <c r="H73" s="12"/>
      <c r="I73" s="5"/>
      <c r="J73" s="5"/>
      <c r="K73" s="2"/>
      <c r="L73" s="4"/>
      <c r="U73" s="1"/>
      <c r="V73" s="1"/>
      <c r="W73" s="1"/>
      <c r="X73" s="1"/>
      <c r="Y73" s="1"/>
    </row>
    <row r="74" spans="1:25" customFormat="1" x14ac:dyDescent="0.2">
      <c r="A74" s="9"/>
      <c r="B74" s="2"/>
      <c r="C74" s="47"/>
      <c r="D74" s="42"/>
      <c r="E74" s="42"/>
      <c r="F74" s="42"/>
      <c r="G74" s="12"/>
      <c r="H74" s="12"/>
      <c r="I74" s="5"/>
      <c r="J74" s="5"/>
      <c r="K74" s="2"/>
      <c r="L74" s="4"/>
      <c r="U74" s="1"/>
      <c r="V74" s="1"/>
      <c r="W74" s="1"/>
      <c r="X74" s="1"/>
      <c r="Y74" s="1"/>
    </row>
    <row r="75" spans="1:25" customFormat="1" x14ac:dyDescent="0.2">
      <c r="A75" s="9"/>
      <c r="B75" s="2"/>
      <c r="C75" s="42"/>
      <c r="D75" s="42"/>
      <c r="E75" s="42"/>
      <c r="F75" s="42"/>
      <c r="G75" s="12"/>
      <c r="H75" s="12"/>
      <c r="I75" s="5"/>
      <c r="J75" s="5"/>
      <c r="K75" s="2"/>
      <c r="L75" s="4"/>
      <c r="U75" s="1"/>
      <c r="V75" s="1"/>
      <c r="W75" s="1"/>
      <c r="X75" s="1"/>
      <c r="Y75" s="1"/>
    </row>
    <row r="76" spans="1:25" customFormat="1" x14ac:dyDescent="0.2">
      <c r="A76" s="9"/>
      <c r="B76" s="2"/>
      <c r="C76" s="42"/>
      <c r="D76" s="42"/>
      <c r="E76" s="42"/>
      <c r="F76" s="42"/>
      <c r="G76" s="12"/>
      <c r="H76" s="12"/>
      <c r="I76" s="5"/>
      <c r="J76" s="5"/>
      <c r="K76" s="2"/>
      <c r="L76" s="4"/>
      <c r="U76" s="1"/>
      <c r="V76" s="1"/>
      <c r="W76" s="1"/>
      <c r="X76" s="1"/>
      <c r="Y76" s="1"/>
    </row>
    <row r="77" spans="1:25" customFormat="1" x14ac:dyDescent="0.2">
      <c r="A77" s="16"/>
      <c r="B77" s="5"/>
      <c r="C77" s="42"/>
      <c r="D77" s="42"/>
      <c r="E77" s="42"/>
      <c r="F77" s="42"/>
      <c r="G77" s="12"/>
      <c r="H77" s="12"/>
      <c r="I77" s="5"/>
      <c r="J77" s="5"/>
      <c r="K77" s="1"/>
      <c r="U77" s="1"/>
      <c r="V77" s="1"/>
      <c r="W77" s="1"/>
      <c r="X77" s="1"/>
      <c r="Y77" s="1"/>
    </row>
    <row r="78" spans="1:25" customFormat="1" x14ac:dyDescent="0.2">
      <c r="A78" s="15"/>
      <c r="B78" s="5"/>
      <c r="C78" s="42"/>
      <c r="D78" s="42"/>
      <c r="E78" s="42"/>
      <c r="F78" s="42"/>
      <c r="G78" s="12"/>
      <c r="H78" s="12"/>
      <c r="I78" s="5"/>
      <c r="J78" s="5"/>
      <c r="K78" s="1"/>
      <c r="U78" s="1"/>
      <c r="V78" s="1"/>
      <c r="W78" s="1"/>
      <c r="X78" s="1"/>
      <c r="Y78" s="1"/>
    </row>
    <row r="79" spans="1:25" customFormat="1" x14ac:dyDescent="0.2">
      <c r="A79" s="14"/>
      <c r="B79" s="11"/>
      <c r="C79" s="42"/>
      <c r="D79" s="42"/>
      <c r="E79" s="42"/>
      <c r="F79" s="42"/>
      <c r="G79" s="12"/>
      <c r="H79" s="12"/>
      <c r="I79" s="5"/>
      <c r="J79" s="5"/>
      <c r="K79" s="1"/>
      <c r="U79" s="1"/>
      <c r="V79" s="1"/>
      <c r="W79" s="1"/>
      <c r="X79" s="1"/>
      <c r="Y79" s="1"/>
    </row>
    <row r="80" spans="1:25" ht="15" customHeight="1" x14ac:dyDescent="0.2">
      <c r="A80" s="13"/>
      <c r="B80" s="10"/>
      <c r="C80" s="42"/>
      <c r="D80" s="42"/>
      <c r="E80" s="42"/>
      <c r="F80" s="42"/>
      <c r="G80" s="12"/>
      <c r="H80" s="12"/>
      <c r="I80" s="5"/>
      <c r="J80" s="5"/>
    </row>
    <row r="81" spans="1:10" x14ac:dyDescent="0.2">
      <c r="A81" s="14"/>
      <c r="B81" s="2"/>
      <c r="C81" s="42"/>
      <c r="D81" s="42"/>
      <c r="E81" s="42"/>
      <c r="F81" s="42"/>
      <c r="G81" s="12"/>
      <c r="H81" s="12"/>
      <c r="I81" s="5"/>
      <c r="J81" s="5"/>
    </row>
    <row r="82" spans="1:10" x14ac:dyDescent="0.2">
      <c r="A82" s="9"/>
      <c r="B82" s="10"/>
      <c r="C82" s="42"/>
      <c r="D82" s="47"/>
      <c r="G82" s="1"/>
      <c r="H82" s="1"/>
      <c r="I82" s="5"/>
      <c r="J82" s="5"/>
    </row>
    <row r="83" spans="1:10" x14ac:dyDescent="0.2">
      <c r="A83" s="13"/>
      <c r="B83" s="5"/>
      <c r="C83" s="42"/>
      <c r="D83" s="47"/>
      <c r="G83" s="1"/>
      <c r="H83" s="1"/>
      <c r="I83" s="5"/>
      <c r="J83" s="5"/>
    </row>
    <row r="84" spans="1:10" x14ac:dyDescent="0.2">
      <c r="A84" s="2"/>
      <c r="B84" s="2"/>
      <c r="C84" s="42"/>
      <c r="D84" s="47"/>
      <c r="G84" s="1"/>
      <c r="H84" s="1"/>
      <c r="I84" s="5"/>
      <c r="J84" s="5"/>
    </row>
    <row r="85" spans="1:10" x14ac:dyDescent="0.2">
      <c r="A85" s="16"/>
      <c r="B85" s="5"/>
      <c r="C85" s="42"/>
      <c r="D85" s="47"/>
      <c r="G85" s="1"/>
      <c r="H85" s="1"/>
      <c r="I85" s="5"/>
      <c r="J85" s="5"/>
    </row>
    <row r="86" spans="1:10" x14ac:dyDescent="0.2">
      <c r="A86" s="15"/>
      <c r="B86" s="5"/>
      <c r="C86" s="47"/>
      <c r="D86" s="47"/>
      <c r="G86" s="1"/>
      <c r="H86" s="1"/>
      <c r="I86" s="5"/>
      <c r="J86" s="5"/>
    </row>
    <row r="87" spans="1:10" x14ac:dyDescent="0.2">
      <c r="A87" s="14"/>
      <c r="B87" s="11"/>
      <c r="C87" s="47"/>
      <c r="D87" s="47"/>
      <c r="G87" s="1"/>
      <c r="H87" s="1"/>
      <c r="I87" s="5"/>
      <c r="J87" s="5"/>
    </row>
    <row r="88" spans="1:10" x14ac:dyDescent="0.2">
      <c r="A88" s="13"/>
      <c r="B88" s="10"/>
      <c r="C88" s="47"/>
      <c r="D88" s="47"/>
      <c r="G88" s="1"/>
      <c r="H88" s="1"/>
      <c r="I88" s="5"/>
      <c r="J88" s="5"/>
    </row>
    <row r="89" spans="1:10" x14ac:dyDescent="0.2">
      <c r="A89" s="14"/>
      <c r="B89" s="2"/>
      <c r="C89" s="47"/>
      <c r="D89" s="47"/>
      <c r="G89" s="1"/>
      <c r="H89" s="1"/>
      <c r="I89" s="5"/>
      <c r="J89" s="5"/>
    </row>
    <row r="90" spans="1:10" x14ac:dyDescent="0.2">
      <c r="A90" s="9"/>
      <c r="B90" s="10"/>
      <c r="C90" s="47"/>
      <c r="D90" s="47"/>
      <c r="G90" s="1"/>
      <c r="H90" s="1"/>
      <c r="I90" s="5"/>
      <c r="J90" s="5"/>
    </row>
    <row r="91" spans="1:10" x14ac:dyDescent="0.2">
      <c r="A91" s="13"/>
      <c r="B91" s="2"/>
      <c r="C91" s="47"/>
      <c r="D91" s="47"/>
      <c r="G91" s="1"/>
      <c r="H91" s="1"/>
      <c r="I91" s="5"/>
      <c r="J91" s="5"/>
    </row>
    <row r="92" spans="1:10" x14ac:dyDescent="0.2">
      <c r="A92" s="2"/>
      <c r="B92" s="2"/>
      <c r="C92" s="47"/>
      <c r="D92" s="47"/>
      <c r="G92" s="1"/>
      <c r="H92" s="1"/>
      <c r="I92" s="5"/>
      <c r="J92" s="5"/>
    </row>
    <row r="93" spans="1:10" x14ac:dyDescent="0.2">
      <c r="A93" s="16"/>
      <c r="B93" s="5"/>
      <c r="C93" s="47"/>
      <c r="D93" s="47"/>
      <c r="G93" s="1"/>
      <c r="H93" s="1"/>
      <c r="I93" s="5"/>
      <c r="J93" s="5"/>
    </row>
    <row r="94" spans="1:10" x14ac:dyDescent="0.2">
      <c r="A94" s="15"/>
      <c r="B94" s="5"/>
      <c r="C94" s="47"/>
      <c r="D94" s="47"/>
      <c r="G94" s="1"/>
      <c r="H94" s="1"/>
      <c r="I94" s="5"/>
      <c r="J94" s="5"/>
    </row>
    <row r="95" spans="1:10" x14ac:dyDescent="0.2">
      <c r="A95" s="14"/>
      <c r="B95" s="11"/>
      <c r="C95" s="47"/>
      <c r="D95" s="47"/>
      <c r="G95" s="1"/>
      <c r="H95" s="1"/>
      <c r="I95" s="5"/>
      <c r="J95" s="5"/>
    </row>
    <row r="96" spans="1:10" x14ac:dyDescent="0.2">
      <c r="A96" s="13"/>
      <c r="B96" s="10"/>
      <c r="C96" s="47"/>
      <c r="D96" s="47"/>
      <c r="G96" s="1"/>
      <c r="H96" s="1"/>
      <c r="I96" s="5"/>
      <c r="J96" s="5"/>
    </row>
    <row r="97" spans="1:10" x14ac:dyDescent="0.2">
      <c r="A97" s="14"/>
      <c r="B97" s="10"/>
      <c r="C97" s="47"/>
      <c r="D97" s="47"/>
      <c r="G97" s="1"/>
      <c r="H97" s="1"/>
      <c r="I97" s="5"/>
      <c r="J97" s="5"/>
    </row>
    <row r="98" spans="1:10" x14ac:dyDescent="0.2">
      <c r="A98" s="9"/>
      <c r="B98" s="10"/>
      <c r="C98" s="47"/>
      <c r="D98" s="47"/>
      <c r="G98" s="1"/>
      <c r="H98" s="1"/>
      <c r="I98" s="5"/>
      <c r="J98" s="5"/>
    </row>
    <row r="99" spans="1:10" x14ac:dyDescent="0.2">
      <c r="A99" s="13"/>
      <c r="B99" s="2"/>
      <c r="C99" s="47"/>
      <c r="D99" s="47"/>
      <c r="G99" s="1"/>
      <c r="H99" s="1"/>
      <c r="I99" s="5"/>
      <c r="J99" s="5"/>
    </row>
    <row r="100" spans="1:10" x14ac:dyDescent="0.2">
      <c r="A100" s="15"/>
      <c r="B100" s="5"/>
      <c r="C100" s="47"/>
      <c r="D100" s="47"/>
      <c r="G100" s="1"/>
      <c r="H100" s="1"/>
      <c r="I100" s="5"/>
      <c r="J100" s="5"/>
    </row>
    <row r="101" spans="1:10" x14ac:dyDescent="0.2">
      <c r="A101" s="14"/>
      <c r="B101" s="11"/>
      <c r="C101" s="47"/>
      <c r="D101" s="47"/>
      <c r="G101" s="1"/>
      <c r="H101" s="1"/>
      <c r="I101" s="5"/>
      <c r="J101" s="5"/>
    </row>
    <row r="102" spans="1:10" x14ac:dyDescent="0.2">
      <c r="A102" s="13"/>
      <c r="B102" s="10"/>
      <c r="C102" s="47"/>
      <c r="D102" s="47"/>
      <c r="G102" s="1"/>
      <c r="H102" s="1"/>
      <c r="I102" s="5"/>
      <c r="J102" s="5"/>
    </row>
    <row r="103" spans="1:10" x14ac:dyDescent="0.2">
      <c r="A103" s="14"/>
      <c r="B103" s="10"/>
      <c r="C103" s="47"/>
      <c r="D103" s="47"/>
      <c r="G103" s="1"/>
      <c r="H103" s="1"/>
      <c r="I103" s="5"/>
      <c r="J103" s="5"/>
    </row>
    <row r="104" spans="1:10" x14ac:dyDescent="0.2">
      <c r="A104" s="9"/>
      <c r="B104" s="2"/>
      <c r="C104" s="47"/>
      <c r="D104" s="47"/>
      <c r="G104" s="1"/>
      <c r="H104" s="1"/>
      <c r="I104" s="5"/>
      <c r="J104" s="5"/>
    </row>
    <row r="105" spans="1:10" x14ac:dyDescent="0.2">
      <c r="A105" s="13"/>
      <c r="B105" s="2"/>
      <c r="C105" s="47"/>
      <c r="D105" s="47"/>
      <c r="G105" s="1"/>
      <c r="H105" s="1"/>
      <c r="I105" s="5"/>
      <c r="J105" s="5"/>
    </row>
    <row r="106" spans="1:10" x14ac:dyDescent="0.2">
      <c r="A106" s="2"/>
      <c r="B106" s="2"/>
      <c r="C106" s="47"/>
      <c r="D106" s="47"/>
      <c r="G106" s="1"/>
      <c r="H106" s="1"/>
      <c r="I106" s="5"/>
      <c r="J106" s="5"/>
    </row>
    <row r="107" spans="1:10" x14ac:dyDescent="0.2">
      <c r="A107" s="2"/>
      <c r="B107" s="2"/>
      <c r="C107" s="47"/>
      <c r="D107" s="47"/>
      <c r="G107" s="1"/>
      <c r="H107" s="1"/>
      <c r="I107" s="5"/>
      <c r="J107" s="5"/>
    </row>
    <row r="108" spans="1:10" x14ac:dyDescent="0.2">
      <c r="A108" s="2"/>
      <c r="B108" s="2"/>
      <c r="C108" s="47"/>
      <c r="D108" s="47"/>
      <c r="G108" s="1"/>
      <c r="H108" s="1"/>
      <c r="I108" s="5"/>
      <c r="J108" s="5"/>
    </row>
    <row r="109" spans="1:10" x14ac:dyDescent="0.2">
      <c r="A109" s="2"/>
      <c r="B109" s="2"/>
      <c r="C109" s="47"/>
      <c r="D109" s="47"/>
      <c r="G109" s="1"/>
      <c r="H109" s="1"/>
      <c r="I109" s="5"/>
      <c r="J109" s="5"/>
    </row>
    <row r="110" spans="1:10" x14ac:dyDescent="0.2">
      <c r="A110" s="2"/>
      <c r="B110" s="2"/>
      <c r="C110" s="47"/>
      <c r="D110" s="47"/>
      <c r="G110" s="1"/>
      <c r="H110" s="1"/>
      <c r="I110" s="5"/>
      <c r="J110" s="5"/>
    </row>
    <row r="111" spans="1:10" x14ac:dyDescent="0.2">
      <c r="A111" s="2"/>
      <c r="B111" s="2"/>
      <c r="C111" s="47"/>
      <c r="D111" s="47"/>
      <c r="G111" s="1"/>
      <c r="H111" s="1"/>
      <c r="I111" s="5"/>
      <c r="J111" s="5"/>
    </row>
    <row r="112" spans="1:10" x14ac:dyDescent="0.2">
      <c r="A112" s="2"/>
      <c r="B112" s="2"/>
      <c r="C112" s="47"/>
      <c r="D112" s="47"/>
      <c r="G112" s="1"/>
      <c r="H112" s="1"/>
      <c r="I112" s="5"/>
      <c r="J112" s="5"/>
    </row>
    <row r="113" spans="1:10" x14ac:dyDescent="0.2">
      <c r="A113" s="2"/>
      <c r="B113" s="2"/>
      <c r="C113" s="47"/>
      <c r="D113" s="47"/>
      <c r="G113" s="1"/>
      <c r="H113" s="1"/>
      <c r="I113" s="5"/>
      <c r="J113" s="5"/>
    </row>
    <row r="114" spans="1:10" x14ac:dyDescent="0.2">
      <c r="A114" s="2"/>
      <c r="B114" s="2"/>
      <c r="C114" s="47"/>
      <c r="D114" s="47"/>
      <c r="G114" s="1"/>
      <c r="H114" s="1"/>
      <c r="I114" s="5"/>
      <c r="J114" s="5"/>
    </row>
    <row r="115" spans="1:10" x14ac:dyDescent="0.2">
      <c r="A115" s="2"/>
      <c r="B115" s="2"/>
      <c r="C115" s="47"/>
      <c r="D115" s="47"/>
      <c r="G115" s="1"/>
      <c r="H115" s="1"/>
      <c r="I115" s="5"/>
      <c r="J115" s="5"/>
    </row>
    <row r="116" spans="1:10" x14ac:dyDescent="0.2">
      <c r="A116" s="2"/>
      <c r="B116" s="2"/>
      <c r="C116" s="47"/>
      <c r="D116" s="47"/>
      <c r="G116" s="1"/>
      <c r="H116" s="1"/>
      <c r="I116" s="5"/>
      <c r="J116" s="5"/>
    </row>
    <row r="117" spans="1:10" x14ac:dyDescent="0.2">
      <c r="A117" s="2"/>
      <c r="B117" s="2"/>
      <c r="C117" s="47"/>
      <c r="D117" s="47"/>
      <c r="G117" s="1"/>
      <c r="H117" s="1"/>
      <c r="I117" s="5"/>
      <c r="J117" s="5"/>
    </row>
    <row r="118" spans="1:10" x14ac:dyDescent="0.2">
      <c r="A118" s="2"/>
      <c r="B118" s="2"/>
      <c r="C118" s="47"/>
      <c r="D118" s="47"/>
      <c r="G118" s="1"/>
      <c r="H118" s="1"/>
    </row>
    <row r="119" spans="1:10" x14ac:dyDescent="0.2">
      <c r="A119" s="2"/>
      <c r="B119" s="2"/>
      <c r="C119" s="47"/>
      <c r="D119" s="47"/>
      <c r="G119" s="1"/>
      <c r="H119" s="1"/>
    </row>
    <row r="120" spans="1:10" x14ac:dyDescent="0.2">
      <c r="A120" s="2"/>
      <c r="B120" s="2"/>
      <c r="C120" s="47"/>
      <c r="D120" s="47"/>
      <c r="G120" s="1"/>
      <c r="H120" s="1"/>
    </row>
    <row r="121" spans="1:10" x14ac:dyDescent="0.2">
      <c r="A121" s="2"/>
      <c r="B121" s="2"/>
      <c r="C121" s="47"/>
      <c r="D121" s="47"/>
      <c r="G121" s="1"/>
      <c r="H121" s="1"/>
    </row>
    <row r="122" spans="1:10" x14ac:dyDescent="0.2">
      <c r="A122" s="2"/>
      <c r="B122" s="2"/>
      <c r="C122" s="47"/>
      <c r="D122" s="47"/>
      <c r="G122" s="1"/>
      <c r="H122" s="1"/>
    </row>
    <row r="123" spans="1:10" x14ac:dyDescent="0.2">
      <c r="A123" s="2"/>
      <c r="B123" s="2"/>
      <c r="C123" s="47"/>
      <c r="D123" s="47"/>
      <c r="G123" s="1"/>
      <c r="H123" s="1"/>
    </row>
    <row r="124" spans="1:10" x14ac:dyDescent="0.2">
      <c r="A124" s="2"/>
      <c r="B124" s="2"/>
      <c r="C124" s="47"/>
      <c r="D124" s="47"/>
      <c r="G124" s="1"/>
      <c r="H124" s="1"/>
    </row>
    <row r="125" spans="1:10" x14ac:dyDescent="0.2">
      <c r="A125" s="2"/>
      <c r="B125" s="2"/>
      <c r="C125" s="47"/>
      <c r="D125" s="47"/>
      <c r="G125" s="1"/>
      <c r="H125" s="1"/>
    </row>
    <row r="126" spans="1:10" x14ac:dyDescent="0.2">
      <c r="A126" s="2"/>
      <c r="B126" s="2"/>
      <c r="C126" s="47"/>
      <c r="D126" s="47"/>
      <c r="G126" s="1"/>
      <c r="H126" s="1"/>
    </row>
    <row r="127" spans="1:10" x14ac:dyDescent="0.2">
      <c r="A127" s="2"/>
      <c r="B127" s="2"/>
      <c r="C127" s="47"/>
      <c r="D127" s="47"/>
      <c r="G127" s="1"/>
      <c r="H127" s="1"/>
    </row>
    <row r="128" spans="1:10" x14ac:dyDescent="0.2">
      <c r="A128" s="2"/>
      <c r="B128" s="2"/>
      <c r="C128" s="47"/>
      <c r="D128" s="47"/>
      <c r="G128" s="1"/>
      <c r="H128" s="1"/>
    </row>
    <row r="129" spans="1:8" x14ac:dyDescent="0.2">
      <c r="A129" s="2"/>
      <c r="B129" s="2"/>
      <c r="C129" s="47"/>
      <c r="D129" s="47"/>
      <c r="G129" s="1"/>
      <c r="H129" s="1"/>
    </row>
    <row r="130" spans="1:8" x14ac:dyDescent="0.2">
      <c r="A130" s="2"/>
      <c r="B130" s="2"/>
      <c r="C130" s="47"/>
      <c r="D130" s="47"/>
      <c r="G130" s="1"/>
      <c r="H130" s="1"/>
    </row>
    <row r="131" spans="1:8" x14ac:dyDescent="0.2">
      <c r="A131" s="2"/>
      <c r="B131" s="2"/>
      <c r="C131" s="47"/>
      <c r="D131" s="47"/>
      <c r="G131" s="1"/>
      <c r="H131" s="1"/>
    </row>
    <row r="132" spans="1:8" x14ac:dyDescent="0.2">
      <c r="A132" s="2"/>
      <c r="B132" s="2"/>
      <c r="C132" s="47"/>
      <c r="D132" s="47"/>
      <c r="G132" s="1"/>
      <c r="H132" s="1"/>
    </row>
  </sheetData>
  <mergeCells count="14">
    <mergeCell ref="A47:H48"/>
    <mergeCell ref="G44:H44"/>
    <mergeCell ref="C3:E3"/>
    <mergeCell ref="A1:H1"/>
    <mergeCell ref="G31:H31"/>
    <mergeCell ref="G32:G33"/>
    <mergeCell ref="H32:H33"/>
    <mergeCell ref="G39:H39"/>
    <mergeCell ref="G40:G41"/>
    <mergeCell ref="H40:H41"/>
    <mergeCell ref="A2:B2"/>
    <mergeCell ref="G4:H4"/>
    <mergeCell ref="G21:G22"/>
    <mergeCell ref="H21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DATOS BASE</vt:lpstr>
      <vt:lpstr>TARIFA EQUIVALENTE RUTA TIPO</vt:lpstr>
      <vt:lpstr>CÁLCULO TARIFA KM</vt:lpstr>
      <vt:lpstr>GUAYLLABAMBA</vt:lpstr>
      <vt:lpstr>GUAYLLABAMBA!Títulos_a_imprimir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Marcelo Narváez Padilla</cp:lastModifiedBy>
  <cp:lastPrinted>2019-09-17T18:11:19Z</cp:lastPrinted>
  <dcterms:created xsi:type="dcterms:W3CDTF">2019-08-27T01:52:37Z</dcterms:created>
  <dcterms:modified xsi:type="dcterms:W3CDTF">2020-09-22T17:55:50Z</dcterms:modified>
</cp:coreProperties>
</file>