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ARBO\DOCUMENTOS Y PLANOS LE BISTRO CUMBAYA\ESTRUCTURALES\"/>
    </mc:Choice>
  </mc:AlternateContent>
  <bookViews>
    <workbookView xWindow="-105" yWindow="-105" windowWidth="23250" windowHeight="12570" tabRatio="813" activeTab="1"/>
  </bookViews>
  <sheets>
    <sheet name="Hoja1" sheetId="1" r:id="rId1"/>
    <sheet name="MEMORIACALCULO" sheetId="2" r:id="rId2"/>
    <sheet name="ESPECIFICACIONES" sheetId="10" r:id="rId3"/>
    <sheet name="cim" sheetId="11" r:id="rId4"/>
    <sheet name="derivas" sheetId="20" r:id="rId5"/>
    <sheet name="fotogramas" sheetId="25" r:id="rId6"/>
  </sheets>
  <calcPr calcId="152511"/>
</workbook>
</file>

<file path=xl/calcChain.xml><?xml version="1.0" encoding="utf-8"?>
<calcChain xmlns="http://schemas.openxmlformats.org/spreadsheetml/2006/main">
  <c r="C481" i="10" l="1"/>
  <c r="B481" i="10"/>
  <c r="B4" i="2"/>
  <c r="E43" i="2"/>
  <c r="E39" i="2"/>
  <c r="E62" i="2"/>
  <c r="E61" i="2"/>
  <c r="D9" i="20" l="1"/>
  <c r="D10" i="20"/>
  <c r="A2" i="20"/>
  <c r="A1" i="20"/>
  <c r="A36" i="20"/>
  <c r="A35" i="20"/>
  <c r="A34" i="20"/>
  <c r="D24" i="20"/>
  <c r="H24" i="20" s="1"/>
  <c r="C24" i="20"/>
  <c r="G24" i="20" s="1"/>
  <c r="B24" i="20"/>
  <c r="D23" i="20"/>
  <c r="C23" i="20"/>
  <c r="D22" i="20"/>
  <c r="H22" i="20" s="1"/>
  <c r="C22" i="20"/>
  <c r="G22" i="20" s="1"/>
  <c r="B22" i="20"/>
  <c r="C4" i="10"/>
  <c r="A4" i="10"/>
  <c r="H23" i="20" l="1"/>
  <c r="H28" i="20" s="1"/>
  <c r="F24" i="20"/>
  <c r="F22" i="20"/>
  <c r="E22" i="20"/>
  <c r="B23" i="20"/>
  <c r="E23" i="20" s="1"/>
  <c r="F23" i="20"/>
  <c r="G23" i="20"/>
  <c r="G28" i="20"/>
  <c r="E24" i="20"/>
  <c r="B398" i="2"/>
  <c r="F28" i="20" l="1"/>
  <c r="E28" i="20"/>
  <c r="D394" i="2"/>
  <c r="BU281" i="11"/>
  <c r="BT281" i="11"/>
  <c r="BM281" i="11"/>
  <c r="BH281" i="11"/>
  <c r="BS280" i="11"/>
  <c r="BV281" i="11" s="1"/>
  <c r="BL280" i="11"/>
  <c r="BR278" i="11"/>
  <c r="BQ278" i="11"/>
  <c r="BR276" i="11"/>
  <c r="BP276" i="11"/>
  <c r="BJ280" i="11" s="1"/>
  <c r="BO276" i="11"/>
  <c r="BH276" i="11"/>
  <c r="BK276" i="11" s="1"/>
  <c r="BL276" i="11" s="1"/>
  <c r="BH275" i="11"/>
  <c r="BT270" i="11"/>
  <c r="BU270" i="11" s="1"/>
  <c r="BH270" i="11"/>
  <c r="BN270" i="11" s="1"/>
  <c r="BS269" i="11"/>
  <c r="BL269" i="11"/>
  <c r="BR267" i="11"/>
  <c r="BQ267" i="11"/>
  <c r="BP265" i="11"/>
  <c r="BJ269" i="11" s="1"/>
  <c r="BO265" i="11"/>
  <c r="BH265" i="11"/>
  <c r="BH264" i="11"/>
  <c r="BT259" i="11"/>
  <c r="BU259" i="11" s="1"/>
  <c r="BM259" i="11"/>
  <c r="BH259" i="11"/>
  <c r="BS258" i="11"/>
  <c r="BL258" i="11"/>
  <c r="BR256" i="11"/>
  <c r="BQ256" i="11"/>
  <c r="BP254" i="11"/>
  <c r="BJ258" i="11" s="1"/>
  <c r="BO254" i="11"/>
  <c r="BH254" i="11"/>
  <c r="BK254" i="11" s="1"/>
  <c r="BL254" i="11" s="1"/>
  <c r="BH253" i="11"/>
  <c r="BT248" i="11"/>
  <c r="BU248" i="11" s="1"/>
  <c r="BN248" i="11"/>
  <c r="BM248" i="11"/>
  <c r="BH248" i="11"/>
  <c r="BS247" i="11"/>
  <c r="BL247" i="11"/>
  <c r="BJ247" i="11"/>
  <c r="BJ248" i="11" s="1"/>
  <c r="BR245" i="11"/>
  <c r="BQ245" i="11"/>
  <c r="BN245" i="11"/>
  <c r="BR243" i="11"/>
  <c r="BP243" i="11"/>
  <c r="BO243" i="11"/>
  <c r="BH243" i="11"/>
  <c r="BH242" i="11"/>
  <c r="BU237" i="11"/>
  <c r="BT237" i="11"/>
  <c r="BN237" i="11"/>
  <c r="BM237" i="11"/>
  <c r="BH237" i="11"/>
  <c r="BS236" i="11"/>
  <c r="BV237" i="11" s="1"/>
  <c r="BL236" i="11"/>
  <c r="BO237" i="11" s="1"/>
  <c r="BR234" i="11"/>
  <c r="BQ234" i="11"/>
  <c r="BR232" i="11"/>
  <c r="BP232" i="11"/>
  <c r="BJ236" i="11" s="1"/>
  <c r="BO232" i="11"/>
  <c r="BK232" i="11"/>
  <c r="BL232" i="11" s="1"/>
  <c r="BH232" i="11"/>
  <c r="BH231" i="11"/>
  <c r="BT226" i="11"/>
  <c r="BU226" i="11" s="1"/>
  <c r="BH226" i="11"/>
  <c r="BN226" i="11" s="1"/>
  <c r="BS225" i="11"/>
  <c r="BL225" i="11"/>
  <c r="BQ223" i="11"/>
  <c r="BR223" i="11" s="1"/>
  <c r="BO221" i="11"/>
  <c r="BP221" i="11" s="1"/>
  <c r="BH221" i="11"/>
  <c r="BH220" i="11"/>
  <c r="BG217" i="11"/>
  <c r="BN276" i="11" l="1"/>
  <c r="BM276" i="11"/>
  <c r="BJ282" i="11"/>
  <c r="BU276" i="11"/>
  <c r="BV276" i="11" s="1"/>
  <c r="BI278" i="11" s="1"/>
  <c r="BJ281" i="11"/>
  <c r="BN281" i="11"/>
  <c r="BO281" i="11" s="1"/>
  <c r="BJ278" i="11"/>
  <c r="BN278" i="11"/>
  <c r="BK265" i="11"/>
  <c r="BL265" i="11" s="1"/>
  <c r="BN265" i="11" s="1"/>
  <c r="BR265" i="11"/>
  <c r="BO270" i="11"/>
  <c r="BV259" i="11"/>
  <c r="BO248" i="11"/>
  <c r="BV248" i="11"/>
  <c r="BR221" i="11"/>
  <c r="BO226" i="11"/>
  <c r="BM226" i="11"/>
  <c r="BK221" i="11"/>
  <c r="BL221" i="11" s="1"/>
  <c r="BN221" i="11" s="1"/>
  <c r="BQ221" i="11" s="1"/>
  <c r="BJ245" i="11"/>
  <c r="BN254" i="11"/>
  <c r="BM254" i="11"/>
  <c r="BV226" i="11"/>
  <c r="BM232" i="11"/>
  <c r="BN232" i="11"/>
  <c r="BJ249" i="11"/>
  <c r="BJ259" i="11"/>
  <c r="BJ260" i="11" s="1"/>
  <c r="BJ256" i="11" s="1"/>
  <c r="BU254" i="11"/>
  <c r="BV254" i="11" s="1"/>
  <c r="BI256" i="11" s="1"/>
  <c r="BV270" i="11"/>
  <c r="BJ237" i="11"/>
  <c r="BJ238" i="11" s="1"/>
  <c r="BJ234" i="11" s="1"/>
  <c r="BU232" i="11"/>
  <c r="BV232" i="11" s="1"/>
  <c r="BI234" i="11" s="1"/>
  <c r="BM265" i="11"/>
  <c r="BN223" i="11"/>
  <c r="BJ225" i="11"/>
  <c r="BU265" i="11"/>
  <c r="BV265" i="11" s="1"/>
  <c r="BI267" i="11" s="1"/>
  <c r="BJ270" i="11"/>
  <c r="BJ271" i="11" s="1"/>
  <c r="BJ267" i="11" s="1"/>
  <c r="BN234" i="11"/>
  <c r="BK243" i="11"/>
  <c r="BL243" i="11" s="1"/>
  <c r="BR254" i="11"/>
  <c r="BN259" i="11"/>
  <c r="BO259" i="11" s="1"/>
  <c r="BM270" i="11"/>
  <c r="BU243" i="11"/>
  <c r="BV243" i="11" s="1"/>
  <c r="BI245" i="11" s="1"/>
  <c r="BN256" i="11"/>
  <c r="BN267" i="11"/>
  <c r="F292" i="11"/>
  <c r="F291" i="11"/>
  <c r="O293" i="11" s="1"/>
  <c r="R223" i="11"/>
  <c r="Q223" i="11"/>
  <c r="P223" i="11"/>
  <c r="O223" i="11"/>
  <c r="N223" i="11"/>
  <c r="M223" i="11"/>
  <c r="R222" i="11"/>
  <c r="Q222" i="11"/>
  <c r="P222" i="11"/>
  <c r="O222" i="11"/>
  <c r="N222" i="11"/>
  <c r="M222" i="11"/>
  <c r="R221" i="11"/>
  <c r="Q221" i="11"/>
  <c r="P221" i="11"/>
  <c r="O221" i="11"/>
  <c r="N221" i="11"/>
  <c r="M221" i="11"/>
  <c r="R220" i="11"/>
  <c r="Q220" i="11"/>
  <c r="P220" i="11"/>
  <c r="O220" i="11"/>
  <c r="N220" i="11"/>
  <c r="M220" i="11"/>
  <c r="R219" i="11"/>
  <c r="Q219" i="11"/>
  <c r="P219" i="11"/>
  <c r="O219" i="11"/>
  <c r="N219" i="11"/>
  <c r="M219" i="11"/>
  <c r="K219" i="11"/>
  <c r="F220" i="11"/>
  <c r="F219" i="11"/>
  <c r="K6" i="11"/>
  <c r="M6" i="11"/>
  <c r="N6" i="11"/>
  <c r="O6" i="11"/>
  <c r="P6" i="11"/>
  <c r="Q6" i="11"/>
  <c r="R6" i="11"/>
  <c r="M7" i="11"/>
  <c r="N7" i="11"/>
  <c r="O7" i="11"/>
  <c r="P7" i="11"/>
  <c r="Q7" i="11"/>
  <c r="R7" i="11"/>
  <c r="M8" i="11"/>
  <c r="N8" i="11"/>
  <c r="O8" i="11"/>
  <c r="P8" i="11"/>
  <c r="Q8" i="11"/>
  <c r="R8" i="11"/>
  <c r="M9" i="11"/>
  <c r="N9" i="11"/>
  <c r="O9" i="11"/>
  <c r="P9" i="11"/>
  <c r="Q9" i="11"/>
  <c r="R9" i="11"/>
  <c r="M10" i="11"/>
  <c r="N10" i="11"/>
  <c r="O10" i="11"/>
  <c r="P10" i="11"/>
  <c r="Q10" i="11"/>
  <c r="R10" i="11"/>
  <c r="K17" i="11"/>
  <c r="M17" i="11"/>
  <c r="N17" i="11"/>
  <c r="O17" i="11"/>
  <c r="P17" i="11"/>
  <c r="Q17" i="11"/>
  <c r="R17" i="11"/>
  <c r="M18" i="11"/>
  <c r="N18" i="11"/>
  <c r="O18" i="11"/>
  <c r="P18" i="11"/>
  <c r="Q18" i="11"/>
  <c r="R18" i="11"/>
  <c r="M19" i="11"/>
  <c r="N19" i="11"/>
  <c r="O19" i="11"/>
  <c r="P19" i="11"/>
  <c r="Q19" i="11"/>
  <c r="R19" i="11"/>
  <c r="M20" i="11"/>
  <c r="N20" i="11"/>
  <c r="O20" i="11"/>
  <c r="P20" i="11"/>
  <c r="Q20" i="11"/>
  <c r="R20" i="11"/>
  <c r="M21" i="11"/>
  <c r="N21" i="11"/>
  <c r="O21" i="11"/>
  <c r="P21" i="11"/>
  <c r="Q21" i="11"/>
  <c r="R21" i="11"/>
  <c r="K23" i="11"/>
  <c r="M23" i="11"/>
  <c r="N23" i="11"/>
  <c r="O23" i="11"/>
  <c r="P23" i="11"/>
  <c r="Q23" i="11"/>
  <c r="R23" i="11"/>
  <c r="M24" i="11"/>
  <c r="N24" i="11"/>
  <c r="O24" i="11"/>
  <c r="P24" i="11"/>
  <c r="Q24" i="11"/>
  <c r="R24" i="11"/>
  <c r="M25" i="11"/>
  <c r="N25" i="11"/>
  <c r="O25" i="11"/>
  <c r="P25" i="11"/>
  <c r="Q25" i="11"/>
  <c r="R25" i="11"/>
  <c r="M26" i="11"/>
  <c r="N26" i="11"/>
  <c r="O26" i="11"/>
  <c r="P26" i="11"/>
  <c r="Q26" i="11"/>
  <c r="R26" i="11"/>
  <c r="M27" i="11"/>
  <c r="N27" i="11"/>
  <c r="O27" i="11"/>
  <c r="P27" i="11"/>
  <c r="Q27" i="11"/>
  <c r="R27" i="11"/>
  <c r="K29" i="11"/>
  <c r="M29" i="11"/>
  <c r="N29" i="11"/>
  <c r="O29" i="11"/>
  <c r="P29" i="11"/>
  <c r="Q29" i="11"/>
  <c r="R29" i="11"/>
  <c r="M30" i="11"/>
  <c r="N30" i="11"/>
  <c r="O30" i="11"/>
  <c r="P30" i="11"/>
  <c r="Q30" i="11"/>
  <c r="R30" i="11"/>
  <c r="M31" i="11"/>
  <c r="N31" i="11"/>
  <c r="O31" i="11"/>
  <c r="P31" i="11"/>
  <c r="Q31" i="11"/>
  <c r="R31" i="11"/>
  <c r="M32" i="11"/>
  <c r="N32" i="11"/>
  <c r="O32" i="11"/>
  <c r="P32" i="11"/>
  <c r="Q32" i="11"/>
  <c r="R32" i="11"/>
  <c r="M33" i="11"/>
  <c r="N33" i="11"/>
  <c r="O33" i="11"/>
  <c r="P33" i="11"/>
  <c r="Q33" i="11"/>
  <c r="R33" i="11"/>
  <c r="K35" i="11"/>
  <c r="M35" i="11"/>
  <c r="N35" i="11"/>
  <c r="O35" i="11"/>
  <c r="P35" i="11"/>
  <c r="Q35" i="11"/>
  <c r="R35" i="11"/>
  <c r="M36" i="11"/>
  <c r="N36" i="11"/>
  <c r="O36" i="11"/>
  <c r="P36" i="11"/>
  <c r="Q36" i="11"/>
  <c r="R36" i="11"/>
  <c r="M37" i="11"/>
  <c r="N37" i="11"/>
  <c r="O37" i="11"/>
  <c r="P37" i="11"/>
  <c r="Q37" i="11"/>
  <c r="R37" i="11"/>
  <c r="M38" i="11"/>
  <c r="N38" i="11"/>
  <c r="O38" i="11"/>
  <c r="P38" i="11"/>
  <c r="Q38" i="11"/>
  <c r="R38" i="11"/>
  <c r="M39" i="11"/>
  <c r="N39" i="11"/>
  <c r="O39" i="11"/>
  <c r="P39" i="11"/>
  <c r="Q39" i="11"/>
  <c r="R39" i="11"/>
  <c r="K41" i="11"/>
  <c r="M41" i="11"/>
  <c r="N41" i="11"/>
  <c r="O41" i="11"/>
  <c r="P41" i="11"/>
  <c r="Q41" i="11"/>
  <c r="R41" i="11"/>
  <c r="M42" i="11"/>
  <c r="N42" i="11"/>
  <c r="O42" i="11"/>
  <c r="P42" i="11"/>
  <c r="Q42" i="11"/>
  <c r="R42" i="11"/>
  <c r="M43" i="11"/>
  <c r="N43" i="11"/>
  <c r="O43" i="11"/>
  <c r="P43" i="11"/>
  <c r="Q43" i="11"/>
  <c r="R43" i="11"/>
  <c r="M44" i="11"/>
  <c r="N44" i="11"/>
  <c r="O44" i="11"/>
  <c r="P44" i="11"/>
  <c r="Q44" i="11"/>
  <c r="R44" i="11"/>
  <c r="M45" i="11"/>
  <c r="N45" i="11"/>
  <c r="O45" i="11"/>
  <c r="P45" i="11"/>
  <c r="Q45" i="11"/>
  <c r="R45" i="11"/>
  <c r="K47" i="11"/>
  <c r="M47" i="11"/>
  <c r="N47" i="11"/>
  <c r="O47" i="11"/>
  <c r="P47" i="11"/>
  <c r="Q47" i="11"/>
  <c r="R47" i="11"/>
  <c r="M48" i="11"/>
  <c r="N48" i="11"/>
  <c r="O48" i="11"/>
  <c r="P48" i="11"/>
  <c r="Q48" i="11"/>
  <c r="R48" i="11"/>
  <c r="M49" i="11"/>
  <c r="N49" i="11"/>
  <c r="O49" i="11"/>
  <c r="P49" i="11"/>
  <c r="Q49" i="11"/>
  <c r="R49" i="11"/>
  <c r="M50" i="11"/>
  <c r="N50" i="11"/>
  <c r="O50" i="11"/>
  <c r="P50" i="11"/>
  <c r="Q50" i="11"/>
  <c r="R50" i="11"/>
  <c r="M51" i="11"/>
  <c r="N51" i="11"/>
  <c r="O51" i="11"/>
  <c r="P51" i="11"/>
  <c r="Q51" i="11"/>
  <c r="R51" i="11"/>
  <c r="K53" i="11"/>
  <c r="M53" i="11"/>
  <c r="N53" i="11"/>
  <c r="O53" i="11"/>
  <c r="P53" i="11"/>
  <c r="Q53" i="11"/>
  <c r="R53" i="11"/>
  <c r="M54" i="11"/>
  <c r="N54" i="11"/>
  <c r="O54" i="11"/>
  <c r="P54" i="11"/>
  <c r="Q54" i="11"/>
  <c r="R54" i="11"/>
  <c r="M55" i="11"/>
  <c r="N55" i="11"/>
  <c r="O55" i="11"/>
  <c r="P55" i="11"/>
  <c r="Q55" i="11"/>
  <c r="R55" i="11"/>
  <c r="M56" i="11"/>
  <c r="N56" i="11"/>
  <c r="O56" i="11"/>
  <c r="P56" i="11"/>
  <c r="Q56" i="11"/>
  <c r="R56" i="11"/>
  <c r="M57" i="11"/>
  <c r="N57" i="11"/>
  <c r="O57" i="11"/>
  <c r="P57" i="11"/>
  <c r="Q57" i="11"/>
  <c r="R57" i="11"/>
  <c r="K59" i="11"/>
  <c r="M59" i="11"/>
  <c r="N59" i="11"/>
  <c r="O59" i="11"/>
  <c r="P59" i="11"/>
  <c r="Q59" i="11"/>
  <c r="R59" i="11"/>
  <c r="M60" i="11"/>
  <c r="N60" i="11"/>
  <c r="O60" i="11"/>
  <c r="P60" i="11"/>
  <c r="Q60" i="11"/>
  <c r="R60" i="11"/>
  <c r="M61" i="11"/>
  <c r="N61" i="11"/>
  <c r="O61" i="11"/>
  <c r="P61" i="11"/>
  <c r="Q61" i="11"/>
  <c r="R61" i="11"/>
  <c r="M62" i="11"/>
  <c r="N62" i="11"/>
  <c r="O62" i="11"/>
  <c r="P62" i="11"/>
  <c r="Q62" i="11"/>
  <c r="R62" i="11"/>
  <c r="M63" i="11"/>
  <c r="N63" i="11"/>
  <c r="O63" i="11"/>
  <c r="P63" i="11"/>
  <c r="Q63" i="11"/>
  <c r="R63" i="11"/>
  <c r="K65" i="11"/>
  <c r="M65" i="11"/>
  <c r="N65" i="11"/>
  <c r="O65" i="11"/>
  <c r="P65" i="11"/>
  <c r="Q65" i="11"/>
  <c r="R65" i="11"/>
  <c r="M66" i="11"/>
  <c r="N66" i="11"/>
  <c r="O66" i="11"/>
  <c r="P66" i="11"/>
  <c r="Q66" i="11"/>
  <c r="R66" i="11"/>
  <c r="M67" i="11"/>
  <c r="N67" i="11"/>
  <c r="O67" i="11"/>
  <c r="P67" i="11"/>
  <c r="Q67" i="11"/>
  <c r="R67" i="11"/>
  <c r="M68" i="11"/>
  <c r="N68" i="11"/>
  <c r="O68" i="11"/>
  <c r="P68" i="11"/>
  <c r="Q68" i="11"/>
  <c r="R68" i="11"/>
  <c r="M69" i="11"/>
  <c r="N69" i="11"/>
  <c r="O69" i="11"/>
  <c r="P69" i="11"/>
  <c r="Q69" i="11"/>
  <c r="R69" i="11"/>
  <c r="K71" i="11"/>
  <c r="M71" i="11"/>
  <c r="N71" i="11"/>
  <c r="O71" i="11"/>
  <c r="P71" i="11"/>
  <c r="Q71" i="11"/>
  <c r="R71" i="11"/>
  <c r="M72" i="11"/>
  <c r="N72" i="11"/>
  <c r="O72" i="11"/>
  <c r="P72" i="11"/>
  <c r="Q72" i="11"/>
  <c r="R72" i="11"/>
  <c r="M73" i="11"/>
  <c r="N73" i="11"/>
  <c r="O73" i="11"/>
  <c r="P73" i="11"/>
  <c r="Q73" i="11"/>
  <c r="R73" i="11"/>
  <c r="M74" i="11"/>
  <c r="N74" i="11"/>
  <c r="O74" i="11"/>
  <c r="P74" i="11"/>
  <c r="Q74" i="11"/>
  <c r="R74" i="11"/>
  <c r="M75" i="11"/>
  <c r="N75" i="11"/>
  <c r="O75" i="11"/>
  <c r="P75" i="11"/>
  <c r="Q75" i="11"/>
  <c r="R75" i="11"/>
  <c r="K77" i="11"/>
  <c r="M77" i="11"/>
  <c r="N77" i="11"/>
  <c r="O77" i="11"/>
  <c r="P77" i="11"/>
  <c r="Q77" i="11"/>
  <c r="R77" i="11"/>
  <c r="M78" i="11"/>
  <c r="N78" i="11"/>
  <c r="O78" i="11"/>
  <c r="P78" i="11"/>
  <c r="Q78" i="11"/>
  <c r="R78" i="11"/>
  <c r="M79" i="11"/>
  <c r="N79" i="11"/>
  <c r="O79" i="11"/>
  <c r="P79" i="11"/>
  <c r="Q79" i="11"/>
  <c r="R79" i="11"/>
  <c r="M80" i="11"/>
  <c r="N80" i="11"/>
  <c r="O80" i="11"/>
  <c r="P80" i="11"/>
  <c r="Q80" i="11"/>
  <c r="R80" i="11"/>
  <c r="M81" i="11"/>
  <c r="N81" i="11"/>
  <c r="O81" i="11"/>
  <c r="P81" i="11"/>
  <c r="Q81" i="11"/>
  <c r="R81" i="11"/>
  <c r="K83" i="11"/>
  <c r="M83" i="11"/>
  <c r="N83" i="11"/>
  <c r="O83" i="11"/>
  <c r="P83" i="11"/>
  <c r="Q83" i="11"/>
  <c r="R83" i="11"/>
  <c r="M84" i="11"/>
  <c r="N84" i="11"/>
  <c r="O84" i="11"/>
  <c r="P84" i="11"/>
  <c r="Q84" i="11"/>
  <c r="R84" i="11"/>
  <c r="M85" i="11"/>
  <c r="N85" i="11"/>
  <c r="O85" i="11"/>
  <c r="P85" i="11"/>
  <c r="Q85" i="11"/>
  <c r="R85" i="11"/>
  <c r="M86" i="11"/>
  <c r="N86" i="11"/>
  <c r="O86" i="11"/>
  <c r="P86" i="11"/>
  <c r="Q86" i="11"/>
  <c r="R86" i="11"/>
  <c r="M87" i="11"/>
  <c r="N87" i="11"/>
  <c r="O87" i="11"/>
  <c r="P87" i="11"/>
  <c r="Q87" i="11"/>
  <c r="R87" i="11"/>
  <c r="K89" i="11"/>
  <c r="M89" i="11"/>
  <c r="N89" i="11"/>
  <c r="O89" i="11"/>
  <c r="P89" i="11"/>
  <c r="Q89" i="11"/>
  <c r="R89" i="11"/>
  <c r="M90" i="11"/>
  <c r="N90" i="11"/>
  <c r="O90" i="11"/>
  <c r="P90" i="11"/>
  <c r="Q90" i="11"/>
  <c r="R90" i="11"/>
  <c r="M91" i="11"/>
  <c r="N91" i="11"/>
  <c r="O91" i="11"/>
  <c r="P91" i="11"/>
  <c r="Q91" i="11"/>
  <c r="R91" i="11"/>
  <c r="M92" i="11"/>
  <c r="N92" i="11"/>
  <c r="O92" i="11"/>
  <c r="P92" i="11"/>
  <c r="Q92" i="11"/>
  <c r="R92" i="11"/>
  <c r="M93" i="11"/>
  <c r="N93" i="11"/>
  <c r="O93" i="11"/>
  <c r="P93" i="11"/>
  <c r="Q93" i="11"/>
  <c r="R93" i="11"/>
  <c r="K95" i="11"/>
  <c r="M95" i="11"/>
  <c r="N95" i="11"/>
  <c r="O95" i="11"/>
  <c r="P95" i="11"/>
  <c r="Q95" i="11"/>
  <c r="R95" i="11"/>
  <c r="M96" i="11"/>
  <c r="N96" i="11"/>
  <c r="O96" i="11"/>
  <c r="P96" i="11"/>
  <c r="Q96" i="11"/>
  <c r="R96" i="11"/>
  <c r="M97" i="11"/>
  <c r="N97" i="11"/>
  <c r="O97" i="11"/>
  <c r="P97" i="11"/>
  <c r="Q97" i="11"/>
  <c r="R97" i="11"/>
  <c r="M98" i="11"/>
  <c r="N98" i="11"/>
  <c r="O98" i="11"/>
  <c r="P98" i="11"/>
  <c r="Q98" i="11"/>
  <c r="R98" i="11"/>
  <c r="M99" i="11"/>
  <c r="N99" i="11"/>
  <c r="O99" i="11"/>
  <c r="P99" i="11"/>
  <c r="Q99" i="11"/>
  <c r="R99" i="11"/>
  <c r="K101" i="11"/>
  <c r="M101" i="11"/>
  <c r="N101" i="11"/>
  <c r="O101" i="11"/>
  <c r="P101" i="11"/>
  <c r="Q101" i="11"/>
  <c r="R101" i="11"/>
  <c r="M102" i="11"/>
  <c r="N102" i="11"/>
  <c r="O102" i="11"/>
  <c r="P102" i="11"/>
  <c r="Q102" i="11"/>
  <c r="R102" i="11"/>
  <c r="M103" i="11"/>
  <c r="N103" i="11"/>
  <c r="O103" i="11"/>
  <c r="P103" i="11"/>
  <c r="Q103" i="11"/>
  <c r="R103" i="11"/>
  <c r="M104" i="11"/>
  <c r="N104" i="11"/>
  <c r="O104" i="11"/>
  <c r="P104" i="11"/>
  <c r="Q104" i="11"/>
  <c r="R104" i="11"/>
  <c r="M105" i="11"/>
  <c r="N105" i="11"/>
  <c r="O105" i="11"/>
  <c r="P105" i="11"/>
  <c r="Q105" i="11"/>
  <c r="R105" i="11"/>
  <c r="K107" i="11"/>
  <c r="M107" i="11"/>
  <c r="N107" i="11"/>
  <c r="O107" i="11"/>
  <c r="P107" i="11"/>
  <c r="Q107" i="11"/>
  <c r="R107" i="11"/>
  <c r="M108" i="11"/>
  <c r="N108" i="11"/>
  <c r="O108" i="11"/>
  <c r="P108" i="11"/>
  <c r="Q108" i="11"/>
  <c r="R108" i="11"/>
  <c r="M109" i="11"/>
  <c r="N109" i="11"/>
  <c r="O109" i="11"/>
  <c r="P109" i="11"/>
  <c r="Q109" i="11"/>
  <c r="R109" i="11"/>
  <c r="M110" i="11"/>
  <c r="N110" i="11"/>
  <c r="O110" i="11"/>
  <c r="P110" i="11"/>
  <c r="Q110" i="11"/>
  <c r="R110" i="11"/>
  <c r="M111" i="11"/>
  <c r="N111" i="11"/>
  <c r="O111" i="11"/>
  <c r="P111" i="11"/>
  <c r="Q111" i="11"/>
  <c r="R111" i="11"/>
  <c r="K113" i="11"/>
  <c r="M113" i="11"/>
  <c r="N113" i="11"/>
  <c r="O113" i="11"/>
  <c r="P113" i="11"/>
  <c r="Q113" i="11"/>
  <c r="R113" i="11"/>
  <c r="M114" i="11"/>
  <c r="N114" i="11"/>
  <c r="O114" i="11"/>
  <c r="P114" i="11"/>
  <c r="Q114" i="11"/>
  <c r="R114" i="11"/>
  <c r="M115" i="11"/>
  <c r="N115" i="11"/>
  <c r="O115" i="11"/>
  <c r="P115" i="11"/>
  <c r="Q115" i="11"/>
  <c r="R115" i="11"/>
  <c r="M116" i="11"/>
  <c r="N116" i="11"/>
  <c r="O116" i="11"/>
  <c r="P116" i="11"/>
  <c r="Q116" i="11"/>
  <c r="R116" i="11"/>
  <c r="M117" i="11"/>
  <c r="N117" i="11"/>
  <c r="O117" i="11"/>
  <c r="P117" i="11"/>
  <c r="Q117" i="11"/>
  <c r="R117" i="11"/>
  <c r="K119" i="11"/>
  <c r="M119" i="11"/>
  <c r="N119" i="11"/>
  <c r="O119" i="11"/>
  <c r="P119" i="11"/>
  <c r="Q119" i="11"/>
  <c r="R119" i="11"/>
  <c r="M120" i="11"/>
  <c r="N120" i="11"/>
  <c r="O120" i="11"/>
  <c r="P120" i="11"/>
  <c r="Q120" i="11"/>
  <c r="R120" i="11"/>
  <c r="M121" i="11"/>
  <c r="N121" i="11"/>
  <c r="O121" i="11"/>
  <c r="P121" i="11"/>
  <c r="Q121" i="11"/>
  <c r="R121" i="11"/>
  <c r="M122" i="11"/>
  <c r="N122" i="11"/>
  <c r="O122" i="11"/>
  <c r="P122" i="11"/>
  <c r="Q122" i="11"/>
  <c r="R122" i="11"/>
  <c r="M123" i="11"/>
  <c r="N123" i="11"/>
  <c r="O123" i="11"/>
  <c r="P123" i="11"/>
  <c r="Q123" i="11"/>
  <c r="R123" i="11"/>
  <c r="K125" i="11"/>
  <c r="M125" i="11"/>
  <c r="N125" i="11"/>
  <c r="O125" i="11"/>
  <c r="P125" i="11"/>
  <c r="Q125" i="11"/>
  <c r="R125" i="11"/>
  <c r="M126" i="11"/>
  <c r="N126" i="11"/>
  <c r="O126" i="11"/>
  <c r="P126" i="11"/>
  <c r="Q126" i="11"/>
  <c r="R126" i="11"/>
  <c r="M127" i="11"/>
  <c r="N127" i="11"/>
  <c r="O127" i="11"/>
  <c r="P127" i="11"/>
  <c r="Q127" i="11"/>
  <c r="R127" i="11"/>
  <c r="M128" i="11"/>
  <c r="N128" i="11"/>
  <c r="O128" i="11"/>
  <c r="P128" i="11"/>
  <c r="Q128" i="11"/>
  <c r="R128" i="11"/>
  <c r="M129" i="11"/>
  <c r="N129" i="11"/>
  <c r="O129" i="11"/>
  <c r="P129" i="11"/>
  <c r="Q129" i="11"/>
  <c r="R129" i="11"/>
  <c r="K131" i="11"/>
  <c r="M131" i="11"/>
  <c r="N131" i="11"/>
  <c r="O131" i="11"/>
  <c r="P131" i="11"/>
  <c r="Q131" i="11"/>
  <c r="R131" i="11"/>
  <c r="M132" i="11"/>
  <c r="N132" i="11"/>
  <c r="O132" i="11"/>
  <c r="P132" i="11"/>
  <c r="Q132" i="11"/>
  <c r="R132" i="11"/>
  <c r="M133" i="11"/>
  <c r="N133" i="11"/>
  <c r="O133" i="11"/>
  <c r="P133" i="11"/>
  <c r="Q133" i="11"/>
  <c r="R133" i="11"/>
  <c r="M134" i="11"/>
  <c r="N134" i="11"/>
  <c r="O134" i="11"/>
  <c r="P134" i="11"/>
  <c r="Q134" i="11"/>
  <c r="R134" i="11"/>
  <c r="M135" i="11"/>
  <c r="N135" i="11"/>
  <c r="O135" i="11"/>
  <c r="P135" i="11"/>
  <c r="Q135" i="11"/>
  <c r="R135" i="11"/>
  <c r="K137" i="11"/>
  <c r="M137" i="11"/>
  <c r="N137" i="11"/>
  <c r="O137" i="11"/>
  <c r="P137" i="11"/>
  <c r="Q137" i="11"/>
  <c r="R137" i="11"/>
  <c r="M138" i="11"/>
  <c r="N138" i="11"/>
  <c r="O138" i="11"/>
  <c r="P138" i="11"/>
  <c r="Q138" i="11"/>
  <c r="R138" i="11"/>
  <c r="M139" i="11"/>
  <c r="N139" i="11"/>
  <c r="O139" i="11"/>
  <c r="P139" i="11"/>
  <c r="Q139" i="11"/>
  <c r="R139" i="11"/>
  <c r="M140" i="11"/>
  <c r="N140" i="11"/>
  <c r="O140" i="11"/>
  <c r="P140" i="11"/>
  <c r="Q140" i="11"/>
  <c r="R140" i="11"/>
  <c r="M141" i="11"/>
  <c r="N141" i="11"/>
  <c r="O141" i="11"/>
  <c r="P141" i="11"/>
  <c r="Q141" i="11"/>
  <c r="R141" i="11"/>
  <c r="K143" i="11"/>
  <c r="M143" i="11"/>
  <c r="N143" i="11"/>
  <c r="O143" i="11"/>
  <c r="P143" i="11"/>
  <c r="Q143" i="11"/>
  <c r="R143" i="11"/>
  <c r="M144" i="11"/>
  <c r="N144" i="11"/>
  <c r="O144" i="11"/>
  <c r="P144" i="11"/>
  <c r="Q144" i="11"/>
  <c r="R144" i="11"/>
  <c r="M145" i="11"/>
  <c r="N145" i="11"/>
  <c r="O145" i="11"/>
  <c r="P145" i="11"/>
  <c r="Q145" i="11"/>
  <c r="R145" i="11"/>
  <c r="M146" i="11"/>
  <c r="N146" i="11"/>
  <c r="O146" i="11"/>
  <c r="P146" i="11"/>
  <c r="Q146" i="11"/>
  <c r="R146" i="11"/>
  <c r="M147" i="11"/>
  <c r="N147" i="11"/>
  <c r="O147" i="11"/>
  <c r="P147" i="11"/>
  <c r="Q147" i="11"/>
  <c r="R147" i="11"/>
  <c r="K149" i="11"/>
  <c r="M149" i="11"/>
  <c r="N149" i="11"/>
  <c r="O149" i="11"/>
  <c r="P149" i="11"/>
  <c r="Q149" i="11"/>
  <c r="R149" i="11"/>
  <c r="M150" i="11"/>
  <c r="N150" i="11"/>
  <c r="O150" i="11"/>
  <c r="P150" i="11"/>
  <c r="Q150" i="11"/>
  <c r="R150" i="11"/>
  <c r="M151" i="11"/>
  <c r="N151" i="11"/>
  <c r="O151" i="11"/>
  <c r="P151" i="11"/>
  <c r="Q151" i="11"/>
  <c r="R151" i="11"/>
  <c r="M152" i="11"/>
  <c r="N152" i="11"/>
  <c r="O152" i="11"/>
  <c r="P152" i="11"/>
  <c r="Q152" i="11"/>
  <c r="R152" i="11"/>
  <c r="M153" i="11"/>
  <c r="N153" i="11"/>
  <c r="O153" i="11"/>
  <c r="P153" i="11"/>
  <c r="Q153" i="11"/>
  <c r="R153" i="11"/>
  <c r="K155" i="11"/>
  <c r="M155" i="11"/>
  <c r="N155" i="11"/>
  <c r="O155" i="11"/>
  <c r="P155" i="11"/>
  <c r="Q155" i="11"/>
  <c r="R155" i="11"/>
  <c r="M156" i="11"/>
  <c r="N156" i="11"/>
  <c r="O156" i="11"/>
  <c r="P156" i="11"/>
  <c r="Q156" i="11"/>
  <c r="R156" i="11"/>
  <c r="M157" i="11"/>
  <c r="N157" i="11"/>
  <c r="O157" i="11"/>
  <c r="P157" i="11"/>
  <c r="Q157" i="11"/>
  <c r="R157" i="11"/>
  <c r="M158" i="11"/>
  <c r="N158" i="11"/>
  <c r="O158" i="11"/>
  <c r="P158" i="11"/>
  <c r="Q158" i="11"/>
  <c r="R158" i="11"/>
  <c r="M159" i="11"/>
  <c r="N159" i="11"/>
  <c r="O159" i="11"/>
  <c r="P159" i="11"/>
  <c r="Q159" i="11"/>
  <c r="R159" i="11"/>
  <c r="K161" i="11"/>
  <c r="M161" i="11"/>
  <c r="N161" i="11"/>
  <c r="O161" i="11"/>
  <c r="P161" i="11"/>
  <c r="Q161" i="11"/>
  <c r="R161" i="11"/>
  <c r="M162" i="11"/>
  <c r="N162" i="11"/>
  <c r="O162" i="11"/>
  <c r="P162" i="11"/>
  <c r="Q162" i="11"/>
  <c r="R162" i="11"/>
  <c r="M163" i="11"/>
  <c r="N163" i="11"/>
  <c r="O163" i="11"/>
  <c r="P163" i="11"/>
  <c r="Q163" i="11"/>
  <c r="R163" i="11"/>
  <c r="M164" i="11"/>
  <c r="N164" i="11"/>
  <c r="O164" i="11"/>
  <c r="P164" i="11"/>
  <c r="Q164" i="11"/>
  <c r="R164" i="11"/>
  <c r="M165" i="11"/>
  <c r="N165" i="11"/>
  <c r="O165" i="11"/>
  <c r="P165" i="11"/>
  <c r="Q165" i="11"/>
  <c r="R165" i="11"/>
  <c r="K167" i="11"/>
  <c r="M167" i="11"/>
  <c r="N167" i="11"/>
  <c r="O167" i="11"/>
  <c r="P167" i="11"/>
  <c r="Q167" i="11"/>
  <c r="R167" i="11"/>
  <c r="M168" i="11"/>
  <c r="N168" i="11"/>
  <c r="O168" i="11"/>
  <c r="P168" i="11"/>
  <c r="Q168" i="11"/>
  <c r="R168" i="11"/>
  <c r="M169" i="11"/>
  <c r="N169" i="11"/>
  <c r="O169" i="11"/>
  <c r="P169" i="11"/>
  <c r="Q169" i="11"/>
  <c r="R169" i="11"/>
  <c r="M170" i="11"/>
  <c r="N170" i="11"/>
  <c r="O170" i="11"/>
  <c r="P170" i="11"/>
  <c r="Q170" i="11"/>
  <c r="R170" i="11"/>
  <c r="M171" i="11"/>
  <c r="N171" i="11"/>
  <c r="O171" i="11"/>
  <c r="P171" i="11"/>
  <c r="Q171" i="11"/>
  <c r="R171" i="11"/>
  <c r="K173" i="11"/>
  <c r="M173" i="11"/>
  <c r="N173" i="11"/>
  <c r="O173" i="11"/>
  <c r="P173" i="11"/>
  <c r="Q173" i="11"/>
  <c r="R173" i="11"/>
  <c r="M174" i="11"/>
  <c r="N174" i="11"/>
  <c r="O174" i="11"/>
  <c r="P174" i="11"/>
  <c r="Q174" i="11"/>
  <c r="R174" i="11"/>
  <c r="M175" i="11"/>
  <c r="N175" i="11"/>
  <c r="O175" i="11"/>
  <c r="P175" i="11"/>
  <c r="Q175" i="11"/>
  <c r="R175" i="11"/>
  <c r="M176" i="11"/>
  <c r="N176" i="11"/>
  <c r="O176" i="11"/>
  <c r="P176" i="11"/>
  <c r="Q176" i="11"/>
  <c r="R176" i="11"/>
  <c r="M177" i="11"/>
  <c r="N177" i="11"/>
  <c r="O177" i="11"/>
  <c r="P177" i="11"/>
  <c r="Q177" i="11"/>
  <c r="R177" i="11"/>
  <c r="K179" i="11"/>
  <c r="M179" i="11"/>
  <c r="N179" i="11"/>
  <c r="O179" i="11"/>
  <c r="P179" i="11"/>
  <c r="Q179" i="11"/>
  <c r="R179" i="11"/>
  <c r="M180" i="11"/>
  <c r="N180" i="11"/>
  <c r="O180" i="11"/>
  <c r="P180" i="11"/>
  <c r="Q180" i="11"/>
  <c r="R180" i="11"/>
  <c r="M181" i="11"/>
  <c r="N181" i="11"/>
  <c r="O181" i="11"/>
  <c r="P181" i="11"/>
  <c r="Q181" i="11"/>
  <c r="R181" i="11"/>
  <c r="M182" i="11"/>
  <c r="N182" i="11"/>
  <c r="O182" i="11"/>
  <c r="P182" i="11"/>
  <c r="Q182" i="11"/>
  <c r="R182" i="11"/>
  <c r="M183" i="11"/>
  <c r="N183" i="11"/>
  <c r="O183" i="11"/>
  <c r="P183" i="11"/>
  <c r="Q183" i="11"/>
  <c r="R183" i="11"/>
  <c r="K185" i="11"/>
  <c r="M185" i="11"/>
  <c r="N185" i="11"/>
  <c r="O185" i="11"/>
  <c r="P185" i="11"/>
  <c r="Q185" i="11"/>
  <c r="R185" i="11"/>
  <c r="M186" i="11"/>
  <c r="N186" i="11"/>
  <c r="O186" i="11"/>
  <c r="P186" i="11"/>
  <c r="Q186" i="11"/>
  <c r="R186" i="11"/>
  <c r="M187" i="11"/>
  <c r="N187" i="11"/>
  <c r="O187" i="11"/>
  <c r="P187" i="11"/>
  <c r="Q187" i="11"/>
  <c r="R187" i="11"/>
  <c r="M188" i="11"/>
  <c r="N188" i="11"/>
  <c r="O188" i="11"/>
  <c r="P188" i="11"/>
  <c r="Q188" i="11"/>
  <c r="R188" i="11"/>
  <c r="M189" i="11"/>
  <c r="N189" i="11"/>
  <c r="O189" i="11"/>
  <c r="P189" i="11"/>
  <c r="Q189" i="11"/>
  <c r="R189" i="11"/>
  <c r="K191" i="11"/>
  <c r="M191" i="11"/>
  <c r="N191" i="11"/>
  <c r="O191" i="11"/>
  <c r="P191" i="11"/>
  <c r="Q191" i="11"/>
  <c r="R191" i="11"/>
  <c r="M192" i="11"/>
  <c r="N192" i="11"/>
  <c r="O192" i="11"/>
  <c r="P192" i="11"/>
  <c r="Q192" i="11"/>
  <c r="R192" i="11"/>
  <c r="M193" i="11"/>
  <c r="N193" i="11"/>
  <c r="O193" i="11"/>
  <c r="P193" i="11"/>
  <c r="Q193" i="11"/>
  <c r="R193" i="11"/>
  <c r="M194" i="11"/>
  <c r="N194" i="11"/>
  <c r="O194" i="11"/>
  <c r="P194" i="11"/>
  <c r="Q194" i="11"/>
  <c r="R194" i="11"/>
  <c r="M195" i="11"/>
  <c r="N195" i="11"/>
  <c r="O195" i="11"/>
  <c r="P195" i="11"/>
  <c r="Q195" i="11"/>
  <c r="R195" i="11"/>
  <c r="K197" i="11"/>
  <c r="M197" i="11"/>
  <c r="N197" i="11"/>
  <c r="O197" i="11"/>
  <c r="P197" i="11"/>
  <c r="Q197" i="11"/>
  <c r="R197" i="11"/>
  <c r="M198" i="11"/>
  <c r="N198" i="11"/>
  <c r="O198" i="11"/>
  <c r="P198" i="11"/>
  <c r="Q198" i="11"/>
  <c r="R198" i="11"/>
  <c r="M199" i="11"/>
  <c r="N199" i="11"/>
  <c r="O199" i="11"/>
  <c r="P199" i="11"/>
  <c r="Q199" i="11"/>
  <c r="R199" i="11"/>
  <c r="M200" i="11"/>
  <c r="N200" i="11"/>
  <c r="O200" i="11"/>
  <c r="P200" i="11"/>
  <c r="Q200" i="11"/>
  <c r="R200" i="11"/>
  <c r="M201" i="11"/>
  <c r="N201" i="11"/>
  <c r="O201" i="11"/>
  <c r="P201" i="11"/>
  <c r="Q201" i="11"/>
  <c r="R201" i="11"/>
  <c r="K203" i="11"/>
  <c r="M203" i="11"/>
  <c r="N203" i="11"/>
  <c r="O203" i="11"/>
  <c r="P203" i="11"/>
  <c r="Q203" i="11"/>
  <c r="R203" i="11"/>
  <c r="M204" i="11"/>
  <c r="N204" i="11"/>
  <c r="O204" i="11"/>
  <c r="P204" i="11"/>
  <c r="Q204" i="11"/>
  <c r="R204" i="11"/>
  <c r="M205" i="11"/>
  <c r="N205" i="11"/>
  <c r="O205" i="11"/>
  <c r="P205" i="11"/>
  <c r="Q205" i="11"/>
  <c r="R205" i="11"/>
  <c r="M206" i="11"/>
  <c r="N206" i="11"/>
  <c r="O206" i="11"/>
  <c r="P206" i="11"/>
  <c r="Q206" i="11"/>
  <c r="R206" i="11"/>
  <c r="M207" i="11"/>
  <c r="N207" i="11"/>
  <c r="O207" i="11"/>
  <c r="P207" i="11"/>
  <c r="Q207" i="11"/>
  <c r="R207" i="11"/>
  <c r="K225" i="11"/>
  <c r="M225" i="11"/>
  <c r="N225" i="11"/>
  <c r="O225" i="11"/>
  <c r="P225" i="11"/>
  <c r="Q225" i="11"/>
  <c r="R225" i="11"/>
  <c r="M226" i="11"/>
  <c r="N226" i="11"/>
  <c r="O226" i="11"/>
  <c r="P226" i="11"/>
  <c r="Q226" i="11"/>
  <c r="R226" i="11"/>
  <c r="M227" i="11"/>
  <c r="N227" i="11"/>
  <c r="O227" i="11"/>
  <c r="P227" i="11"/>
  <c r="Q227" i="11"/>
  <c r="R227" i="11"/>
  <c r="M228" i="11"/>
  <c r="N228" i="11"/>
  <c r="O228" i="11"/>
  <c r="P228" i="11"/>
  <c r="Q228" i="11"/>
  <c r="R228" i="11"/>
  <c r="M229" i="11"/>
  <c r="N229" i="11"/>
  <c r="O229" i="11"/>
  <c r="P229" i="11"/>
  <c r="Q229" i="11"/>
  <c r="R229" i="11"/>
  <c r="K231" i="11"/>
  <c r="M231" i="11"/>
  <c r="N231" i="11"/>
  <c r="O231" i="11"/>
  <c r="P231" i="11"/>
  <c r="Q231" i="11"/>
  <c r="R231" i="11"/>
  <c r="M232" i="11"/>
  <c r="N232" i="11"/>
  <c r="O232" i="11"/>
  <c r="P232" i="11"/>
  <c r="Q232" i="11"/>
  <c r="R232" i="11"/>
  <c r="M233" i="11"/>
  <c r="N233" i="11"/>
  <c r="O233" i="11"/>
  <c r="P233" i="11"/>
  <c r="Q233" i="11"/>
  <c r="R233" i="11"/>
  <c r="M234" i="11"/>
  <c r="N234" i="11"/>
  <c r="O234" i="11"/>
  <c r="P234" i="11"/>
  <c r="Q234" i="11"/>
  <c r="R234" i="11"/>
  <c r="M235" i="11"/>
  <c r="N235" i="11"/>
  <c r="O235" i="11"/>
  <c r="P235" i="11"/>
  <c r="Q235" i="11"/>
  <c r="R235" i="11"/>
  <c r="K237" i="11"/>
  <c r="M237" i="11"/>
  <c r="N237" i="11"/>
  <c r="O237" i="11"/>
  <c r="P237" i="11"/>
  <c r="Q237" i="11"/>
  <c r="R237" i="11"/>
  <c r="M238" i="11"/>
  <c r="N238" i="11"/>
  <c r="O238" i="11"/>
  <c r="P238" i="11"/>
  <c r="Q238" i="11"/>
  <c r="R238" i="11"/>
  <c r="M239" i="11"/>
  <c r="N239" i="11"/>
  <c r="O239" i="11"/>
  <c r="P239" i="11"/>
  <c r="Q239" i="11"/>
  <c r="R239" i="11"/>
  <c r="M240" i="11"/>
  <c r="N240" i="11"/>
  <c r="O240" i="11"/>
  <c r="P240" i="11"/>
  <c r="Q240" i="11"/>
  <c r="R240" i="11"/>
  <c r="M241" i="11"/>
  <c r="N241" i="11"/>
  <c r="O241" i="11"/>
  <c r="P241" i="11"/>
  <c r="Q241" i="11"/>
  <c r="R241" i="11"/>
  <c r="K243" i="11"/>
  <c r="M243" i="11"/>
  <c r="N243" i="11"/>
  <c r="O243" i="11"/>
  <c r="P243" i="11"/>
  <c r="Q243" i="11"/>
  <c r="R243" i="11"/>
  <c r="M244" i="11"/>
  <c r="N244" i="11"/>
  <c r="O244" i="11"/>
  <c r="P244" i="11"/>
  <c r="Q244" i="11"/>
  <c r="R244" i="11"/>
  <c r="M245" i="11"/>
  <c r="N245" i="11"/>
  <c r="O245" i="11"/>
  <c r="P245" i="11"/>
  <c r="Q245" i="11"/>
  <c r="R245" i="11"/>
  <c r="M246" i="11"/>
  <c r="N246" i="11"/>
  <c r="O246" i="11"/>
  <c r="P246" i="11"/>
  <c r="Q246" i="11"/>
  <c r="R246" i="11"/>
  <c r="M247" i="11"/>
  <c r="N247" i="11"/>
  <c r="O247" i="11"/>
  <c r="P247" i="11"/>
  <c r="Q247" i="11"/>
  <c r="R247" i="11"/>
  <c r="K249" i="11"/>
  <c r="M249" i="11"/>
  <c r="N249" i="11"/>
  <c r="O249" i="11"/>
  <c r="P249" i="11"/>
  <c r="Q249" i="11"/>
  <c r="R249" i="11"/>
  <c r="M250" i="11"/>
  <c r="N250" i="11"/>
  <c r="O250" i="11"/>
  <c r="P250" i="11"/>
  <c r="Q250" i="11"/>
  <c r="R250" i="11"/>
  <c r="M251" i="11"/>
  <c r="N251" i="11"/>
  <c r="O251" i="11"/>
  <c r="P251" i="11"/>
  <c r="Q251" i="11"/>
  <c r="R251" i="11"/>
  <c r="M252" i="11"/>
  <c r="N252" i="11"/>
  <c r="O252" i="11"/>
  <c r="P252" i="11"/>
  <c r="Q252" i="11"/>
  <c r="R252" i="11"/>
  <c r="M253" i="11"/>
  <c r="N253" i="11"/>
  <c r="O253" i="11"/>
  <c r="P253" i="11"/>
  <c r="Q253" i="11"/>
  <c r="R253" i="11"/>
  <c r="K255" i="11"/>
  <c r="M255" i="11"/>
  <c r="N255" i="11"/>
  <c r="O255" i="11"/>
  <c r="P255" i="11"/>
  <c r="Q255" i="11"/>
  <c r="R255" i="11"/>
  <c r="M256" i="11"/>
  <c r="N256" i="11"/>
  <c r="O256" i="11"/>
  <c r="P256" i="11"/>
  <c r="Q256" i="11"/>
  <c r="R256" i="11"/>
  <c r="M257" i="11"/>
  <c r="N257" i="11"/>
  <c r="O257" i="11"/>
  <c r="P257" i="11"/>
  <c r="Q257" i="11"/>
  <c r="R257" i="11"/>
  <c r="M258" i="11"/>
  <c r="N258" i="11"/>
  <c r="O258" i="11"/>
  <c r="P258" i="11"/>
  <c r="Q258" i="11"/>
  <c r="R258" i="11"/>
  <c r="M259" i="11"/>
  <c r="N259" i="11"/>
  <c r="O259" i="11"/>
  <c r="P259" i="11"/>
  <c r="Q259" i="11"/>
  <c r="R259" i="11"/>
  <c r="K261" i="11"/>
  <c r="M261" i="11"/>
  <c r="N261" i="11"/>
  <c r="O261" i="11"/>
  <c r="P261" i="11"/>
  <c r="Q261" i="11"/>
  <c r="R261" i="11"/>
  <c r="M262" i="11"/>
  <c r="N262" i="11"/>
  <c r="O262" i="11"/>
  <c r="P262" i="11"/>
  <c r="Q262" i="11"/>
  <c r="R262" i="11"/>
  <c r="M263" i="11"/>
  <c r="N263" i="11"/>
  <c r="O263" i="11"/>
  <c r="P263" i="11"/>
  <c r="Q263" i="11"/>
  <c r="R263" i="11"/>
  <c r="M264" i="11"/>
  <c r="N264" i="11"/>
  <c r="O264" i="11"/>
  <c r="P264" i="11"/>
  <c r="Q264" i="11"/>
  <c r="R264" i="11"/>
  <c r="M265" i="11"/>
  <c r="N265" i="11"/>
  <c r="O265" i="11"/>
  <c r="P265" i="11"/>
  <c r="Q265" i="11"/>
  <c r="R265" i="11"/>
  <c r="K267" i="11"/>
  <c r="M267" i="11"/>
  <c r="N267" i="11"/>
  <c r="O267" i="11"/>
  <c r="P267" i="11"/>
  <c r="Q267" i="11"/>
  <c r="R267" i="11"/>
  <c r="M268" i="11"/>
  <c r="N268" i="11"/>
  <c r="O268" i="11"/>
  <c r="P268" i="11"/>
  <c r="Q268" i="11"/>
  <c r="R268" i="11"/>
  <c r="M269" i="11"/>
  <c r="N269" i="11"/>
  <c r="O269" i="11"/>
  <c r="P269" i="11"/>
  <c r="Q269" i="11"/>
  <c r="R269" i="11"/>
  <c r="M270" i="11"/>
  <c r="N270" i="11"/>
  <c r="O270" i="11"/>
  <c r="P270" i="11"/>
  <c r="Q270" i="11"/>
  <c r="R270" i="11"/>
  <c r="M271" i="11"/>
  <c r="N271" i="11"/>
  <c r="O271" i="11"/>
  <c r="P271" i="11"/>
  <c r="Q271" i="11"/>
  <c r="R271" i="11"/>
  <c r="K273" i="11"/>
  <c r="M273" i="11"/>
  <c r="N273" i="11"/>
  <c r="O273" i="11"/>
  <c r="P273" i="11"/>
  <c r="Q273" i="11"/>
  <c r="R273" i="11"/>
  <c r="M274" i="11"/>
  <c r="N274" i="11"/>
  <c r="O274" i="11"/>
  <c r="P274" i="11"/>
  <c r="Q274" i="11"/>
  <c r="R274" i="11"/>
  <c r="M275" i="11"/>
  <c r="N275" i="11"/>
  <c r="O275" i="11"/>
  <c r="P275" i="11"/>
  <c r="Q275" i="11"/>
  <c r="R275" i="11"/>
  <c r="M276" i="11"/>
  <c r="N276" i="11"/>
  <c r="O276" i="11"/>
  <c r="P276" i="11"/>
  <c r="Q276" i="11"/>
  <c r="R276" i="11"/>
  <c r="M277" i="11"/>
  <c r="N277" i="11"/>
  <c r="O277" i="11"/>
  <c r="P277" i="11"/>
  <c r="Q277" i="11"/>
  <c r="R277" i="11"/>
  <c r="K279" i="11"/>
  <c r="M279" i="11"/>
  <c r="N279" i="11"/>
  <c r="O279" i="11"/>
  <c r="P279" i="11"/>
  <c r="Q279" i="11"/>
  <c r="R279" i="11"/>
  <c r="M280" i="11"/>
  <c r="N280" i="11"/>
  <c r="O280" i="11"/>
  <c r="P280" i="11"/>
  <c r="Q280" i="11"/>
  <c r="R280" i="11"/>
  <c r="M281" i="11"/>
  <c r="N281" i="11"/>
  <c r="O281" i="11"/>
  <c r="P281" i="11"/>
  <c r="Q281" i="11"/>
  <c r="R281" i="11"/>
  <c r="M282" i="11"/>
  <c r="N282" i="11"/>
  <c r="O282" i="11"/>
  <c r="P282" i="11"/>
  <c r="Q282" i="11"/>
  <c r="R282" i="11"/>
  <c r="M283" i="11"/>
  <c r="N283" i="11"/>
  <c r="O283" i="11"/>
  <c r="P283" i="11"/>
  <c r="Q283" i="11"/>
  <c r="R283" i="11"/>
  <c r="K285" i="11"/>
  <c r="M285" i="11"/>
  <c r="N285" i="11"/>
  <c r="O285" i="11"/>
  <c r="P285" i="11"/>
  <c r="Q285" i="11"/>
  <c r="R285" i="11"/>
  <c r="M286" i="11"/>
  <c r="N286" i="11"/>
  <c r="O286" i="11"/>
  <c r="P286" i="11"/>
  <c r="Q286" i="11"/>
  <c r="R286" i="11"/>
  <c r="M287" i="11"/>
  <c r="N287" i="11"/>
  <c r="O287" i="11"/>
  <c r="P287" i="11"/>
  <c r="Q287" i="11"/>
  <c r="R287" i="11"/>
  <c r="M288" i="11"/>
  <c r="N288" i="11"/>
  <c r="O288" i="11"/>
  <c r="P288" i="11"/>
  <c r="Q288" i="11"/>
  <c r="R288" i="11"/>
  <c r="M289" i="11"/>
  <c r="N289" i="11"/>
  <c r="O289" i="11"/>
  <c r="P289" i="11"/>
  <c r="Q289" i="11"/>
  <c r="R289" i="11"/>
  <c r="K291" i="11"/>
  <c r="M291" i="11"/>
  <c r="N291" i="11"/>
  <c r="O291" i="11"/>
  <c r="P291" i="11"/>
  <c r="Q291" i="11"/>
  <c r="R291" i="11"/>
  <c r="M292" i="11"/>
  <c r="N292" i="11"/>
  <c r="P292" i="11"/>
  <c r="Q292" i="11"/>
  <c r="R292" i="11"/>
  <c r="M293" i="11"/>
  <c r="N293" i="11"/>
  <c r="P293" i="11"/>
  <c r="Q293" i="11"/>
  <c r="R293" i="11"/>
  <c r="M294" i="11"/>
  <c r="N294" i="11"/>
  <c r="O294" i="11"/>
  <c r="P294" i="11"/>
  <c r="Q294" i="11"/>
  <c r="R294" i="11"/>
  <c r="M295" i="11"/>
  <c r="N295" i="11"/>
  <c r="O295" i="11"/>
  <c r="P295" i="11"/>
  <c r="Q295" i="11"/>
  <c r="R295" i="11"/>
  <c r="K297" i="11"/>
  <c r="M297" i="11"/>
  <c r="N297" i="11"/>
  <c r="O297" i="11"/>
  <c r="P297" i="11"/>
  <c r="Q297" i="11"/>
  <c r="R297" i="11"/>
  <c r="M298" i="11"/>
  <c r="N298" i="11"/>
  <c r="O298" i="11"/>
  <c r="P298" i="11"/>
  <c r="Q298" i="11"/>
  <c r="R298" i="11"/>
  <c r="M299" i="11"/>
  <c r="N299" i="11"/>
  <c r="O299" i="11"/>
  <c r="P299" i="11"/>
  <c r="Q299" i="11"/>
  <c r="R299" i="11"/>
  <c r="M300" i="11"/>
  <c r="N300" i="11"/>
  <c r="O300" i="11"/>
  <c r="P300" i="11"/>
  <c r="Q300" i="11"/>
  <c r="R300" i="11"/>
  <c r="M301" i="11"/>
  <c r="N301" i="11"/>
  <c r="O301" i="11"/>
  <c r="P301" i="11"/>
  <c r="Q301" i="11"/>
  <c r="R301" i="11"/>
  <c r="K303" i="11"/>
  <c r="M303" i="11"/>
  <c r="N303" i="11"/>
  <c r="O303" i="11"/>
  <c r="P303" i="11"/>
  <c r="Q303" i="11"/>
  <c r="R303" i="11"/>
  <c r="M304" i="11"/>
  <c r="N304" i="11"/>
  <c r="O304" i="11"/>
  <c r="P304" i="11"/>
  <c r="Q304" i="11"/>
  <c r="R304" i="11"/>
  <c r="M305" i="11"/>
  <c r="N305" i="11"/>
  <c r="O305" i="11"/>
  <c r="P305" i="11"/>
  <c r="Q305" i="11"/>
  <c r="R305" i="11"/>
  <c r="M306" i="11"/>
  <c r="N306" i="11"/>
  <c r="O306" i="11"/>
  <c r="P306" i="11"/>
  <c r="Q306" i="11"/>
  <c r="R306" i="11"/>
  <c r="M307" i="11"/>
  <c r="N307" i="11"/>
  <c r="O307" i="11"/>
  <c r="P307" i="11"/>
  <c r="Q307" i="11"/>
  <c r="R307" i="11"/>
  <c r="K309" i="11"/>
  <c r="M309" i="11"/>
  <c r="N309" i="11"/>
  <c r="O309" i="11"/>
  <c r="P309" i="11"/>
  <c r="Q309" i="11"/>
  <c r="R309" i="11"/>
  <c r="M310" i="11"/>
  <c r="N310" i="11"/>
  <c r="O310" i="11"/>
  <c r="P310" i="11"/>
  <c r="Q310" i="11"/>
  <c r="R310" i="11"/>
  <c r="M311" i="11"/>
  <c r="N311" i="11"/>
  <c r="O311" i="11"/>
  <c r="P311" i="11"/>
  <c r="Q311" i="11"/>
  <c r="R311" i="11"/>
  <c r="M312" i="11"/>
  <c r="N312" i="11"/>
  <c r="O312" i="11"/>
  <c r="P312" i="11"/>
  <c r="Q312" i="11"/>
  <c r="R312" i="11"/>
  <c r="M313" i="11"/>
  <c r="N313" i="11"/>
  <c r="O313" i="11"/>
  <c r="P313" i="11"/>
  <c r="Q313" i="11"/>
  <c r="R313" i="11"/>
  <c r="K315" i="11"/>
  <c r="M315" i="11"/>
  <c r="N315" i="11"/>
  <c r="O315" i="11"/>
  <c r="P315" i="11"/>
  <c r="Q315" i="11"/>
  <c r="R315" i="11"/>
  <c r="M316" i="11"/>
  <c r="N316" i="11"/>
  <c r="O316" i="11"/>
  <c r="P316" i="11"/>
  <c r="Q316" i="11"/>
  <c r="R316" i="11"/>
  <c r="M317" i="11"/>
  <c r="N317" i="11"/>
  <c r="O317" i="11"/>
  <c r="P317" i="11"/>
  <c r="Q317" i="11"/>
  <c r="R317" i="11"/>
  <c r="M318" i="11"/>
  <c r="N318" i="11"/>
  <c r="O318" i="11"/>
  <c r="P318" i="11"/>
  <c r="Q318" i="11"/>
  <c r="R318" i="11"/>
  <c r="M319" i="11"/>
  <c r="N319" i="11"/>
  <c r="O319" i="11"/>
  <c r="P319" i="11"/>
  <c r="Q319" i="11"/>
  <c r="R319" i="11"/>
  <c r="K321" i="11"/>
  <c r="M321" i="11"/>
  <c r="N321" i="11"/>
  <c r="O321" i="11"/>
  <c r="P321" i="11"/>
  <c r="Q321" i="11"/>
  <c r="R321" i="11"/>
  <c r="M322" i="11"/>
  <c r="N322" i="11"/>
  <c r="O322" i="11"/>
  <c r="P322" i="11"/>
  <c r="Q322" i="11"/>
  <c r="R322" i="11"/>
  <c r="M323" i="11"/>
  <c r="N323" i="11"/>
  <c r="O323" i="11"/>
  <c r="P323" i="11"/>
  <c r="Q323" i="11"/>
  <c r="R323" i="11"/>
  <c r="M324" i="11"/>
  <c r="N324" i="11"/>
  <c r="O324" i="11"/>
  <c r="P324" i="11"/>
  <c r="Q324" i="11"/>
  <c r="R324" i="11"/>
  <c r="M325" i="11"/>
  <c r="N325" i="11"/>
  <c r="O325" i="11"/>
  <c r="P325" i="11"/>
  <c r="Q325" i="11"/>
  <c r="R325" i="11"/>
  <c r="K327" i="11"/>
  <c r="M327" i="11"/>
  <c r="N327" i="11"/>
  <c r="O327" i="11"/>
  <c r="P327" i="11"/>
  <c r="Q327" i="11"/>
  <c r="R327" i="11"/>
  <c r="M328" i="11"/>
  <c r="N328" i="11"/>
  <c r="O328" i="11"/>
  <c r="P328" i="11"/>
  <c r="Q328" i="11"/>
  <c r="R328" i="11"/>
  <c r="M329" i="11"/>
  <c r="N329" i="11"/>
  <c r="O329" i="11"/>
  <c r="P329" i="11"/>
  <c r="Q329" i="11"/>
  <c r="R329" i="11"/>
  <c r="M330" i="11"/>
  <c r="N330" i="11"/>
  <c r="O330" i="11"/>
  <c r="P330" i="11"/>
  <c r="Q330" i="11"/>
  <c r="R330" i="11"/>
  <c r="M331" i="11"/>
  <c r="N331" i="11"/>
  <c r="O331" i="11"/>
  <c r="P331" i="11"/>
  <c r="Q331" i="11"/>
  <c r="R331" i="11"/>
  <c r="BS276" i="11" l="1"/>
  <c r="BT276" i="11" s="1"/>
  <c r="BQ276" i="11"/>
  <c r="BS221" i="11"/>
  <c r="BT221" i="11" s="1"/>
  <c r="BI221" i="11" s="1"/>
  <c r="BM221" i="11"/>
  <c r="BJ221" i="11"/>
  <c r="BK223" i="11"/>
  <c r="BQ232" i="11"/>
  <c r="BS232" i="11"/>
  <c r="BT232" i="11" s="1"/>
  <c r="BJ226" i="11"/>
  <c r="BJ227" i="11" s="1"/>
  <c r="BJ223" i="11" s="1"/>
  <c r="BU221" i="11"/>
  <c r="BV221" i="11" s="1"/>
  <c r="BI223" i="11" s="1"/>
  <c r="BS265" i="11"/>
  <c r="BT265" i="11" s="1"/>
  <c r="BQ265" i="11"/>
  <c r="BS254" i="11"/>
  <c r="BT254" i="11" s="1"/>
  <c r="BQ254" i="11"/>
  <c r="BN243" i="11"/>
  <c r="BM243" i="11"/>
  <c r="O292" i="11"/>
  <c r="BJ276" i="11" l="1"/>
  <c r="BK278" i="11"/>
  <c r="BL278" i="11" s="1"/>
  <c r="BM278" i="11" s="1"/>
  <c r="BO278" i="11" s="1"/>
  <c r="BP278" i="11" s="1"/>
  <c r="BS278" i="11" s="1"/>
  <c r="BT278" i="11" s="1"/>
  <c r="BU278" i="11" s="1"/>
  <c r="BI276" i="11"/>
  <c r="BJ232" i="11"/>
  <c r="BK234" i="11"/>
  <c r="BL234" i="11" s="1"/>
  <c r="BM234" i="11" s="1"/>
  <c r="BO234" i="11" s="1"/>
  <c r="BP234" i="11" s="1"/>
  <c r="BS234" i="11" s="1"/>
  <c r="BT234" i="11" s="1"/>
  <c r="BU234" i="11" s="1"/>
  <c r="BI232" i="11"/>
  <c r="BJ254" i="11"/>
  <c r="BK256" i="11"/>
  <c r="BL256" i="11" s="1"/>
  <c r="BM256" i="11" s="1"/>
  <c r="BO256" i="11" s="1"/>
  <c r="BP256" i="11" s="1"/>
  <c r="BS256" i="11" s="1"/>
  <c r="BT256" i="11" s="1"/>
  <c r="BU256" i="11" s="1"/>
  <c r="BI254" i="11"/>
  <c r="BJ265" i="11"/>
  <c r="BK267" i="11"/>
  <c r="BL267" i="11" s="1"/>
  <c r="BM267" i="11" s="1"/>
  <c r="BO267" i="11" s="1"/>
  <c r="BP267" i="11" s="1"/>
  <c r="BS267" i="11" s="1"/>
  <c r="BT267" i="11" s="1"/>
  <c r="BU267" i="11" s="1"/>
  <c r="BI265" i="11"/>
  <c r="BQ243" i="11"/>
  <c r="BS243" i="11"/>
  <c r="BT243" i="11" s="1"/>
  <c r="BL223" i="11"/>
  <c r="BM223" i="11" s="1"/>
  <c r="BO223" i="11" s="1"/>
  <c r="BP223" i="11" s="1"/>
  <c r="BS223" i="11" s="1"/>
  <c r="BT223" i="11" s="1"/>
  <c r="BU223" i="11" s="1"/>
  <c r="BK245" i="11" l="1"/>
  <c r="BL245" i="11" s="1"/>
  <c r="BM245" i="11" s="1"/>
  <c r="BO245" i="11" s="1"/>
  <c r="BP245" i="11" s="1"/>
  <c r="BS245" i="11" s="1"/>
  <c r="BT245" i="11" s="1"/>
  <c r="BU245" i="11" s="1"/>
  <c r="BI243" i="11"/>
  <c r="BJ243" i="11"/>
  <c r="AX339" i="11" l="1"/>
  <c r="AX338" i="11"/>
  <c r="AX337" i="11"/>
  <c r="AX336" i="11"/>
  <c r="AM331" i="11" l="1"/>
  <c r="X331" i="11"/>
  <c r="W331" i="11"/>
  <c r="V331" i="11"/>
  <c r="AY330" i="11"/>
  <c r="BA331" i="11" s="1"/>
  <c r="X330" i="11"/>
  <c r="W330" i="11"/>
  <c r="V330" i="11"/>
  <c r="AY329" i="11"/>
  <c r="AQ329" i="11"/>
  <c r="X329" i="11"/>
  <c r="W329" i="11"/>
  <c r="V329" i="11"/>
  <c r="AV328" i="11"/>
  <c r="AY328" i="11" s="1"/>
  <c r="AD328" i="11"/>
  <c r="AC328" i="11"/>
  <c r="AC329" i="11" s="1"/>
  <c r="Y328" i="11"/>
  <c r="X328" i="11"/>
  <c r="W328" i="11"/>
  <c r="V328" i="11"/>
  <c r="AJ327" i="11"/>
  <c r="X327" i="11"/>
  <c r="W327" i="11"/>
  <c r="V327" i="11"/>
  <c r="T327" i="11"/>
  <c r="AM325" i="11"/>
  <c r="X325" i="11"/>
  <c r="W325" i="11"/>
  <c r="V325" i="11"/>
  <c r="AY324" i="11"/>
  <c r="BC323" i="11" s="1"/>
  <c r="BE325" i="11" s="1"/>
  <c r="X324" i="11"/>
  <c r="W324" i="11"/>
  <c r="V324" i="11"/>
  <c r="AY323" i="11"/>
  <c r="AQ323" i="11"/>
  <c r="X323" i="11"/>
  <c r="W323" i="11"/>
  <c r="V323" i="11"/>
  <c r="AV322" i="11"/>
  <c r="BC324" i="11" s="1"/>
  <c r="AD322" i="11"/>
  <c r="AD323" i="11" s="1"/>
  <c r="AC322" i="11"/>
  <c r="AC323" i="11" s="1"/>
  <c r="Y322" i="11"/>
  <c r="X322" i="11"/>
  <c r="W322" i="11"/>
  <c r="V322" i="11"/>
  <c r="AJ321" i="11"/>
  <c r="X321" i="11"/>
  <c r="W321" i="11"/>
  <c r="V321" i="11"/>
  <c r="T321" i="11"/>
  <c r="AM319" i="11"/>
  <c r="X319" i="11"/>
  <c r="W319" i="11"/>
  <c r="V319" i="11"/>
  <c r="AY318" i="11"/>
  <c r="BA319" i="11" s="1"/>
  <c r="X318" i="11"/>
  <c r="W318" i="11"/>
  <c r="V318" i="11"/>
  <c r="AY317" i="11"/>
  <c r="AQ317" i="11"/>
  <c r="X317" i="11"/>
  <c r="W317" i="11"/>
  <c r="V317" i="11"/>
  <c r="AV316" i="11"/>
  <c r="BC318" i="11" s="1"/>
  <c r="AD316" i="11"/>
  <c r="AD317" i="11" s="1"/>
  <c r="AD318" i="11" s="1"/>
  <c r="AD319" i="11" s="1"/>
  <c r="AC316" i="11"/>
  <c r="AC317" i="11" s="1"/>
  <c r="AC318" i="11" s="1"/>
  <c r="Y316" i="11"/>
  <c r="X316" i="11"/>
  <c r="W316" i="11"/>
  <c r="V316" i="11"/>
  <c r="AJ315" i="11"/>
  <c r="X315" i="11"/>
  <c r="W315" i="11"/>
  <c r="V315" i="11"/>
  <c r="T315" i="11"/>
  <c r="AM313" i="11"/>
  <c r="X313" i="11"/>
  <c r="W313" i="11"/>
  <c r="V313" i="11"/>
  <c r="AY312" i="11"/>
  <c r="BA313" i="11" s="1"/>
  <c r="X312" i="11"/>
  <c r="W312" i="11"/>
  <c r="V312" i="11"/>
  <c r="AY311" i="11"/>
  <c r="AQ311" i="11"/>
  <c r="X311" i="11"/>
  <c r="W311" i="11"/>
  <c r="V311" i="11"/>
  <c r="AV310" i="11"/>
  <c r="BC312" i="11" s="1"/>
  <c r="AD310" i="11"/>
  <c r="AD311" i="11" s="1"/>
  <c r="AD312" i="11" s="1"/>
  <c r="AC310" i="11"/>
  <c r="AC311" i="11" s="1"/>
  <c r="AC312" i="11" s="1"/>
  <c r="Y310" i="11"/>
  <c r="X310" i="11"/>
  <c r="W310" i="11"/>
  <c r="V310" i="11"/>
  <c r="AJ309" i="11"/>
  <c r="X309" i="11"/>
  <c r="W309" i="11"/>
  <c r="V309" i="11"/>
  <c r="T309" i="11"/>
  <c r="AM307" i="11"/>
  <c r="X307" i="11"/>
  <c r="W307" i="11"/>
  <c r="V307" i="11"/>
  <c r="AY306" i="11"/>
  <c r="BA307" i="11" s="1"/>
  <c r="X306" i="11"/>
  <c r="W306" i="11"/>
  <c r="V306" i="11"/>
  <c r="AY305" i="11"/>
  <c r="AQ305" i="11"/>
  <c r="X305" i="11"/>
  <c r="W305" i="11"/>
  <c r="V305" i="11"/>
  <c r="AV304" i="11"/>
  <c r="BC306" i="11" s="1"/>
  <c r="AD304" i="11"/>
  <c r="AD305" i="11" s="1"/>
  <c r="AD306" i="11" s="1"/>
  <c r="AC304" i="11"/>
  <c r="AC305" i="11" s="1"/>
  <c r="Y304" i="11"/>
  <c r="X304" i="11"/>
  <c r="W304" i="11"/>
  <c r="V304" i="11"/>
  <c r="AJ303" i="11"/>
  <c r="X303" i="11"/>
  <c r="W303" i="11"/>
  <c r="V303" i="11"/>
  <c r="T303" i="11"/>
  <c r="AM301" i="11"/>
  <c r="X301" i="11"/>
  <c r="W301" i="11"/>
  <c r="V301" i="11"/>
  <c r="AY300" i="11"/>
  <c r="BC299" i="11" s="1"/>
  <c r="BE301" i="11" s="1"/>
  <c r="X300" i="11"/>
  <c r="W300" i="11"/>
  <c r="V300" i="11"/>
  <c r="AY299" i="11"/>
  <c r="AQ299" i="11"/>
  <c r="X299" i="11"/>
  <c r="W299" i="11"/>
  <c r="V299" i="11"/>
  <c r="AV298" i="11"/>
  <c r="AD298" i="11"/>
  <c r="AD299" i="11" s="1"/>
  <c r="AC298" i="11"/>
  <c r="AC299" i="11" s="1"/>
  <c r="Y298" i="11"/>
  <c r="X298" i="11"/>
  <c r="W298" i="11"/>
  <c r="V298" i="11"/>
  <c r="AJ297" i="11"/>
  <c r="X297" i="11"/>
  <c r="W297" i="11"/>
  <c r="V297" i="11"/>
  <c r="T297" i="11"/>
  <c r="AM295" i="11"/>
  <c r="X295" i="11"/>
  <c r="W295" i="11"/>
  <c r="V295" i="11"/>
  <c r="AY294" i="11"/>
  <c r="BC293" i="11" s="1"/>
  <c r="BE295" i="11" s="1"/>
  <c r="X294" i="11"/>
  <c r="W294" i="11"/>
  <c r="V294" i="11"/>
  <c r="AY293" i="11"/>
  <c r="AQ293" i="11"/>
  <c r="X293" i="11"/>
  <c r="W293" i="11"/>
  <c r="V293" i="11"/>
  <c r="AV292" i="11"/>
  <c r="BC294" i="11" s="1"/>
  <c r="AD292" i="11"/>
  <c r="AD293" i="11" s="1"/>
  <c r="AC292" i="11"/>
  <c r="Y292" i="11"/>
  <c r="X292" i="11"/>
  <c r="W292" i="11"/>
  <c r="V292" i="11"/>
  <c r="AJ291" i="11"/>
  <c r="X291" i="11"/>
  <c r="W291" i="11"/>
  <c r="V291" i="11"/>
  <c r="T291" i="11"/>
  <c r="AM289" i="11"/>
  <c r="X289" i="11"/>
  <c r="W289" i="11"/>
  <c r="V289" i="11"/>
  <c r="AY288" i="11"/>
  <c r="BA289" i="11" s="1"/>
  <c r="X288" i="11"/>
  <c r="W288" i="11"/>
  <c r="V288" i="11"/>
  <c r="AY287" i="11"/>
  <c r="AQ287" i="11"/>
  <c r="X287" i="11"/>
  <c r="W287" i="11"/>
  <c r="V287" i="11"/>
  <c r="AV286" i="11"/>
  <c r="BC288" i="11" s="1"/>
  <c r="AD286" i="11"/>
  <c r="AC286" i="11"/>
  <c r="AC287" i="11" s="1"/>
  <c r="Y286" i="11"/>
  <c r="X286" i="11"/>
  <c r="W286" i="11"/>
  <c r="V286" i="11"/>
  <c r="AJ285" i="11"/>
  <c r="X285" i="11"/>
  <c r="W285" i="11"/>
  <c r="V285" i="11"/>
  <c r="T285" i="11"/>
  <c r="AM283" i="11"/>
  <c r="X283" i="11"/>
  <c r="W283" i="11"/>
  <c r="V283" i="11"/>
  <c r="AY282" i="11"/>
  <c r="BA283" i="11" s="1"/>
  <c r="X282" i="11"/>
  <c r="W282" i="11"/>
  <c r="V282" i="11"/>
  <c r="AY281" i="11"/>
  <c r="AQ281" i="11"/>
  <c r="X281" i="11"/>
  <c r="W281" i="11"/>
  <c r="V281" i="11"/>
  <c r="AV280" i="11"/>
  <c r="BC282" i="11" s="1"/>
  <c r="AD280" i="11"/>
  <c r="AD281" i="11" s="1"/>
  <c r="AC280" i="11"/>
  <c r="AC281" i="11" s="1"/>
  <c r="Y280" i="11"/>
  <c r="X280" i="11"/>
  <c r="W280" i="11"/>
  <c r="V280" i="11"/>
  <c r="AJ279" i="11"/>
  <c r="X279" i="11"/>
  <c r="W279" i="11"/>
  <c r="V279" i="11"/>
  <c r="T279" i="11"/>
  <c r="AM277" i="11"/>
  <c r="X277" i="11"/>
  <c r="W277" i="11"/>
  <c r="V277" i="11"/>
  <c r="AY276" i="11"/>
  <c r="BA277" i="11" s="1"/>
  <c r="X276" i="11"/>
  <c r="W276" i="11"/>
  <c r="V276" i="11"/>
  <c r="AY275" i="11"/>
  <c r="AQ275" i="11"/>
  <c r="X275" i="11"/>
  <c r="W275" i="11"/>
  <c r="V275" i="11"/>
  <c r="AV274" i="11"/>
  <c r="BC276" i="11" s="1"/>
  <c r="AD274" i="11"/>
  <c r="AD275" i="11" s="1"/>
  <c r="AC274" i="11"/>
  <c r="AC275" i="11" s="1"/>
  <c r="Y274" i="11"/>
  <c r="X274" i="11"/>
  <c r="W274" i="11"/>
  <c r="V274" i="11"/>
  <c r="AJ273" i="11"/>
  <c r="X273" i="11"/>
  <c r="W273" i="11"/>
  <c r="V273" i="11"/>
  <c r="T273" i="11"/>
  <c r="AM271" i="11"/>
  <c r="X271" i="11"/>
  <c r="W271" i="11"/>
  <c r="V271" i="11"/>
  <c r="AY270" i="11"/>
  <c r="BC269" i="11" s="1"/>
  <c r="BE271" i="11" s="1"/>
  <c r="X270" i="11"/>
  <c r="W270" i="11"/>
  <c r="V270" i="11"/>
  <c r="AY269" i="11"/>
  <c r="AQ269" i="11"/>
  <c r="X269" i="11"/>
  <c r="W269" i="11"/>
  <c r="V269" i="11"/>
  <c r="AV268" i="11"/>
  <c r="BC270" i="11" s="1"/>
  <c r="AD268" i="11"/>
  <c r="AD269" i="11" s="1"/>
  <c r="AC268" i="11"/>
  <c r="AC269" i="11" s="1"/>
  <c r="Y268" i="11"/>
  <c r="X268" i="11"/>
  <c r="W268" i="11"/>
  <c r="V268" i="11"/>
  <c r="AJ267" i="11"/>
  <c r="X267" i="11"/>
  <c r="W267" i="11"/>
  <c r="V267" i="11"/>
  <c r="T267" i="11"/>
  <c r="AM265" i="11"/>
  <c r="X265" i="11"/>
  <c r="W265" i="11"/>
  <c r="V265" i="11"/>
  <c r="AY264" i="11"/>
  <c r="BC263" i="11" s="1"/>
  <c r="BE265" i="11" s="1"/>
  <c r="X264" i="11"/>
  <c r="W264" i="11"/>
  <c r="V264" i="11"/>
  <c r="AY263" i="11"/>
  <c r="AQ263" i="11"/>
  <c r="X263" i="11"/>
  <c r="W263" i="11"/>
  <c r="V263" i="11"/>
  <c r="AV262" i="11"/>
  <c r="BC264" i="11" s="1"/>
  <c r="AD262" i="11"/>
  <c r="AD263" i="11" s="1"/>
  <c r="AD264" i="11" s="1"/>
  <c r="AC262" i="11"/>
  <c r="AC263" i="11" s="1"/>
  <c r="Y262" i="11"/>
  <c r="X262" i="11"/>
  <c r="W262" i="11"/>
  <c r="V262" i="11"/>
  <c r="AJ261" i="11"/>
  <c r="X261" i="11"/>
  <c r="W261" i="11"/>
  <c r="V261" i="11"/>
  <c r="Z261" i="11" s="1"/>
  <c r="T261" i="11"/>
  <c r="AM259" i="11"/>
  <c r="X259" i="11"/>
  <c r="W259" i="11"/>
  <c r="V259" i="11"/>
  <c r="AY258" i="11"/>
  <c r="BC257" i="11" s="1"/>
  <c r="BE259" i="11" s="1"/>
  <c r="X258" i="11"/>
  <c r="W258" i="11"/>
  <c r="V258" i="11"/>
  <c r="AY257" i="11"/>
  <c r="AQ257" i="11"/>
  <c r="X257" i="11"/>
  <c r="W257" i="11"/>
  <c r="V257" i="11"/>
  <c r="AV256" i="11"/>
  <c r="BC258" i="11" s="1"/>
  <c r="AD256" i="11"/>
  <c r="AD257" i="11" s="1"/>
  <c r="AC256" i="11"/>
  <c r="AC257" i="11" s="1"/>
  <c r="Y256" i="11"/>
  <c r="X256" i="11"/>
  <c r="W256" i="11"/>
  <c r="V256" i="11"/>
  <c r="AJ255" i="11"/>
  <c r="X255" i="11"/>
  <c r="W255" i="11"/>
  <c r="V255" i="11"/>
  <c r="T255" i="11"/>
  <c r="AM253" i="11"/>
  <c r="X253" i="11"/>
  <c r="W253" i="11"/>
  <c r="V253" i="11"/>
  <c r="AY252" i="11"/>
  <c r="BA253" i="11" s="1"/>
  <c r="X252" i="11"/>
  <c r="W252" i="11"/>
  <c r="V252" i="11"/>
  <c r="AY251" i="11"/>
  <c r="AQ251" i="11"/>
  <c r="X251" i="11"/>
  <c r="W251" i="11"/>
  <c r="V251" i="11"/>
  <c r="AV250" i="11"/>
  <c r="BC252" i="11" s="1"/>
  <c r="AD250" i="11"/>
  <c r="AD251" i="11" s="1"/>
  <c r="AD252" i="11" s="1"/>
  <c r="AC250" i="11"/>
  <c r="AC251" i="11" s="1"/>
  <c r="AC252" i="11" s="1"/>
  <c r="Y250" i="11"/>
  <c r="X250" i="11"/>
  <c r="W250" i="11"/>
  <c r="V250" i="11"/>
  <c r="AJ249" i="11"/>
  <c r="X249" i="11"/>
  <c r="W249" i="11"/>
  <c r="V249" i="11"/>
  <c r="T249" i="11"/>
  <c r="AM247" i="11"/>
  <c r="X247" i="11"/>
  <c r="W247" i="11"/>
  <c r="V247" i="11"/>
  <c r="AY246" i="11"/>
  <c r="BA247" i="11" s="1"/>
  <c r="X246" i="11"/>
  <c r="W246" i="11"/>
  <c r="V246" i="11"/>
  <c r="AY245" i="11"/>
  <c r="AQ245" i="11"/>
  <c r="V245" i="11"/>
  <c r="X245" i="11"/>
  <c r="W245" i="11"/>
  <c r="AV244" i="11"/>
  <c r="BC246" i="11" s="1"/>
  <c r="AD244" i="11"/>
  <c r="AD245" i="11" s="1"/>
  <c r="AC244" i="11"/>
  <c r="AC245" i="11" s="1"/>
  <c r="AC246" i="11" s="1"/>
  <c r="Y244" i="11"/>
  <c r="X244" i="11"/>
  <c r="W244" i="11"/>
  <c r="V244" i="11"/>
  <c r="AJ243" i="11"/>
  <c r="X243" i="11"/>
  <c r="W243" i="11"/>
  <c r="V243" i="11"/>
  <c r="T243" i="11"/>
  <c r="AM241" i="11"/>
  <c r="AY240" i="11"/>
  <c r="BA241" i="11" s="1"/>
  <c r="AY239" i="11"/>
  <c r="AQ239" i="11"/>
  <c r="AV238" i="11"/>
  <c r="BC240" i="11" s="1"/>
  <c r="AJ237" i="11"/>
  <c r="X241" i="11"/>
  <c r="W241" i="11"/>
  <c r="V241" i="11"/>
  <c r="X240" i="11"/>
  <c r="W240" i="11"/>
  <c r="V240" i="11"/>
  <c r="X239" i="11"/>
  <c r="W239" i="11"/>
  <c r="V239" i="11"/>
  <c r="AD238" i="11"/>
  <c r="AD239" i="11" s="1"/>
  <c r="AC238" i="11"/>
  <c r="AC239" i="11" s="1"/>
  <c r="Y238" i="11"/>
  <c r="X238" i="11"/>
  <c r="W238" i="11"/>
  <c r="V238" i="11"/>
  <c r="X237" i="11"/>
  <c r="W237" i="11"/>
  <c r="V237" i="11"/>
  <c r="T237" i="11"/>
  <c r="X235" i="11"/>
  <c r="W235" i="11"/>
  <c r="V235" i="11"/>
  <c r="X234" i="11"/>
  <c r="W234" i="11"/>
  <c r="V234" i="11"/>
  <c r="X233" i="11"/>
  <c r="W233" i="11"/>
  <c r="V233" i="11"/>
  <c r="AD232" i="11"/>
  <c r="AD233" i="11" s="1"/>
  <c r="AD234" i="11" s="1"/>
  <c r="AC232" i="11"/>
  <c r="AC233" i="11" s="1"/>
  <c r="AC234" i="11" s="1"/>
  <c r="AC235" i="11" s="1"/>
  <c r="Y232" i="11"/>
  <c r="X232" i="11"/>
  <c r="W232" i="11"/>
  <c r="V232" i="11"/>
  <c r="X231" i="11"/>
  <c r="W231" i="11"/>
  <c r="V231" i="11"/>
  <c r="T231" i="11"/>
  <c r="X229" i="11"/>
  <c r="W229" i="11"/>
  <c r="V229" i="11"/>
  <c r="X228" i="11"/>
  <c r="W228" i="11"/>
  <c r="V228" i="11"/>
  <c r="X227" i="11"/>
  <c r="W227" i="11"/>
  <c r="V227" i="11"/>
  <c r="AD226" i="11"/>
  <c r="AD227" i="11" s="1"/>
  <c r="AC226" i="11"/>
  <c r="AC227" i="11" s="1"/>
  <c r="Y226" i="11"/>
  <c r="X226" i="11"/>
  <c r="W226" i="11"/>
  <c r="V226" i="11"/>
  <c r="X225" i="11"/>
  <c r="W225" i="11"/>
  <c r="V225" i="11"/>
  <c r="T225" i="11"/>
  <c r="AJ231" i="11"/>
  <c r="AJ225" i="11"/>
  <c r="AM235" i="11"/>
  <c r="AY234" i="11"/>
  <c r="BC233" i="11" s="1"/>
  <c r="BE235" i="11" s="1"/>
  <c r="AY233" i="11"/>
  <c r="AQ233" i="11"/>
  <c r="AV232" i="11"/>
  <c r="AY232" i="11" s="1"/>
  <c r="AM229" i="11"/>
  <c r="AY228" i="11"/>
  <c r="BC227" i="11" s="1"/>
  <c r="BE229" i="11" s="1"/>
  <c r="AY227" i="11"/>
  <c r="AQ227" i="11"/>
  <c r="AV226" i="11"/>
  <c r="AY221" i="11"/>
  <c r="W223" i="11"/>
  <c r="W222" i="11"/>
  <c r="W221" i="11"/>
  <c r="W220" i="11"/>
  <c r="V223" i="11"/>
  <c r="V222" i="11"/>
  <c r="V221" i="11"/>
  <c r="V220" i="11"/>
  <c r="AM223" i="11"/>
  <c r="X223" i="11"/>
  <c r="AY222" i="11"/>
  <c r="BC221" i="11" s="1"/>
  <c r="X222" i="11"/>
  <c r="AQ221" i="11"/>
  <c r="X221" i="11"/>
  <c r="AV220" i="11"/>
  <c r="BC222" i="11" s="1"/>
  <c r="AD220" i="11"/>
  <c r="AD221" i="11" s="1"/>
  <c r="AD222" i="11" s="1"/>
  <c r="AC220" i="11"/>
  <c r="AC221" i="11" s="1"/>
  <c r="AC222" i="11" s="1"/>
  <c r="Y220" i="11"/>
  <c r="X220" i="11"/>
  <c r="X219" i="11"/>
  <c r="W219" i="11"/>
  <c r="V219" i="11"/>
  <c r="Z219" i="11" s="1"/>
  <c r="AJ219" i="11"/>
  <c r="A212" i="11"/>
  <c r="A211" i="11"/>
  <c r="AA229" i="11" l="1"/>
  <c r="BC275" i="11"/>
  <c r="BE277" i="11" s="1"/>
  <c r="AA259" i="11"/>
  <c r="BC317" i="11"/>
  <c r="BE319" i="11" s="1"/>
  <c r="BC259" i="11"/>
  <c r="BC265" i="11"/>
  <c r="BC329" i="11"/>
  <c r="BE331" i="11" s="1"/>
  <c r="AB270" i="11"/>
  <c r="BC305" i="11"/>
  <c r="BE307" i="11" s="1"/>
  <c r="AB253" i="11"/>
  <c r="AB255" i="11"/>
  <c r="AF255" i="11" s="1"/>
  <c r="AB285" i="11"/>
  <c r="AF285" i="11" s="1"/>
  <c r="AB295" i="11"/>
  <c r="AB318" i="11"/>
  <c r="AA232" i="11"/>
  <c r="AE232" i="11" s="1"/>
  <c r="AW318" i="11"/>
  <c r="BE315" i="11" s="1"/>
  <c r="AB252" i="11"/>
  <c r="AF252" i="11" s="1"/>
  <c r="AA234" i="11"/>
  <c r="AE234" i="11" s="1"/>
  <c r="AB235" i="11"/>
  <c r="AY241" i="11"/>
  <c r="AB243" i="11"/>
  <c r="AF243" i="11" s="1"/>
  <c r="AK253" i="11"/>
  <c r="AB257" i="11"/>
  <c r="AF257" i="11" s="1"/>
  <c r="AB261" i="11"/>
  <c r="AF261" i="11" s="1"/>
  <c r="AK271" i="11"/>
  <c r="AB287" i="11"/>
  <c r="AP294" i="11"/>
  <c r="AR294" i="11" s="1"/>
  <c r="AK313" i="11"/>
  <c r="AP288" i="11"/>
  <c r="AU288" i="11" s="1"/>
  <c r="AP270" i="11"/>
  <c r="BC281" i="11"/>
  <c r="BE283" i="11" s="1"/>
  <c r="AA226" i="11"/>
  <c r="AE226" i="11" s="1"/>
  <c r="AA228" i="11"/>
  <c r="AB229" i="11"/>
  <c r="AA241" i="11"/>
  <c r="AB264" i="11"/>
  <c r="AF264" i="11" s="1"/>
  <c r="AA312" i="11"/>
  <c r="AE312" i="11" s="1"/>
  <c r="AA323" i="11"/>
  <c r="AB226" i="11"/>
  <c r="AF226" i="11" s="1"/>
  <c r="AB241" i="11"/>
  <c r="AB246" i="11"/>
  <c r="AB269" i="11"/>
  <c r="AF269" i="11" s="1"/>
  <c r="BC289" i="11"/>
  <c r="AP300" i="11"/>
  <c r="AR300" i="11" s="1"/>
  <c r="AB299" i="11"/>
  <c r="AF299" i="11" s="1"/>
  <c r="AB312" i="11"/>
  <c r="AA317" i="11"/>
  <c r="AE317" i="11" s="1"/>
  <c r="AP240" i="11"/>
  <c r="AU240" i="11" s="1"/>
  <c r="AB233" i="11"/>
  <c r="AF233" i="11" s="1"/>
  <c r="AA238" i="11"/>
  <c r="AE238" i="11" s="1"/>
  <c r="AW264" i="11"/>
  <c r="BE261" i="11" s="1"/>
  <c r="AP282" i="11"/>
  <c r="AU282" i="11" s="1"/>
  <c r="AB279" i="11"/>
  <c r="AF279" i="11" s="1"/>
  <c r="AY229" i="11"/>
  <c r="AB240" i="11"/>
  <c r="AA252" i="11"/>
  <c r="AE252" i="11" s="1"/>
  <c r="AB273" i="11"/>
  <c r="AF273" i="11" s="1"/>
  <c r="BC287" i="11"/>
  <c r="BE289" i="11" s="1"/>
  <c r="AA318" i="11"/>
  <c r="AE318" i="11" s="1"/>
  <c r="AA269" i="11"/>
  <c r="AE269" i="11" s="1"/>
  <c r="BA235" i="11"/>
  <c r="AA262" i="11"/>
  <c r="AE262" i="11" s="1"/>
  <c r="BC283" i="11"/>
  <c r="AY301" i="11"/>
  <c r="AA303" i="11"/>
  <c r="AE303" i="11" s="1"/>
  <c r="AY325" i="11"/>
  <c r="AA263" i="11"/>
  <c r="AE263" i="11" s="1"/>
  <c r="AB291" i="11"/>
  <c r="AF291" i="11" s="1"/>
  <c r="AA293" i="11"/>
  <c r="AB297" i="11"/>
  <c r="AF297" i="11" s="1"/>
  <c r="AP312" i="11"/>
  <c r="AU312" i="11" s="1"/>
  <c r="AP318" i="11"/>
  <c r="AR318" i="11" s="1"/>
  <c r="AB249" i="11"/>
  <c r="AF249" i="11" s="1"/>
  <c r="AB263" i="11"/>
  <c r="AF263" i="11" s="1"/>
  <c r="AB267" i="11"/>
  <c r="AF267" i="11" s="1"/>
  <c r="AB294" i="11"/>
  <c r="AB309" i="11"/>
  <c r="AF309" i="11" s="1"/>
  <c r="AB227" i="11"/>
  <c r="AF227" i="11" s="1"/>
  <c r="AK240" i="11"/>
  <c r="AB274" i="11"/>
  <c r="AB237" i="11"/>
  <c r="AF237" i="11" s="1"/>
  <c r="AP241" i="11"/>
  <c r="AK295" i="11"/>
  <c r="AA305" i="11"/>
  <c r="AE305" i="11" s="1"/>
  <c r="AB228" i="11"/>
  <c r="AA246" i="11"/>
  <c r="AE246" i="11" s="1"/>
  <c r="AK241" i="11"/>
  <c r="AB265" i="11"/>
  <c r="AA274" i="11"/>
  <c r="AE274" i="11" s="1"/>
  <c r="BC277" i="11"/>
  <c r="AA280" i="11"/>
  <c r="AE280" i="11" s="1"/>
  <c r="AB293" i="11"/>
  <c r="AF293" i="11" s="1"/>
  <c r="AA233" i="11"/>
  <c r="AE233" i="11" s="1"/>
  <c r="AA268" i="11"/>
  <c r="AE268" i="11" s="1"/>
  <c r="AY289" i="11"/>
  <c r="AA294" i="11"/>
  <c r="AB305" i="11"/>
  <c r="AF305" i="11" s="1"/>
  <c r="AY316" i="11"/>
  <c r="AA328" i="11"/>
  <c r="AE328" i="11" s="1"/>
  <c r="AD329" i="11"/>
  <c r="AD330" i="11" s="1"/>
  <c r="AD331" i="11" s="1"/>
  <c r="AA227" i="11"/>
  <c r="AE227" i="11" s="1"/>
  <c r="BC245" i="11"/>
  <c r="BE247" i="11" s="1"/>
  <c r="AB268" i="11"/>
  <c r="AF268" i="11" s="1"/>
  <c r="AA281" i="11"/>
  <c r="AE281" i="11" s="1"/>
  <c r="AA292" i="11"/>
  <c r="AE292" i="11" s="1"/>
  <c r="AY292" i="11"/>
  <c r="AA295" i="11"/>
  <c r="AA311" i="11"/>
  <c r="AE311" i="11" s="1"/>
  <c r="BC311" i="11"/>
  <c r="BE313" i="11" s="1"/>
  <c r="AA322" i="11"/>
  <c r="AE322" i="11" s="1"/>
  <c r="AB328" i="11"/>
  <c r="AF328" i="11" s="1"/>
  <c r="AA239" i="11"/>
  <c r="AE239" i="11" s="1"/>
  <c r="AB244" i="11"/>
  <c r="AF244" i="11" s="1"/>
  <c r="AA245" i="11"/>
  <c r="AE245" i="11" s="1"/>
  <c r="AA257" i="11"/>
  <c r="AE257" i="11" s="1"/>
  <c r="AB259" i="11"/>
  <c r="AA275" i="11"/>
  <c r="AE275" i="11" s="1"/>
  <c r="AB292" i="11"/>
  <c r="AF292" i="11" s="1"/>
  <c r="AC293" i="11"/>
  <c r="AC294" i="11" s="1"/>
  <c r="AW300" i="11"/>
  <c r="BE297" i="11" s="1"/>
  <c r="AA299" i="11"/>
  <c r="AE299" i="11" s="1"/>
  <c r="AB301" i="11"/>
  <c r="AB311" i="11"/>
  <c r="AF311" i="11" s="1"/>
  <c r="AB239" i="11"/>
  <c r="AF239" i="11" s="1"/>
  <c r="AA251" i="11"/>
  <c r="BC251" i="11"/>
  <c r="BE253" i="11" s="1"/>
  <c r="AA256" i="11"/>
  <c r="AE256" i="11" s="1"/>
  <c r="AW270" i="11"/>
  <c r="BE267" i="11" s="1"/>
  <c r="AA298" i="11"/>
  <c r="AE298" i="11" s="1"/>
  <c r="AK319" i="11"/>
  <c r="AW330" i="11"/>
  <c r="BE327" i="11" s="1"/>
  <c r="AA329" i="11"/>
  <c r="AE329" i="11" s="1"/>
  <c r="AB251" i="11"/>
  <c r="AF251" i="11" s="1"/>
  <c r="AB256" i="11"/>
  <c r="AF256" i="11" s="1"/>
  <c r="AA283" i="11"/>
  <c r="AW294" i="11"/>
  <c r="BA291" i="11" s="1"/>
  <c r="AY295" i="11"/>
  <c r="AA307" i="11"/>
  <c r="AB321" i="11"/>
  <c r="AF321" i="11" s="1"/>
  <c r="AB329" i="11"/>
  <c r="AF329" i="11" s="1"/>
  <c r="BC330" i="11"/>
  <c r="AA265" i="11"/>
  <c r="AB281" i="11"/>
  <c r="AF281" i="11" s="1"/>
  <c r="AB283" i="11"/>
  <c r="AW288" i="11"/>
  <c r="BE285" i="11" s="1"/>
  <c r="AA287" i="11"/>
  <c r="AE287" i="11" s="1"/>
  <c r="AA301" i="11"/>
  <c r="AY307" i="11"/>
  <c r="BC313" i="11"/>
  <c r="AB317" i="11"/>
  <c r="AF317" i="11" s="1"/>
  <c r="AB323" i="11"/>
  <c r="AF323" i="11" s="1"/>
  <c r="AY331" i="11"/>
  <c r="AY319" i="11"/>
  <c r="AY313" i="11"/>
  <c r="AY283" i="11"/>
  <c r="AY277" i="11"/>
  <c r="AY268" i="11"/>
  <c r="AY271" i="11"/>
  <c r="AY253" i="11"/>
  <c r="AY259" i="11"/>
  <c r="AY265" i="11"/>
  <c r="AY262" i="11"/>
  <c r="BC234" i="11"/>
  <c r="BC235" i="11" s="1"/>
  <c r="AY235" i="11"/>
  <c r="AA331" i="11"/>
  <c r="AB330" i="11"/>
  <c r="AA330" i="11"/>
  <c r="AP330" i="11"/>
  <c r="AB331" i="11"/>
  <c r="AB327" i="11"/>
  <c r="AF327" i="11" s="1"/>
  <c r="AK331" i="11"/>
  <c r="Z327" i="11"/>
  <c r="AK330" i="11"/>
  <c r="AC330" i="11"/>
  <c r="AP331" i="11"/>
  <c r="AA327" i="11"/>
  <c r="AE327" i="11" s="1"/>
  <c r="Z328" i="11"/>
  <c r="AP324" i="11"/>
  <c r="AK325" i="11"/>
  <c r="AB322" i="11"/>
  <c r="AF322" i="11" s="1"/>
  <c r="AP325" i="11"/>
  <c r="AD324" i="11"/>
  <c r="AB325" i="11"/>
  <c r="AE323" i="11"/>
  <c r="AC324" i="11"/>
  <c r="AA325" i="11"/>
  <c r="BC325" i="11"/>
  <c r="AA324" i="11"/>
  <c r="AB324" i="11"/>
  <c r="AY322" i="11"/>
  <c r="AW324" i="11"/>
  <c r="AK324" i="11"/>
  <c r="Z321" i="11"/>
  <c r="Z323" i="11"/>
  <c r="AA321" i="11"/>
  <c r="AE321" i="11" s="1"/>
  <c r="BA325" i="11"/>
  <c r="Z322" i="11"/>
  <c r="AA319" i="11"/>
  <c r="AB319" i="11"/>
  <c r="AF319" i="11" s="1"/>
  <c r="AF318" i="11"/>
  <c r="AB315" i="11"/>
  <c r="AF315" i="11" s="1"/>
  <c r="AP319" i="11"/>
  <c r="Z316" i="11"/>
  <c r="AA316" i="11"/>
  <c r="AE316" i="11" s="1"/>
  <c r="Z318" i="11"/>
  <c r="AC319" i="11"/>
  <c r="AB316" i="11"/>
  <c r="AF316" i="11" s="1"/>
  <c r="AK318" i="11"/>
  <c r="Z315" i="11"/>
  <c r="Z317" i="11"/>
  <c r="AA315" i="11"/>
  <c r="AE315" i="11" s="1"/>
  <c r="AC313" i="11"/>
  <c r="Z310" i="11"/>
  <c r="AF312" i="11"/>
  <c r="AD313" i="11"/>
  <c r="AA310" i="11"/>
  <c r="AE310" i="11" s="1"/>
  <c r="AA313" i="11"/>
  <c r="AB310" i="11"/>
  <c r="AF310" i="11" s="1"/>
  <c r="AP313" i="11"/>
  <c r="AB313" i="11"/>
  <c r="AR312" i="11"/>
  <c r="AY310" i="11"/>
  <c r="Z312" i="11"/>
  <c r="AW312" i="11"/>
  <c r="AK312" i="11"/>
  <c r="Z309" i="11"/>
  <c r="Z311" i="11"/>
  <c r="AA309" i="11"/>
  <c r="AE309" i="11" s="1"/>
  <c r="AC306" i="11"/>
  <c r="Z306" i="11" s="1"/>
  <c r="Z304" i="11"/>
  <c r="AB303" i="11"/>
  <c r="AF303" i="11" s="1"/>
  <c r="AP307" i="11"/>
  <c r="AP306" i="11"/>
  <c r="AA304" i="11"/>
  <c r="AE304" i="11" s="1"/>
  <c r="AA306" i="11"/>
  <c r="AB307" i="11"/>
  <c r="AK307" i="11"/>
  <c r="AB306" i="11"/>
  <c r="AF306" i="11" s="1"/>
  <c r="AB304" i="11"/>
  <c r="AF304" i="11" s="1"/>
  <c r="AY304" i="11"/>
  <c r="AW306" i="11"/>
  <c r="AD307" i="11"/>
  <c r="AK306" i="11"/>
  <c r="Z303" i="11"/>
  <c r="Z305" i="11"/>
  <c r="AD300" i="11"/>
  <c r="AA300" i="11"/>
  <c r="AK301" i="11"/>
  <c r="AP301" i="11"/>
  <c r="AB298" i="11"/>
  <c r="AF298" i="11" s="1"/>
  <c r="AB300" i="11"/>
  <c r="AC300" i="11"/>
  <c r="AK300" i="11"/>
  <c r="Z297" i="11"/>
  <c r="Z299" i="11"/>
  <c r="BC300" i="11"/>
  <c r="BC301" i="11" s="1"/>
  <c r="AA297" i="11"/>
  <c r="AE297" i="11" s="1"/>
  <c r="BA301" i="11"/>
  <c r="AY298" i="11"/>
  <c r="Z298" i="11"/>
  <c r="AD294" i="11"/>
  <c r="BC295" i="11"/>
  <c r="AP295" i="11"/>
  <c r="AK294" i="11"/>
  <c r="Z291" i="11"/>
  <c r="AA291" i="11"/>
  <c r="AE291" i="11" s="1"/>
  <c r="BA295" i="11"/>
  <c r="Z292" i="11"/>
  <c r="AC288" i="11"/>
  <c r="AK289" i="11"/>
  <c r="Z285" i="11"/>
  <c r="AK288" i="11"/>
  <c r="Z286" i="11"/>
  <c r="AA286" i="11"/>
  <c r="AE286" i="11" s="1"/>
  <c r="AA289" i="11"/>
  <c r="AB288" i="11"/>
  <c r="AB286" i="11"/>
  <c r="AF286" i="11" s="1"/>
  <c r="AA288" i="11"/>
  <c r="AB289" i="11"/>
  <c r="AD287" i="11"/>
  <c r="AP289" i="11"/>
  <c r="AY286" i="11"/>
  <c r="AA285" i="11"/>
  <c r="AE285" i="11" s="1"/>
  <c r="AD282" i="11"/>
  <c r="AA282" i="11"/>
  <c r="AC282" i="11"/>
  <c r="AK283" i="11"/>
  <c r="AB280" i="11"/>
  <c r="AF280" i="11" s="1"/>
  <c r="AP283" i="11"/>
  <c r="AB282" i="11"/>
  <c r="AY280" i="11"/>
  <c r="AW282" i="11"/>
  <c r="AK282" i="11"/>
  <c r="AM282" i="11" s="1"/>
  <c r="AN282" i="11" s="1"/>
  <c r="Z279" i="11"/>
  <c r="Z281" i="11"/>
  <c r="AA279" i="11"/>
  <c r="AE279" i="11" s="1"/>
  <c r="Z280" i="11"/>
  <c r="AK277" i="11"/>
  <c r="AA277" i="11"/>
  <c r="AP276" i="11"/>
  <c r="AA273" i="11"/>
  <c r="AE273" i="11" s="1"/>
  <c r="AD276" i="11"/>
  <c r="AB277" i="11"/>
  <c r="AB275" i="11"/>
  <c r="AF275" i="11" s="1"/>
  <c r="AP277" i="11"/>
  <c r="AA276" i="11"/>
  <c r="AC276" i="11"/>
  <c r="AB276" i="11"/>
  <c r="AY274" i="11"/>
  <c r="AW276" i="11"/>
  <c r="AK276" i="11"/>
  <c r="Z273" i="11"/>
  <c r="Z275" i="11"/>
  <c r="AF274" i="11"/>
  <c r="Z274" i="11"/>
  <c r="AR270" i="11"/>
  <c r="AU270" i="11"/>
  <c r="AC270" i="11"/>
  <c r="AD270" i="11"/>
  <c r="AA270" i="11"/>
  <c r="AA271" i="11"/>
  <c r="BA267" i="11"/>
  <c r="BC271" i="11"/>
  <c r="AB271" i="11"/>
  <c r="AP271" i="11"/>
  <c r="AK270" i="11"/>
  <c r="Z267" i="11"/>
  <c r="Z269" i="11"/>
  <c r="AA267" i="11"/>
  <c r="AE267" i="11" s="1"/>
  <c r="BA271" i="11"/>
  <c r="Z268" i="11"/>
  <c r="AA264" i="11"/>
  <c r="Z262" i="11"/>
  <c r="AK265" i="11"/>
  <c r="AK264" i="11"/>
  <c r="AB262" i="11"/>
  <c r="AF262" i="11" s="1"/>
  <c r="AD265" i="11"/>
  <c r="AP264" i="11"/>
  <c r="AC264" i="11"/>
  <c r="Z264" i="11" s="1"/>
  <c r="AP265" i="11"/>
  <c r="Z263" i="11"/>
  <c r="AA261" i="11"/>
  <c r="AE261" i="11" s="1"/>
  <c r="BA265" i="11"/>
  <c r="AD258" i="11"/>
  <c r="AA258" i="11"/>
  <c r="AK258" i="11"/>
  <c r="AK259" i="11"/>
  <c r="AB258" i="11"/>
  <c r="AC258" i="11"/>
  <c r="AP258" i="11"/>
  <c r="AP259" i="11"/>
  <c r="AY256" i="11"/>
  <c r="AW258" i="11"/>
  <c r="Z255" i="11"/>
  <c r="Z257" i="11"/>
  <c r="AA255" i="11"/>
  <c r="AE255" i="11" s="1"/>
  <c r="BA259" i="11"/>
  <c r="Z256" i="11"/>
  <c r="AA250" i="11"/>
  <c r="AE250" i="11" s="1"/>
  <c r="AD253" i="11"/>
  <c r="AP252" i="11"/>
  <c r="AA249" i="11"/>
  <c r="AE249" i="11" s="1"/>
  <c r="Z250" i="11"/>
  <c r="AC253" i="11"/>
  <c r="AA253" i="11"/>
  <c r="AB250" i="11"/>
  <c r="AF250" i="11" s="1"/>
  <c r="AE251" i="11"/>
  <c r="AP253" i="11"/>
  <c r="AY250" i="11"/>
  <c r="Z252" i="11"/>
  <c r="AW252" i="11"/>
  <c r="AK252" i="11"/>
  <c r="Z249" i="11"/>
  <c r="Z251" i="11"/>
  <c r="AY247" i="11"/>
  <c r="AB245" i="11"/>
  <c r="AF245" i="11" s="1"/>
  <c r="AP247" i="11"/>
  <c r="AP246" i="11"/>
  <c r="AA243" i="11"/>
  <c r="AE243" i="11" s="1"/>
  <c r="Z244" i="11"/>
  <c r="AC247" i="11"/>
  <c r="AA247" i="11"/>
  <c r="AA244" i="11"/>
  <c r="AE244" i="11" s="1"/>
  <c r="AB247" i="11"/>
  <c r="AD246" i="11"/>
  <c r="Z246" i="11" s="1"/>
  <c r="AK247" i="11"/>
  <c r="AY244" i="11"/>
  <c r="AW246" i="11"/>
  <c r="AK246" i="11"/>
  <c r="Z243" i="11"/>
  <c r="Z245" i="11"/>
  <c r="AY238" i="11"/>
  <c r="BC239" i="11"/>
  <c r="BE241" i="11" s="1"/>
  <c r="AW240" i="11"/>
  <c r="AD240" i="11"/>
  <c r="Z238" i="11"/>
  <c r="Z237" i="11"/>
  <c r="AC240" i="11"/>
  <c r="AA237" i="11"/>
  <c r="AE237" i="11" s="1"/>
  <c r="AB238" i="11"/>
  <c r="AF238" i="11" s="1"/>
  <c r="AA240" i="11"/>
  <c r="Z239" i="11"/>
  <c r="AB232" i="11"/>
  <c r="AF232" i="11" s="1"/>
  <c r="AB231" i="11"/>
  <c r="AF231" i="11" s="1"/>
  <c r="Z231" i="11"/>
  <c r="AK234" i="11"/>
  <c r="AK235" i="11"/>
  <c r="AP234" i="11"/>
  <c r="AU234" i="11" s="1"/>
  <c r="AA231" i="11"/>
  <c r="AE231" i="11" s="1"/>
  <c r="AD235" i="11"/>
  <c r="AA235" i="11"/>
  <c r="AE235" i="11" s="1"/>
  <c r="AB234" i="11"/>
  <c r="AF234" i="11" s="1"/>
  <c r="AP235" i="11"/>
  <c r="Z232" i="11"/>
  <c r="AW234" i="11"/>
  <c r="BE231" i="11" s="1"/>
  <c r="Z233" i="11"/>
  <c r="Z234" i="11"/>
  <c r="Z226" i="11"/>
  <c r="AD228" i="11"/>
  <c r="AK228" i="11"/>
  <c r="AK229" i="11"/>
  <c r="Z225" i="11"/>
  <c r="AA225" i="11"/>
  <c r="AE225" i="11" s="1"/>
  <c r="AP228" i="11"/>
  <c r="AC228" i="11"/>
  <c r="AP229" i="11"/>
  <c r="AU229" i="11" s="1"/>
  <c r="AB225" i="11"/>
  <c r="AF225" i="11" s="1"/>
  <c r="Z227" i="11"/>
  <c r="AW228" i="11"/>
  <c r="BE225" i="11" s="1"/>
  <c r="BC228" i="11"/>
  <c r="BC229" i="11" s="1"/>
  <c r="AY226" i="11"/>
  <c r="BC223" i="11"/>
  <c r="AY223" i="11"/>
  <c r="T219" i="11"/>
  <c r="AB222" i="11"/>
  <c r="AF222" i="11" s="1"/>
  <c r="AA222" i="11"/>
  <c r="AE222" i="11" s="1"/>
  <c r="AP223" i="11"/>
  <c r="AB219" i="11"/>
  <c r="AF219" i="11" s="1"/>
  <c r="AA223" i="11"/>
  <c r="AA220" i="11"/>
  <c r="AE220" i="11" s="1"/>
  <c r="Z221" i="11"/>
  <c r="AB220" i="11"/>
  <c r="AF220" i="11" s="1"/>
  <c r="AA221" i="11"/>
  <c r="AE221" i="11" s="1"/>
  <c r="AA219" i="11"/>
  <c r="AE219" i="11" s="1"/>
  <c r="AP222" i="11"/>
  <c r="AB221" i="11"/>
  <c r="AF221" i="11" s="1"/>
  <c r="AB223" i="11"/>
  <c r="Z220" i="11"/>
  <c r="AK223" i="11"/>
  <c r="AC223" i="11"/>
  <c r="AY220" i="11"/>
  <c r="Z222" i="11"/>
  <c r="AW222" i="11"/>
  <c r="AD223" i="11"/>
  <c r="AK222" i="11"/>
  <c r="AG309" i="11" l="1"/>
  <c r="AH309" i="11" s="1"/>
  <c r="AR282" i="11"/>
  <c r="AG285" i="11"/>
  <c r="AH285" i="11" s="1"/>
  <c r="Z258" i="11"/>
  <c r="AG261" i="11"/>
  <c r="AH261" i="11" s="1"/>
  <c r="AR240" i="11"/>
  <c r="AM294" i="11"/>
  <c r="AN294" i="11" s="1"/>
  <c r="Z324" i="11"/>
  <c r="BA315" i="11"/>
  <c r="BC319" i="11"/>
  <c r="AG233" i="11"/>
  <c r="AH233" i="11" s="1"/>
  <c r="BC331" i="11"/>
  <c r="AG297" i="11"/>
  <c r="AH297" i="11" s="1"/>
  <c r="BE291" i="11"/>
  <c r="AF307" i="11"/>
  <c r="AM270" i="11"/>
  <c r="AN270" i="11" s="1"/>
  <c r="Z270" i="11"/>
  <c r="AG255" i="11"/>
  <c r="AH255" i="11" s="1"/>
  <c r="AF253" i="11"/>
  <c r="Z228" i="11"/>
  <c r="AF235" i="11"/>
  <c r="BA285" i="11"/>
  <c r="AU294" i="11"/>
  <c r="BA297" i="11"/>
  <c r="AG298" i="11"/>
  <c r="AH298" i="11" s="1"/>
  <c r="AG273" i="11"/>
  <c r="AH273" i="11" s="1"/>
  <c r="AG329" i="11"/>
  <c r="AH329" i="11" s="1"/>
  <c r="AF265" i="11"/>
  <c r="AR288" i="11"/>
  <c r="AU300" i="11"/>
  <c r="AM312" i="11"/>
  <c r="AN312" i="11" s="1"/>
  <c r="Z329" i="11"/>
  <c r="AG279" i="11"/>
  <c r="AH279" i="11" s="1"/>
  <c r="AG321" i="11"/>
  <c r="AH321" i="11" s="1"/>
  <c r="Z330" i="11"/>
  <c r="AF330" i="11"/>
  <c r="AM240" i="11"/>
  <c r="AN240" i="11" s="1"/>
  <c r="AG267" i="11"/>
  <c r="AH267" i="11" s="1"/>
  <c r="AG226" i="11"/>
  <c r="AH226" i="11" s="1"/>
  <c r="BC307" i="11"/>
  <c r="BA327" i="11"/>
  <c r="AG311" i="11"/>
  <c r="AH311" i="11" s="1"/>
  <c r="AM330" i="11"/>
  <c r="AN330" i="11" s="1"/>
  <c r="AM252" i="11"/>
  <c r="AN252" i="11" s="1"/>
  <c r="AG323" i="11"/>
  <c r="AH323" i="11" s="1"/>
  <c r="AG281" i="11"/>
  <c r="AH281" i="11" s="1"/>
  <c r="AG238" i="11"/>
  <c r="AH238" i="11" s="1"/>
  <c r="AG317" i="11"/>
  <c r="AH317" i="11" s="1"/>
  <c r="AM318" i="11"/>
  <c r="AN318" i="11" s="1"/>
  <c r="BA261" i="11"/>
  <c r="AG237" i="11"/>
  <c r="AH237" i="11" s="1"/>
  <c r="AG252" i="11"/>
  <c r="AH252" i="11" s="1"/>
  <c r="AG303" i="11"/>
  <c r="AH303" i="11" s="1"/>
  <c r="Z294" i="11"/>
  <c r="AG262" i="11"/>
  <c r="AH262" i="11" s="1"/>
  <c r="AG243" i="11"/>
  <c r="AH243" i="11" s="1"/>
  <c r="AG286" i="11"/>
  <c r="AH286" i="11" s="1"/>
  <c r="AG291" i="11"/>
  <c r="AH291" i="11" s="1"/>
  <c r="AG328" i="11"/>
  <c r="AH328" i="11" s="1"/>
  <c r="Z240" i="11"/>
  <c r="AG251" i="11"/>
  <c r="AH251" i="11" s="1"/>
  <c r="AG263" i="11"/>
  <c r="AH263" i="11" s="1"/>
  <c r="AG234" i="11"/>
  <c r="AH234" i="11" s="1"/>
  <c r="AM306" i="11"/>
  <c r="AN306" i="11" s="1"/>
  <c r="AG327" i="11"/>
  <c r="AH327" i="11" s="1"/>
  <c r="AG245" i="11"/>
  <c r="AH245" i="11" s="1"/>
  <c r="AG249" i="11"/>
  <c r="AH249" i="11" s="1"/>
  <c r="AG274" i="11"/>
  <c r="AH274" i="11" s="1"/>
  <c r="AR234" i="11"/>
  <c r="AM234" i="11"/>
  <c r="AN234" i="11" s="1"/>
  <c r="AG256" i="11"/>
  <c r="AH256" i="11" s="1"/>
  <c r="AM324" i="11"/>
  <c r="AN324" i="11" s="1"/>
  <c r="AM288" i="11"/>
  <c r="AN288" i="11" s="1"/>
  <c r="AC295" i="11"/>
  <c r="AE295" i="11" s="1"/>
  <c r="AG292" i="11"/>
  <c r="AH292" i="11" s="1"/>
  <c r="AE247" i="11"/>
  <c r="AE223" i="11"/>
  <c r="AG232" i="11"/>
  <c r="AH232" i="11" s="1"/>
  <c r="Z293" i="11"/>
  <c r="AE294" i="11"/>
  <c r="AG312" i="11"/>
  <c r="AH312" i="11" s="1"/>
  <c r="AG305" i="11"/>
  <c r="AH305" i="11" s="1"/>
  <c r="BC253" i="11"/>
  <c r="AU241" i="11"/>
  <c r="AR241" i="11"/>
  <c r="AS241" i="11" s="1"/>
  <c r="AE293" i="11"/>
  <c r="AG293" i="11" s="1"/>
  <c r="AH293" i="11" s="1"/>
  <c r="AU318" i="11"/>
  <c r="BC247" i="11"/>
  <c r="AG275" i="11"/>
  <c r="AH275" i="11" s="1"/>
  <c r="AG280" i="11"/>
  <c r="AH280" i="11" s="1"/>
  <c r="AG310" i="11"/>
  <c r="AH310" i="11" s="1"/>
  <c r="AE319" i="11"/>
  <c r="AG319" i="11" s="1"/>
  <c r="AH319" i="11" s="1"/>
  <c r="AR330" i="11"/>
  <c r="AU330" i="11"/>
  <c r="AE330" i="11"/>
  <c r="AC331" i="11"/>
  <c r="AF331" i="11"/>
  <c r="AU331" i="11"/>
  <c r="AR331" i="11"/>
  <c r="AS331" i="11" s="1"/>
  <c r="BE321" i="11"/>
  <c r="BA321" i="11"/>
  <c r="AF324" i="11"/>
  <c r="AD325" i="11"/>
  <c r="AF325" i="11" s="1"/>
  <c r="AE324" i="11"/>
  <c r="AC325" i="11"/>
  <c r="AU325" i="11"/>
  <c r="AR325" i="11"/>
  <c r="AS325" i="11" s="1"/>
  <c r="AG322" i="11"/>
  <c r="AH322" i="11" s="1"/>
  <c r="AR324" i="11"/>
  <c r="AU324" i="11"/>
  <c r="AR319" i="11"/>
  <c r="AS319" i="11" s="1"/>
  <c r="AU319" i="11"/>
  <c r="BA314" i="11" s="1"/>
  <c r="AG315" i="11"/>
  <c r="AH315" i="11" s="1"/>
  <c r="AG318" i="11"/>
  <c r="AH318" i="11" s="1"/>
  <c r="AS318" i="11"/>
  <c r="AG316" i="11"/>
  <c r="AH316" i="11" s="1"/>
  <c r="Z319" i="11"/>
  <c r="AF313" i="11"/>
  <c r="AU313" i="11"/>
  <c r="BE308" i="11" s="1"/>
  <c r="AR313" i="11"/>
  <c r="AS313" i="11" s="1"/>
  <c r="AE313" i="11"/>
  <c r="AS312" i="11"/>
  <c r="BE309" i="11"/>
  <c r="BA309" i="11"/>
  <c r="Z313" i="11"/>
  <c r="BE303" i="11"/>
  <c r="BA303" i="11"/>
  <c r="AG304" i="11"/>
  <c r="AH304" i="11" s="1"/>
  <c r="AU307" i="11"/>
  <c r="AR307" i="11"/>
  <c r="AS307" i="11" s="1"/>
  <c r="AR306" i="11"/>
  <c r="AU306" i="11"/>
  <c r="AE306" i="11"/>
  <c r="AG306" i="11" s="1"/>
  <c r="AH306" i="11" s="1"/>
  <c r="AC307" i="11"/>
  <c r="AU301" i="11"/>
  <c r="BA296" i="11" s="1"/>
  <c r="AR301" i="11"/>
  <c r="AS301" i="11" s="1"/>
  <c r="AS300" i="11"/>
  <c r="AM300" i="11"/>
  <c r="AN300" i="11" s="1"/>
  <c r="AE300" i="11"/>
  <c r="AC301" i="11"/>
  <c r="AF300" i="11"/>
  <c r="AD301" i="11"/>
  <c r="AF301" i="11" s="1"/>
  <c r="Z300" i="11"/>
  <c r="AG299" i="11"/>
  <c r="AH299" i="11" s="1"/>
  <c r="AU295" i="11"/>
  <c r="AR295" i="11"/>
  <c r="AS295" i="11" s="1"/>
  <c r="AF294" i="11"/>
  <c r="AD295" i="11"/>
  <c r="AS294" i="11"/>
  <c r="AU289" i="11"/>
  <c r="BA284" i="11" s="1"/>
  <c r="AR289" i="11"/>
  <c r="AS289" i="11" s="1"/>
  <c r="AE288" i="11"/>
  <c r="AC289" i="11"/>
  <c r="AD288" i="11"/>
  <c r="AF287" i="11"/>
  <c r="AG287" i="11" s="1"/>
  <c r="AH287" i="11" s="1"/>
  <c r="AS288" i="11"/>
  <c r="Z287" i="11"/>
  <c r="AU283" i="11"/>
  <c r="BA278" i="11" s="1"/>
  <c r="AR283" i="11"/>
  <c r="AS283" i="11" s="1"/>
  <c r="AF282" i="11"/>
  <c r="AD283" i="11"/>
  <c r="AF283" i="11" s="1"/>
  <c r="BE279" i="11"/>
  <c r="BA279" i="11"/>
  <c r="AE282" i="11"/>
  <c r="AC283" i="11"/>
  <c r="AS282" i="11"/>
  <c r="Z282" i="11"/>
  <c r="AF276" i="11"/>
  <c r="AD277" i="11"/>
  <c r="AF277" i="11" s="1"/>
  <c r="AU277" i="11"/>
  <c r="AR277" i="11"/>
  <c r="AS277" i="11" s="1"/>
  <c r="AR276" i="11"/>
  <c r="AU276" i="11"/>
  <c r="BE273" i="11"/>
  <c r="BA273" i="11"/>
  <c r="AM276" i="11"/>
  <c r="AN276" i="11" s="1"/>
  <c r="Z276" i="11"/>
  <c r="AE276" i="11"/>
  <c r="AC277" i="11"/>
  <c r="AE270" i="11"/>
  <c r="AC271" i="11"/>
  <c r="AU271" i="11"/>
  <c r="BE266" i="11" s="1"/>
  <c r="AR271" i="11"/>
  <c r="AS271" i="11" s="1"/>
  <c r="AG269" i="11"/>
  <c r="AH269" i="11" s="1"/>
  <c r="AF270" i="11"/>
  <c r="AD271" i="11"/>
  <c r="AF271" i="11" s="1"/>
  <c r="AS270" i="11"/>
  <c r="AG268" i="11"/>
  <c r="AH268" i="11" s="1"/>
  <c r="AU265" i="11"/>
  <c r="AR265" i="11"/>
  <c r="AS265" i="11" s="1"/>
  <c r="AE264" i="11"/>
  <c r="AG264" i="11" s="1"/>
  <c r="AH264" i="11" s="1"/>
  <c r="AC265" i="11"/>
  <c r="AR264" i="11"/>
  <c r="AU264" i="11"/>
  <c r="AM264" i="11"/>
  <c r="AN264" i="11" s="1"/>
  <c r="AU259" i="11"/>
  <c r="AR259" i="11"/>
  <c r="AS259" i="11" s="1"/>
  <c r="AR258" i="11"/>
  <c r="AU258" i="11"/>
  <c r="AM258" i="11"/>
  <c r="AN258" i="11" s="1"/>
  <c r="AE258" i="11"/>
  <c r="AC259" i="11"/>
  <c r="BE255" i="11"/>
  <c r="BA255" i="11"/>
  <c r="AG257" i="11"/>
  <c r="AH257" i="11" s="1"/>
  <c r="AF258" i="11"/>
  <c r="AD259" i="11"/>
  <c r="AF259" i="11" s="1"/>
  <c r="AG250" i="11"/>
  <c r="AH250" i="11" s="1"/>
  <c r="AR252" i="11"/>
  <c r="AU252" i="11"/>
  <c r="AE253" i="11"/>
  <c r="Z253" i="11"/>
  <c r="AU253" i="11"/>
  <c r="AR253" i="11"/>
  <c r="AS253" i="11" s="1"/>
  <c r="BE249" i="11"/>
  <c r="BA249" i="11"/>
  <c r="BE243" i="11"/>
  <c r="BA243" i="11"/>
  <c r="AG244" i="11"/>
  <c r="AH244" i="11" s="1"/>
  <c r="AR246" i="11"/>
  <c r="AU246" i="11"/>
  <c r="AF246" i="11"/>
  <c r="AG246" i="11" s="1"/>
  <c r="AH246" i="11" s="1"/>
  <c r="AD247" i="11"/>
  <c r="AU247" i="11"/>
  <c r="AR247" i="11"/>
  <c r="AS247" i="11" s="1"/>
  <c r="AM246" i="11"/>
  <c r="AN246" i="11" s="1"/>
  <c r="BE237" i="11"/>
  <c r="BA237" i="11"/>
  <c r="BC241" i="11"/>
  <c r="AS239" i="11"/>
  <c r="AS240" i="11"/>
  <c r="AC241" i="11"/>
  <c r="AE240" i="11"/>
  <c r="AG239" i="11"/>
  <c r="AH239" i="11" s="1"/>
  <c r="AD241" i="11"/>
  <c r="AF241" i="11" s="1"/>
  <c r="AF240" i="11"/>
  <c r="BA231" i="11"/>
  <c r="Z235" i="11"/>
  <c r="AG235" i="11"/>
  <c r="AH235" i="11" s="1"/>
  <c r="AG231" i="11"/>
  <c r="AH231" i="11" s="1"/>
  <c r="AU235" i="11"/>
  <c r="AR235" i="11"/>
  <c r="AM228" i="11"/>
  <c r="AN228" i="11" s="1"/>
  <c r="AU228" i="11"/>
  <c r="AR228" i="11"/>
  <c r="AS228" i="11" s="1"/>
  <c r="BA225" i="11"/>
  <c r="AG227" i="11"/>
  <c r="AH227" i="11" s="1"/>
  <c r="AR229" i="11"/>
  <c r="AS229" i="11" s="1"/>
  <c r="AC229" i="11"/>
  <c r="AE228" i="11"/>
  <c r="AD229" i="11"/>
  <c r="AF229" i="11" s="1"/>
  <c r="AF228" i="11"/>
  <c r="AG225" i="11"/>
  <c r="AH225" i="11" s="1"/>
  <c r="AS234" i="11"/>
  <c r="AF223" i="11"/>
  <c r="AG223" i="11" s="1"/>
  <c r="AH223" i="11" s="1"/>
  <c r="AG222" i="11"/>
  <c r="AH222" i="11" s="1"/>
  <c r="AM222" i="11"/>
  <c r="AN222" i="11" s="1"/>
  <c r="AG221" i="11"/>
  <c r="AH221" i="11" s="1"/>
  <c r="AR222" i="11"/>
  <c r="AU222" i="11"/>
  <c r="AU223" i="11"/>
  <c r="AR223" i="11"/>
  <c r="AS223" i="11" s="1"/>
  <c r="BA219" i="11"/>
  <c r="BE219" i="11"/>
  <c r="AG220" i="11"/>
  <c r="AH220" i="11" s="1"/>
  <c r="Z223" i="11"/>
  <c r="AG219" i="11"/>
  <c r="AH219" i="11" s="1"/>
  <c r="BA290" i="11" l="1"/>
  <c r="AG253" i="11"/>
  <c r="AH253" i="11" s="1"/>
  <c r="AG294" i="11"/>
  <c r="AH294" i="11" s="1"/>
  <c r="AG330" i="11"/>
  <c r="AH330" i="11" s="1"/>
  <c r="BE290" i="11"/>
  <c r="AG270" i="11"/>
  <c r="AH270" i="11" s="1"/>
  <c r="AG313" i="11"/>
  <c r="AH313" i="11" s="1"/>
  <c r="BE314" i="11"/>
  <c r="BE296" i="11"/>
  <c r="AS299" i="11"/>
  <c r="BE236" i="11"/>
  <c r="BA236" i="11"/>
  <c r="AS317" i="11"/>
  <c r="AS311" i="11"/>
  <c r="AS293" i="11"/>
  <c r="AS287" i="11"/>
  <c r="AS281" i="11"/>
  <c r="BE278" i="11"/>
  <c r="BA266" i="11"/>
  <c r="AS269" i="11"/>
  <c r="AS227" i="11"/>
  <c r="AS221" i="11"/>
  <c r="AE331" i="11"/>
  <c r="AG331" i="11" s="1"/>
  <c r="AH331" i="11" s="1"/>
  <c r="Z331" i="11"/>
  <c r="BE326" i="11"/>
  <c r="BA326" i="11"/>
  <c r="AS330" i="11"/>
  <c r="AS329" i="11"/>
  <c r="AE325" i="11"/>
  <c r="AG325" i="11" s="1"/>
  <c r="AH325" i="11" s="1"/>
  <c r="Z325" i="11"/>
  <c r="BE320" i="11"/>
  <c r="BA320" i="11"/>
  <c r="AG324" i="11"/>
  <c r="AH324" i="11" s="1"/>
  <c r="AS324" i="11"/>
  <c r="AS323" i="11"/>
  <c r="BA308" i="11"/>
  <c r="AS306" i="11"/>
  <c r="AS305" i="11"/>
  <c r="AE307" i="11"/>
  <c r="AG307" i="11" s="1"/>
  <c r="AH307" i="11" s="1"/>
  <c r="Z307" i="11"/>
  <c r="BE302" i="11"/>
  <c r="BA302" i="11"/>
  <c r="AG300" i="11"/>
  <c r="AH300" i="11" s="1"/>
  <c r="AE301" i="11"/>
  <c r="AG301" i="11" s="1"/>
  <c r="AH301" i="11" s="1"/>
  <c r="Z301" i="11"/>
  <c r="AF295" i="11"/>
  <c r="AG295" i="11" s="1"/>
  <c r="AH295" i="11" s="1"/>
  <c r="Z295" i="11"/>
  <c r="AF288" i="11"/>
  <c r="AG288" i="11" s="1"/>
  <c r="AH288" i="11" s="1"/>
  <c r="AD289" i="11"/>
  <c r="AF289" i="11" s="1"/>
  <c r="Z288" i="11"/>
  <c r="AE289" i="11"/>
  <c r="BE284" i="11"/>
  <c r="AG282" i="11"/>
  <c r="AH282" i="11" s="1"/>
  <c r="AE283" i="11"/>
  <c r="AG283" i="11" s="1"/>
  <c r="AH283" i="11" s="1"/>
  <c r="Z283" i="11"/>
  <c r="AS276" i="11"/>
  <c r="AS275" i="11"/>
  <c r="BE272" i="11"/>
  <c r="BA272" i="11"/>
  <c r="AE277" i="11"/>
  <c r="AG277" i="11" s="1"/>
  <c r="AH277" i="11" s="1"/>
  <c r="Z277" i="11"/>
  <c r="AG276" i="11"/>
  <c r="AH276" i="11" s="1"/>
  <c r="AE271" i="11"/>
  <c r="AG271" i="11" s="1"/>
  <c r="AH271" i="11" s="1"/>
  <c r="Z271" i="11"/>
  <c r="BE260" i="11"/>
  <c r="BA260" i="11"/>
  <c r="AS264" i="11"/>
  <c r="AS263" i="11"/>
  <c r="AE265" i="11"/>
  <c r="AG265" i="11" s="1"/>
  <c r="AH265" i="11" s="1"/>
  <c r="Z265" i="11"/>
  <c r="AE259" i="11"/>
  <c r="AG259" i="11" s="1"/>
  <c r="AH259" i="11" s="1"/>
  <c r="Z259" i="11"/>
  <c r="BE254" i="11"/>
  <c r="BA254" i="11"/>
  <c r="AS258" i="11"/>
  <c r="AS257" i="11"/>
  <c r="AG258" i="11"/>
  <c r="AH258" i="11" s="1"/>
  <c r="BE248" i="11"/>
  <c r="BA248" i="11"/>
  <c r="AS252" i="11"/>
  <c r="AS251" i="11"/>
  <c r="BE242" i="11"/>
  <c r="BA242" i="11"/>
  <c r="AS246" i="11"/>
  <c r="AS245" i="11"/>
  <c r="AF247" i="11"/>
  <c r="AG247" i="11" s="1"/>
  <c r="AH247" i="11" s="1"/>
  <c r="Z247" i="11"/>
  <c r="AE241" i="11"/>
  <c r="AG241" i="11" s="1"/>
  <c r="AH241" i="11" s="1"/>
  <c r="Z241" i="11"/>
  <c r="AG240" i="11"/>
  <c r="AH240" i="11" s="1"/>
  <c r="AS235" i="11"/>
  <c r="AS233" i="11"/>
  <c r="BA230" i="11"/>
  <c r="BE230" i="11"/>
  <c r="AG228" i="11"/>
  <c r="AH228" i="11" s="1"/>
  <c r="BE224" i="11"/>
  <c r="BA224" i="11"/>
  <c r="AE229" i="11"/>
  <c r="AG229" i="11" s="1"/>
  <c r="AH229" i="11" s="1"/>
  <c r="Z229" i="11"/>
  <c r="BE218" i="11"/>
  <c r="BA218" i="11"/>
  <c r="AS222" i="11"/>
  <c r="AG289" i="11" l="1"/>
  <c r="AH289" i="11" s="1"/>
  <c r="Z289" i="11"/>
  <c r="C400" i="2" l="1"/>
  <c r="C399" i="2"/>
  <c r="C398" i="2"/>
  <c r="E398" i="2" l="1"/>
  <c r="D398" i="2"/>
  <c r="B399" i="2"/>
  <c r="C318" i="2"/>
  <c r="D318" i="2" s="1"/>
  <c r="E318" i="2" s="1"/>
  <c r="E308" i="2"/>
  <c r="E307" i="2"/>
  <c r="C287" i="2"/>
  <c r="C286" i="2"/>
  <c r="D266" i="2"/>
  <c r="D267" i="2"/>
  <c r="D265" i="2"/>
  <c r="C264" i="2"/>
  <c r="D263" i="2"/>
  <c r="C263" i="2"/>
  <c r="E108" i="2"/>
  <c r="E96" i="2" s="1"/>
  <c r="E97" i="2" s="1"/>
  <c r="E105" i="2"/>
  <c r="E104" i="2" s="1"/>
  <c r="D284" i="2" s="1"/>
  <c r="E60" i="2"/>
  <c r="E45" i="2"/>
  <c r="E41" i="2"/>
  <c r="D312" i="2"/>
  <c r="E312" i="2" s="1"/>
  <c r="D313" i="2"/>
  <c r="E313" i="2" s="1"/>
  <c r="D314" i="2"/>
  <c r="E314" i="2" s="1"/>
  <c r="D315" i="2"/>
  <c r="E315" i="2" s="1"/>
  <c r="D316" i="2"/>
  <c r="E316" i="2" s="1"/>
  <c r="D317" i="2"/>
  <c r="E317" i="2" s="1"/>
  <c r="D311" i="2"/>
  <c r="E311" i="2" s="1"/>
  <c r="E42" i="2"/>
  <c r="AM207" i="11"/>
  <c r="X207" i="11"/>
  <c r="W207" i="11"/>
  <c r="V207" i="11"/>
  <c r="AY206" i="11"/>
  <c r="BC205" i="11" s="1"/>
  <c r="X206" i="11"/>
  <c r="W206" i="11"/>
  <c r="V206" i="11"/>
  <c r="AY205" i="11"/>
  <c r="AQ205" i="11"/>
  <c r="X205" i="11"/>
  <c r="W205" i="11"/>
  <c r="V205" i="11"/>
  <c r="AV204" i="11"/>
  <c r="AY204" i="11" s="1"/>
  <c r="AD204" i="11"/>
  <c r="AC204" i="11"/>
  <c r="Y204" i="11"/>
  <c r="X204" i="11"/>
  <c r="W204" i="11"/>
  <c r="V204" i="11"/>
  <c r="AA204" i="11" s="1"/>
  <c r="X203" i="11"/>
  <c r="W203" i="11"/>
  <c r="V203" i="11"/>
  <c r="AW206" i="11"/>
  <c r="BA203" i="11" s="1"/>
  <c r="T203" i="11"/>
  <c r="AM201" i="11"/>
  <c r="X201" i="11"/>
  <c r="W201" i="11"/>
  <c r="V201" i="11"/>
  <c r="AY200" i="11"/>
  <c r="BC199" i="11" s="1"/>
  <c r="X200" i="11"/>
  <c r="W200" i="11"/>
  <c r="V200" i="11"/>
  <c r="AY199" i="11"/>
  <c r="AY201" i="11" s="1"/>
  <c r="AQ199" i="11"/>
  <c r="X199" i="11"/>
  <c r="W199" i="11"/>
  <c r="V199" i="11"/>
  <c r="AV198" i="11"/>
  <c r="AD198" i="11"/>
  <c r="AC198" i="11"/>
  <c r="AC199" i="11" s="1"/>
  <c r="Y198" i="11"/>
  <c r="X198" i="11"/>
  <c r="W198" i="11"/>
  <c r="V198" i="11"/>
  <c r="AB198" i="11" s="1"/>
  <c r="AF198" i="11" s="1"/>
  <c r="X197" i="11"/>
  <c r="W197" i="11"/>
  <c r="V197" i="11"/>
  <c r="AJ197" i="11"/>
  <c r="AM195" i="11"/>
  <c r="X195" i="11"/>
  <c r="W195" i="11"/>
  <c r="V195" i="11"/>
  <c r="AY194" i="11"/>
  <c r="BC193" i="11" s="1"/>
  <c r="X194" i="11"/>
  <c r="W194" i="11"/>
  <c r="V194" i="11"/>
  <c r="AY193" i="11"/>
  <c r="AQ193" i="11"/>
  <c r="X193" i="11"/>
  <c r="W193" i="11"/>
  <c r="V193" i="11"/>
  <c r="AV192" i="11"/>
  <c r="AY192" i="11" s="1"/>
  <c r="AD192" i="11"/>
  <c r="AD193" i="11" s="1"/>
  <c r="AC192" i="11"/>
  <c r="AC193" i="11" s="1"/>
  <c r="AC194" i="11" s="1"/>
  <c r="Y192" i="11"/>
  <c r="X192" i="11"/>
  <c r="W192" i="11"/>
  <c r="V192" i="11"/>
  <c r="X191" i="11"/>
  <c r="W191" i="11"/>
  <c r="V191" i="11"/>
  <c r="T191" i="11"/>
  <c r="AM189" i="11"/>
  <c r="X189" i="11"/>
  <c r="W189" i="11"/>
  <c r="V189" i="11"/>
  <c r="AY188" i="11"/>
  <c r="BC187" i="11" s="1"/>
  <c r="X188" i="11"/>
  <c r="W188" i="11"/>
  <c r="V188" i="11"/>
  <c r="AY187" i="11"/>
  <c r="AQ187" i="11"/>
  <c r="X187" i="11"/>
  <c r="W187" i="11"/>
  <c r="V187" i="11"/>
  <c r="AV186" i="11"/>
  <c r="AD186" i="11"/>
  <c r="AD187" i="11" s="1"/>
  <c r="AD188" i="11" s="1"/>
  <c r="AD189" i="11" s="1"/>
  <c r="AC186" i="11"/>
  <c r="AC187" i="11" s="1"/>
  <c r="Y186" i="11"/>
  <c r="X186" i="11"/>
  <c r="W186" i="11"/>
  <c r="V186" i="11"/>
  <c r="X185" i="11"/>
  <c r="W185" i="11"/>
  <c r="V185" i="11"/>
  <c r="AM183" i="11"/>
  <c r="X183" i="11"/>
  <c r="W183" i="11"/>
  <c r="V183" i="11"/>
  <c r="AY182" i="11"/>
  <c r="BC181" i="11" s="1"/>
  <c r="X182" i="11"/>
  <c r="W182" i="11"/>
  <c r="V182" i="11"/>
  <c r="AY181" i="11"/>
  <c r="AQ181" i="11"/>
  <c r="X181" i="11"/>
  <c r="W181" i="11"/>
  <c r="V181" i="11"/>
  <c r="AV180" i="11"/>
  <c r="BC182" i="11" s="1"/>
  <c r="AD180" i="11"/>
  <c r="AD181" i="11" s="1"/>
  <c r="AD182" i="11" s="1"/>
  <c r="AD183" i="11" s="1"/>
  <c r="AC180" i="11"/>
  <c r="AC181" i="11" s="1"/>
  <c r="AC182" i="11" s="1"/>
  <c r="AC183" i="11" s="1"/>
  <c r="Y180" i="11"/>
  <c r="X180" i="11"/>
  <c r="W180" i="11"/>
  <c r="V180" i="11"/>
  <c r="X179" i="11"/>
  <c r="W179" i="11"/>
  <c r="V179" i="11"/>
  <c r="AJ179" i="11"/>
  <c r="AM177" i="11"/>
  <c r="X177" i="11"/>
  <c r="AB177" i="11" s="1"/>
  <c r="W177" i="11"/>
  <c r="V177" i="11"/>
  <c r="AY176" i="11"/>
  <c r="BC175" i="11" s="1"/>
  <c r="X176" i="11"/>
  <c r="W176" i="11"/>
  <c r="V176" i="11"/>
  <c r="AY175" i="11"/>
  <c r="AQ175" i="11"/>
  <c r="X175" i="11"/>
  <c r="W175" i="11"/>
  <c r="V175" i="11"/>
  <c r="AV174" i="11"/>
  <c r="BC176" i="11" s="1"/>
  <c r="AD174" i="11"/>
  <c r="AC174" i="11"/>
  <c r="AC175" i="11" s="1"/>
  <c r="AC176" i="11" s="1"/>
  <c r="Y174" i="11"/>
  <c r="X174" i="11"/>
  <c r="W174" i="11"/>
  <c r="V174" i="11"/>
  <c r="X173" i="11"/>
  <c r="W173" i="11"/>
  <c r="V173" i="11"/>
  <c r="Z173" i="11" s="1"/>
  <c r="AJ173" i="11"/>
  <c r="AM171" i="11"/>
  <c r="X171" i="11"/>
  <c r="W171" i="11"/>
  <c r="V171" i="11"/>
  <c r="AA171" i="11" s="1"/>
  <c r="AE171" i="11" s="1"/>
  <c r="AY170" i="11"/>
  <c r="BC169" i="11" s="1"/>
  <c r="X170" i="11"/>
  <c r="W170" i="11"/>
  <c r="V170" i="11"/>
  <c r="AB170" i="11" s="1"/>
  <c r="AY169" i="11"/>
  <c r="AQ169" i="11"/>
  <c r="X169" i="11"/>
  <c r="W169" i="11"/>
  <c r="V169" i="11"/>
  <c r="AV168" i="11"/>
  <c r="AY168" i="11" s="1"/>
  <c r="AD168" i="11"/>
  <c r="AC168" i="11"/>
  <c r="AC169" i="11" s="1"/>
  <c r="AC170" i="11" s="1"/>
  <c r="AC171" i="11" s="1"/>
  <c r="Y168" i="11"/>
  <c r="X168" i="11"/>
  <c r="W168" i="11"/>
  <c r="V168" i="11"/>
  <c r="X167" i="11"/>
  <c r="W167" i="11"/>
  <c r="V167" i="11"/>
  <c r="T167" i="11"/>
  <c r="AM165" i="11"/>
  <c r="X165" i="11"/>
  <c r="W165" i="11"/>
  <c r="V165" i="11"/>
  <c r="AY164" i="11"/>
  <c r="BC163" i="11" s="1"/>
  <c r="BC165" i="11" s="1"/>
  <c r="X164" i="11"/>
  <c r="W164" i="11"/>
  <c r="V164" i="11"/>
  <c r="AY163" i="11"/>
  <c r="AQ163" i="11"/>
  <c r="X163" i="11"/>
  <c r="W163" i="11"/>
  <c r="V163" i="11"/>
  <c r="AV162" i="11"/>
  <c r="BC164" i="11" s="1"/>
  <c r="AD162" i="11"/>
  <c r="AD163" i="11" s="1"/>
  <c r="AD164" i="11" s="1"/>
  <c r="AD165" i="11" s="1"/>
  <c r="AC162" i="11"/>
  <c r="AC163" i="11" s="1"/>
  <c r="AC164" i="11" s="1"/>
  <c r="Y162" i="11"/>
  <c r="X162" i="11"/>
  <c r="W162" i="11"/>
  <c r="V162" i="11"/>
  <c r="X161" i="11"/>
  <c r="W161" i="11"/>
  <c r="V161" i="11"/>
  <c r="T161" i="11"/>
  <c r="AM159" i="11"/>
  <c r="X159" i="11"/>
  <c r="W159" i="11"/>
  <c r="V159" i="11"/>
  <c r="AY158" i="11"/>
  <c r="BC157" i="11" s="1"/>
  <c r="X158" i="11"/>
  <c r="W158" i="11"/>
  <c r="V158" i="11"/>
  <c r="AY157" i="11"/>
  <c r="AQ157" i="11"/>
  <c r="X157" i="11"/>
  <c r="W157" i="11"/>
  <c r="V157" i="11"/>
  <c r="AV156" i="11"/>
  <c r="AD156" i="11"/>
  <c r="AD157" i="11" s="1"/>
  <c r="AD158" i="11" s="1"/>
  <c r="AC156" i="11"/>
  <c r="AC157" i="11" s="1"/>
  <c r="Y156" i="11"/>
  <c r="X156" i="11"/>
  <c r="W156" i="11"/>
  <c r="V156" i="11"/>
  <c r="X155" i="11"/>
  <c r="AB155" i="11" s="1"/>
  <c r="AF155" i="11" s="1"/>
  <c r="W155" i="11"/>
  <c r="V155" i="11"/>
  <c r="T155" i="11"/>
  <c r="AM153" i="11"/>
  <c r="X153" i="11"/>
  <c r="W153" i="11"/>
  <c r="V153" i="11"/>
  <c r="AY152" i="11"/>
  <c r="BC151" i="11" s="1"/>
  <c r="X152" i="11"/>
  <c r="W152" i="11"/>
  <c r="V152" i="11"/>
  <c r="AY151" i="11"/>
  <c r="AQ151" i="11"/>
  <c r="X151" i="11"/>
  <c r="W151" i="11"/>
  <c r="V151" i="11"/>
  <c r="AV150" i="11"/>
  <c r="AD150" i="11"/>
  <c r="AC150" i="11"/>
  <c r="AC151" i="11" s="1"/>
  <c r="AC152" i="11" s="1"/>
  <c r="Y150" i="11"/>
  <c r="X150" i="11"/>
  <c r="W150" i="11"/>
  <c r="V150" i="11"/>
  <c r="X149" i="11"/>
  <c r="W149" i="11"/>
  <c r="V149" i="11"/>
  <c r="Z149" i="11" s="1"/>
  <c r="AJ149" i="11"/>
  <c r="AM147" i="11"/>
  <c r="X147" i="11"/>
  <c r="W147" i="11"/>
  <c r="V147" i="11"/>
  <c r="AY146" i="11"/>
  <c r="BC145" i="11" s="1"/>
  <c r="X146" i="11"/>
  <c r="W146" i="11"/>
  <c r="V146" i="11"/>
  <c r="AY145" i="11"/>
  <c r="AQ145" i="11"/>
  <c r="X145" i="11"/>
  <c r="W145" i="11"/>
  <c r="V145" i="11"/>
  <c r="AB145" i="11" s="1"/>
  <c r="AF145" i="11" s="1"/>
  <c r="AV144" i="11"/>
  <c r="AD144" i="11"/>
  <c r="AD145" i="11" s="1"/>
  <c r="AD146" i="11" s="1"/>
  <c r="AD147" i="11" s="1"/>
  <c r="AC144" i="11"/>
  <c r="AC145" i="11" s="1"/>
  <c r="Y144" i="11"/>
  <c r="X144" i="11"/>
  <c r="W144" i="11"/>
  <c r="V144" i="11"/>
  <c r="X143" i="11"/>
  <c r="W143" i="11"/>
  <c r="V143" i="11"/>
  <c r="AJ143" i="11"/>
  <c r="AM141" i="11"/>
  <c r="X141" i="11"/>
  <c r="W141" i="11"/>
  <c r="V141" i="11"/>
  <c r="AY140" i="11"/>
  <c r="BC139" i="11" s="1"/>
  <c r="X140" i="11"/>
  <c r="W140" i="11"/>
  <c r="V140" i="11"/>
  <c r="AY139" i="11"/>
  <c r="AQ139" i="11"/>
  <c r="X139" i="11"/>
  <c r="W139" i="11"/>
  <c r="V139" i="11"/>
  <c r="AV138" i="11"/>
  <c r="AD138" i="11"/>
  <c r="AD139" i="11" s="1"/>
  <c r="AD140" i="11" s="1"/>
  <c r="AC138" i="11"/>
  <c r="AC139" i="11" s="1"/>
  <c r="AC140" i="11" s="1"/>
  <c r="Y138" i="11"/>
  <c r="X138" i="11"/>
  <c r="W138" i="11"/>
  <c r="V138" i="11"/>
  <c r="AA138" i="11" s="1"/>
  <c r="X137" i="11"/>
  <c r="W137" i="11"/>
  <c r="V137" i="11"/>
  <c r="Z137" i="11" s="1"/>
  <c r="AJ137" i="11"/>
  <c r="AM135" i="11"/>
  <c r="X135" i="11"/>
  <c r="W135" i="11"/>
  <c r="V135" i="11"/>
  <c r="AY134" i="11"/>
  <c r="BC133" i="11" s="1"/>
  <c r="X134" i="11"/>
  <c r="W134" i="11"/>
  <c r="V134" i="11"/>
  <c r="AY133" i="11"/>
  <c r="AQ133" i="11"/>
  <c r="X133" i="11"/>
  <c r="W133" i="11"/>
  <c r="V133" i="11"/>
  <c r="AV132" i="11"/>
  <c r="BC134" i="11" s="1"/>
  <c r="AD132" i="11"/>
  <c r="AD133" i="11" s="1"/>
  <c r="AC132" i="11"/>
  <c r="AC133" i="11" s="1"/>
  <c r="AC134" i="11" s="1"/>
  <c r="AC135" i="11" s="1"/>
  <c r="Y132" i="11"/>
  <c r="X132" i="11"/>
  <c r="W132" i="11"/>
  <c r="V132" i="11"/>
  <c r="X131" i="11"/>
  <c r="W131" i="11"/>
  <c r="V131" i="11"/>
  <c r="AJ131" i="11"/>
  <c r="AM129" i="11"/>
  <c r="X129" i="11"/>
  <c r="W129" i="11"/>
  <c r="V129" i="11"/>
  <c r="AY128" i="11"/>
  <c r="BC127" i="11" s="1"/>
  <c r="X128" i="11"/>
  <c r="W128" i="11"/>
  <c r="V128" i="11"/>
  <c r="AY127" i="11"/>
  <c r="AQ127" i="11"/>
  <c r="X127" i="11"/>
  <c r="W127" i="11"/>
  <c r="V127" i="11"/>
  <c r="AV126" i="11"/>
  <c r="AD126" i="11"/>
  <c r="AD127" i="11" s="1"/>
  <c r="AC126" i="11"/>
  <c r="AC127" i="11" s="1"/>
  <c r="AC128" i="11" s="1"/>
  <c r="Y126" i="11"/>
  <c r="X126" i="11"/>
  <c r="W126" i="11"/>
  <c r="V126" i="11"/>
  <c r="X125" i="11"/>
  <c r="W125" i="11"/>
  <c r="V125" i="11"/>
  <c r="T125" i="11"/>
  <c r="AM123" i="11"/>
  <c r="X123" i="11"/>
  <c r="W123" i="11"/>
  <c r="V123" i="11"/>
  <c r="AY122" i="11"/>
  <c r="BC121" i="11" s="1"/>
  <c r="X122" i="11"/>
  <c r="W122" i="11"/>
  <c r="V122" i="11"/>
  <c r="AY121" i="11"/>
  <c r="AQ121" i="11"/>
  <c r="X121" i="11"/>
  <c r="W121" i="11"/>
  <c r="V121" i="11"/>
  <c r="AV120" i="11"/>
  <c r="BC122" i="11" s="1"/>
  <c r="AD120" i="11"/>
  <c r="AD121" i="11" s="1"/>
  <c r="AD122" i="11" s="1"/>
  <c r="AC120" i="11"/>
  <c r="AC121" i="11" s="1"/>
  <c r="Y120" i="11"/>
  <c r="X120" i="11"/>
  <c r="W120" i="11"/>
  <c r="V120" i="11"/>
  <c r="X119" i="11"/>
  <c r="W119" i="11"/>
  <c r="V119" i="11"/>
  <c r="Z119" i="11" s="1"/>
  <c r="T119" i="11"/>
  <c r="AM117" i="11"/>
  <c r="X117" i="11"/>
  <c r="W117" i="11"/>
  <c r="V117" i="11"/>
  <c r="AY116" i="11"/>
  <c r="BC115" i="11" s="1"/>
  <c r="X116" i="11"/>
  <c r="W116" i="11"/>
  <c r="V116" i="11"/>
  <c r="AY115" i="11"/>
  <c r="AQ115" i="11"/>
  <c r="X115" i="11"/>
  <c r="W115" i="11"/>
  <c r="V115" i="11"/>
  <c r="AV114" i="11"/>
  <c r="AY114" i="11" s="1"/>
  <c r="AD114" i="11"/>
  <c r="AD115" i="11" s="1"/>
  <c r="AD116" i="11" s="1"/>
  <c r="AC114" i="11"/>
  <c r="AC115" i="11" s="1"/>
  <c r="AC116" i="11" s="1"/>
  <c r="Y114" i="11"/>
  <c r="X114" i="11"/>
  <c r="W114" i="11"/>
  <c r="V114" i="11"/>
  <c r="X113" i="11"/>
  <c r="W113" i="11"/>
  <c r="V113" i="11"/>
  <c r="Z113" i="11" s="1"/>
  <c r="T113" i="11"/>
  <c r="AM111" i="11"/>
  <c r="X111" i="11"/>
  <c r="W111" i="11"/>
  <c r="V111" i="11"/>
  <c r="AY110" i="11"/>
  <c r="BC109" i="11" s="1"/>
  <c r="X110" i="11"/>
  <c r="W110" i="11"/>
  <c r="V110" i="11"/>
  <c r="AY109" i="11"/>
  <c r="AQ109" i="11"/>
  <c r="X109" i="11"/>
  <c r="W109" i="11"/>
  <c r="V109" i="11"/>
  <c r="AB109" i="11" s="1"/>
  <c r="AV108" i="11"/>
  <c r="AD108" i="11"/>
  <c r="AD109" i="11" s="1"/>
  <c r="AD110" i="11" s="1"/>
  <c r="AD111" i="11" s="1"/>
  <c r="AC108" i="11"/>
  <c r="AC109" i="11" s="1"/>
  <c r="AC110" i="11" s="1"/>
  <c r="AC111" i="11" s="1"/>
  <c r="Y108" i="11"/>
  <c r="X108" i="11"/>
  <c r="W108" i="11"/>
  <c r="V108" i="11"/>
  <c r="X107" i="11"/>
  <c r="AP111" i="11" s="1"/>
  <c r="W107" i="11"/>
  <c r="V107" i="11"/>
  <c r="AJ107" i="11"/>
  <c r="AM105" i="11"/>
  <c r="X105" i="11"/>
  <c r="W105" i="11"/>
  <c r="V105" i="11"/>
  <c r="AY104" i="11"/>
  <c r="BC103" i="11" s="1"/>
  <c r="X104" i="11"/>
  <c r="W104" i="11"/>
  <c r="V104" i="11"/>
  <c r="AB104" i="11" s="1"/>
  <c r="AY103" i="11"/>
  <c r="AQ103" i="11"/>
  <c r="X103" i="11"/>
  <c r="W103" i="11"/>
  <c r="V103" i="11"/>
  <c r="AV102" i="11"/>
  <c r="AD102" i="11"/>
  <c r="AD103" i="11" s="1"/>
  <c r="AD104" i="11" s="1"/>
  <c r="AD105" i="11" s="1"/>
  <c r="AC102" i="11"/>
  <c r="AC103" i="11" s="1"/>
  <c r="AC104" i="11" s="1"/>
  <c r="AC105" i="11" s="1"/>
  <c r="Y102" i="11"/>
  <c r="X102" i="11"/>
  <c r="W102" i="11"/>
  <c r="V102" i="11"/>
  <c r="X101" i="11"/>
  <c r="W101" i="11"/>
  <c r="V101" i="11"/>
  <c r="Z101" i="11" s="1"/>
  <c r="AJ101" i="11"/>
  <c r="AM99" i="11"/>
  <c r="X99" i="11"/>
  <c r="W99" i="11"/>
  <c r="V99" i="11"/>
  <c r="AY98" i="11"/>
  <c r="BC97" i="11" s="1"/>
  <c r="X98" i="11"/>
  <c r="W98" i="11"/>
  <c r="V98" i="11"/>
  <c r="AY97" i="11"/>
  <c r="AQ97" i="11"/>
  <c r="X97" i="11"/>
  <c r="W97" i="11"/>
  <c r="V97" i="11"/>
  <c r="AV96" i="11"/>
  <c r="AD96" i="11"/>
  <c r="AD97" i="11" s="1"/>
  <c r="AD98" i="11" s="1"/>
  <c r="AD99" i="11" s="1"/>
  <c r="AC96" i="11"/>
  <c r="AC97" i="11" s="1"/>
  <c r="AC98" i="11" s="1"/>
  <c r="AC99" i="11" s="1"/>
  <c r="Y96" i="11"/>
  <c r="X96" i="11"/>
  <c r="W96" i="11"/>
  <c r="V96" i="11"/>
  <c r="X95" i="11"/>
  <c r="W95" i="11"/>
  <c r="V95" i="11"/>
  <c r="Z95" i="11" s="1"/>
  <c r="T95" i="11"/>
  <c r="AM93" i="11"/>
  <c r="X93" i="11"/>
  <c r="W93" i="11"/>
  <c r="V93" i="11"/>
  <c r="AY92" i="11"/>
  <c r="BC91" i="11" s="1"/>
  <c r="X92" i="11"/>
  <c r="W92" i="11"/>
  <c r="V92" i="11"/>
  <c r="AY91" i="11"/>
  <c r="AQ91" i="11"/>
  <c r="X91" i="11"/>
  <c r="W91" i="11"/>
  <c r="V91" i="11"/>
  <c r="AV90" i="11"/>
  <c r="AD90" i="11"/>
  <c r="AD91" i="11" s="1"/>
  <c r="AC90" i="11"/>
  <c r="AC91" i="11" s="1"/>
  <c r="Y90" i="11"/>
  <c r="X90" i="11"/>
  <c r="W90" i="11"/>
  <c r="V90" i="11"/>
  <c r="X89" i="11"/>
  <c r="W89" i="11"/>
  <c r="V89" i="11"/>
  <c r="Z89" i="11" s="1"/>
  <c r="T89" i="11"/>
  <c r="AM87" i="11"/>
  <c r="X87" i="11"/>
  <c r="W87" i="11"/>
  <c r="V87" i="11"/>
  <c r="AY86" i="11"/>
  <c r="BC85" i="11" s="1"/>
  <c r="X86" i="11"/>
  <c r="W86" i="11"/>
  <c r="V86" i="11"/>
  <c r="AY85" i="11"/>
  <c r="AY87" i="11" s="1"/>
  <c r="AQ85" i="11"/>
  <c r="X85" i="11"/>
  <c r="W85" i="11"/>
  <c r="V85" i="11"/>
  <c r="AV84" i="11"/>
  <c r="BC86" i="11" s="1"/>
  <c r="AD84" i="11"/>
  <c r="AD85" i="11" s="1"/>
  <c r="AD86" i="11" s="1"/>
  <c r="AD87" i="11" s="1"/>
  <c r="AC84" i="11"/>
  <c r="AC85" i="11" s="1"/>
  <c r="AC86" i="11" s="1"/>
  <c r="AC87" i="11" s="1"/>
  <c r="Y84" i="11"/>
  <c r="X84" i="11"/>
  <c r="W84" i="11"/>
  <c r="V84" i="11"/>
  <c r="Z84" i="11" s="1"/>
  <c r="X83" i="11"/>
  <c r="W83" i="11"/>
  <c r="V83" i="11"/>
  <c r="Z83" i="11" s="1"/>
  <c r="T83" i="11"/>
  <c r="AM81" i="11"/>
  <c r="X81" i="11"/>
  <c r="W81" i="11"/>
  <c r="V81" i="11"/>
  <c r="AY80" i="11"/>
  <c r="BC79" i="11" s="1"/>
  <c r="X80" i="11"/>
  <c r="W80" i="11"/>
  <c r="V80" i="11"/>
  <c r="AY79" i="11"/>
  <c r="AQ79" i="11"/>
  <c r="X79" i="11"/>
  <c r="W79" i="11"/>
  <c r="V79" i="11"/>
  <c r="AB79" i="11" s="1"/>
  <c r="AV78" i="11"/>
  <c r="AY78" i="11" s="1"/>
  <c r="AD78" i="11"/>
  <c r="AC78" i="11"/>
  <c r="AC79" i="11" s="1"/>
  <c r="AC80" i="11" s="1"/>
  <c r="Y78" i="11"/>
  <c r="X78" i="11"/>
  <c r="W78" i="11"/>
  <c r="V78" i="11"/>
  <c r="X77" i="11"/>
  <c r="W77" i="11"/>
  <c r="V77" i="11"/>
  <c r="Z77" i="11" s="1"/>
  <c r="T77" i="11"/>
  <c r="AM75" i="11"/>
  <c r="X75" i="11"/>
  <c r="W75" i="11"/>
  <c r="V75" i="11"/>
  <c r="AA75" i="11" s="1"/>
  <c r="AE75" i="11" s="1"/>
  <c r="AY74" i="11"/>
  <c r="BC73" i="11" s="1"/>
  <c r="X74" i="11"/>
  <c r="W74" i="11"/>
  <c r="V74" i="11"/>
  <c r="AY73" i="11"/>
  <c r="AQ73" i="11"/>
  <c r="X73" i="11"/>
  <c r="W73" i="11"/>
  <c r="V73" i="11"/>
  <c r="AV72" i="11"/>
  <c r="BC74" i="11" s="1"/>
  <c r="AD72" i="11"/>
  <c r="AD73" i="11" s="1"/>
  <c r="AD74" i="11" s="1"/>
  <c r="AC72" i="11"/>
  <c r="AC73" i="11" s="1"/>
  <c r="AC74" i="11" s="1"/>
  <c r="AC75" i="11" s="1"/>
  <c r="Y72" i="11"/>
  <c r="X72" i="11"/>
  <c r="W72" i="11"/>
  <c r="V72" i="11"/>
  <c r="AB72" i="11" s="1"/>
  <c r="X71" i="11"/>
  <c r="W71" i="11"/>
  <c r="V71" i="11"/>
  <c r="AM69" i="11"/>
  <c r="X69" i="11"/>
  <c r="W69" i="11"/>
  <c r="V69" i="11"/>
  <c r="AY68" i="11"/>
  <c r="BC67" i="11" s="1"/>
  <c r="X68" i="11"/>
  <c r="W68" i="11"/>
  <c r="V68" i="11"/>
  <c r="AY67" i="11"/>
  <c r="AQ67" i="11"/>
  <c r="X67" i="11"/>
  <c r="W67" i="11"/>
  <c r="V67" i="11"/>
  <c r="AV66" i="11"/>
  <c r="AY66" i="11" s="1"/>
  <c r="AD66" i="11"/>
  <c r="AD67" i="11" s="1"/>
  <c r="AD68" i="11" s="1"/>
  <c r="AD69" i="11" s="1"/>
  <c r="AC66" i="11"/>
  <c r="AC67" i="11" s="1"/>
  <c r="Y66" i="11"/>
  <c r="X66" i="11"/>
  <c r="W66" i="11"/>
  <c r="V66" i="11"/>
  <c r="X65" i="11"/>
  <c r="W65" i="11"/>
  <c r="V65" i="11"/>
  <c r="Z65" i="11" s="1"/>
  <c r="AJ65" i="11"/>
  <c r="AM63" i="11"/>
  <c r="X63" i="11"/>
  <c r="W63" i="11"/>
  <c r="V63" i="11"/>
  <c r="AY62" i="11"/>
  <c r="BC61" i="11" s="1"/>
  <c r="X62" i="11"/>
  <c r="W62" i="11"/>
  <c r="V62" i="11"/>
  <c r="AY61" i="11"/>
  <c r="AQ61" i="11"/>
  <c r="X61" i="11"/>
  <c r="W61" i="11"/>
  <c r="V61" i="11"/>
  <c r="AA61" i="11" s="1"/>
  <c r="AV60" i="11"/>
  <c r="AY60" i="11" s="1"/>
  <c r="AD60" i="11"/>
  <c r="AD61" i="11" s="1"/>
  <c r="AD62" i="11" s="1"/>
  <c r="AC60" i="11"/>
  <c r="AC61" i="11" s="1"/>
  <c r="AC62" i="11" s="1"/>
  <c r="AC63" i="11" s="1"/>
  <c r="Y60" i="11"/>
  <c r="X60" i="11"/>
  <c r="W60" i="11"/>
  <c r="V60" i="11"/>
  <c r="X59" i="11"/>
  <c r="W59" i="11"/>
  <c r="V59" i="11"/>
  <c r="AM57" i="11"/>
  <c r="X57" i="11"/>
  <c r="W57" i="11"/>
  <c r="V57" i="11"/>
  <c r="AY56" i="11"/>
  <c r="BC55" i="11" s="1"/>
  <c r="X56" i="11"/>
  <c r="AB56" i="11" s="1"/>
  <c r="W56" i="11"/>
  <c r="V56" i="11"/>
  <c r="AY55" i="11"/>
  <c r="AQ55" i="11"/>
  <c r="X55" i="11"/>
  <c r="W55" i="11"/>
  <c r="V55" i="11"/>
  <c r="AV54" i="11"/>
  <c r="AD54" i="11"/>
  <c r="AD55" i="11" s="1"/>
  <c r="AD56" i="11" s="1"/>
  <c r="AD57" i="11" s="1"/>
  <c r="AC54" i="11"/>
  <c r="AC55" i="11" s="1"/>
  <c r="Y54" i="11"/>
  <c r="X54" i="11"/>
  <c r="W54" i="11"/>
  <c r="V54" i="11"/>
  <c r="BT53" i="11"/>
  <c r="BU53" i="11" s="1"/>
  <c r="BH53" i="11"/>
  <c r="BM53" i="11" s="1"/>
  <c r="X53" i="11"/>
  <c r="W53" i="11"/>
  <c r="V53" i="11"/>
  <c r="Z53" i="11" s="1"/>
  <c r="T53" i="11"/>
  <c r="BS52" i="11"/>
  <c r="BL52" i="11"/>
  <c r="AM51" i="11"/>
  <c r="X51" i="11"/>
  <c r="W51" i="11"/>
  <c r="V51" i="11"/>
  <c r="BQ50" i="11"/>
  <c r="BR50" i="11" s="1"/>
  <c r="AY50" i="11"/>
  <c r="BC49" i="11" s="1"/>
  <c r="X50" i="11"/>
  <c r="W50" i="11"/>
  <c r="V50" i="11"/>
  <c r="AY49" i="11"/>
  <c r="AQ49" i="11"/>
  <c r="X49" i="11"/>
  <c r="W49" i="11"/>
  <c r="V49" i="11"/>
  <c r="BO48" i="11"/>
  <c r="BP48" i="11" s="1"/>
  <c r="BH48" i="11"/>
  <c r="AV48" i="11"/>
  <c r="AY48" i="11" s="1"/>
  <c r="AD48" i="11"/>
  <c r="AD49" i="11" s="1"/>
  <c r="AD50" i="11" s="1"/>
  <c r="AC48" i="11"/>
  <c r="Y48" i="11"/>
  <c r="X48" i="11"/>
  <c r="W48" i="11"/>
  <c r="V48" i="11"/>
  <c r="BH47" i="11"/>
  <c r="X47" i="11"/>
  <c r="W47" i="11"/>
  <c r="V47" i="11"/>
  <c r="AM45" i="11"/>
  <c r="X45" i="11"/>
  <c r="W45" i="11"/>
  <c r="V45" i="11"/>
  <c r="AY44" i="11"/>
  <c r="BC43" i="11" s="1"/>
  <c r="X44" i="11"/>
  <c r="W44" i="11"/>
  <c r="V44" i="11"/>
  <c r="BT43" i="11"/>
  <c r="BU43" i="11" s="1"/>
  <c r="BH43" i="11"/>
  <c r="BN43" i="11" s="1"/>
  <c r="AY43" i="11"/>
  <c r="AQ43" i="11"/>
  <c r="X43" i="11"/>
  <c r="W43" i="11"/>
  <c r="V43" i="11"/>
  <c r="BS42" i="11"/>
  <c r="BL42" i="11"/>
  <c r="AV42" i="11"/>
  <c r="BC44" i="11" s="1"/>
  <c r="AD42" i="11"/>
  <c r="AD43" i="11" s="1"/>
  <c r="AD44" i="11" s="1"/>
  <c r="AD45" i="11" s="1"/>
  <c r="AC42" i="11"/>
  <c r="AC43" i="11" s="1"/>
  <c r="Y42" i="11"/>
  <c r="X42" i="11"/>
  <c r="W42" i="11"/>
  <c r="V42" i="11"/>
  <c r="X41" i="11"/>
  <c r="W41" i="11"/>
  <c r="V41" i="11"/>
  <c r="T41" i="11"/>
  <c r="BQ40" i="11"/>
  <c r="BR40" i="11" s="1"/>
  <c r="AM39" i="11"/>
  <c r="X39" i="11"/>
  <c r="W39" i="11"/>
  <c r="V39" i="11"/>
  <c r="BO38" i="11"/>
  <c r="BP38" i="11" s="1"/>
  <c r="BH38" i="11"/>
  <c r="AY38" i="11"/>
  <c r="BC37" i="11" s="1"/>
  <c r="X38" i="11"/>
  <c r="W38" i="11"/>
  <c r="V38" i="11"/>
  <c r="BH37" i="11"/>
  <c r="AY37" i="11"/>
  <c r="AQ37" i="11"/>
  <c r="X37" i="11"/>
  <c r="W37" i="11"/>
  <c r="V37" i="11"/>
  <c r="AV36" i="11"/>
  <c r="AD36" i="11"/>
  <c r="AD37" i="11" s="1"/>
  <c r="AD38" i="11" s="1"/>
  <c r="AD39" i="11" s="1"/>
  <c r="AC36" i="11"/>
  <c r="Y36" i="11"/>
  <c r="X36" i="11"/>
  <c r="W36" i="11"/>
  <c r="V36" i="11"/>
  <c r="X35" i="11"/>
  <c r="W35" i="11"/>
  <c r="V35" i="11"/>
  <c r="BT33" i="11"/>
  <c r="BU33" i="11" s="1"/>
  <c r="BH33" i="11"/>
  <c r="BM33" i="11" s="1"/>
  <c r="AM33" i="11"/>
  <c r="X33" i="11"/>
  <c r="W33" i="11"/>
  <c r="V33" i="11"/>
  <c r="BS32" i="11"/>
  <c r="BL32" i="11"/>
  <c r="AY32" i="11"/>
  <c r="BC31" i="11" s="1"/>
  <c r="X32" i="11"/>
  <c r="W32" i="11"/>
  <c r="V32" i="11"/>
  <c r="AY31" i="11"/>
  <c r="AQ31" i="11"/>
  <c r="X31" i="11"/>
  <c r="W31" i="11"/>
  <c r="V31" i="11"/>
  <c r="BQ30" i="11"/>
  <c r="BR30" i="11" s="1"/>
  <c r="AV30" i="11"/>
  <c r="BC32" i="11" s="1"/>
  <c r="AD30" i="11"/>
  <c r="AD31" i="11" s="1"/>
  <c r="AD32" i="11" s="1"/>
  <c r="AD33" i="11" s="1"/>
  <c r="AC30" i="11"/>
  <c r="Y30" i="11"/>
  <c r="X30" i="11"/>
  <c r="W30" i="11"/>
  <c r="V30" i="11"/>
  <c r="X29" i="11"/>
  <c r="W29" i="11"/>
  <c r="V29" i="11"/>
  <c r="AJ29" i="11"/>
  <c r="BO28" i="11"/>
  <c r="BP28" i="11" s="1"/>
  <c r="BN30" i="11" s="1"/>
  <c r="BH28" i="11"/>
  <c r="BH27" i="11"/>
  <c r="AM27" i="11"/>
  <c r="X27" i="11"/>
  <c r="W27" i="11"/>
  <c r="V27" i="11"/>
  <c r="AY26" i="11"/>
  <c r="BC25" i="11" s="1"/>
  <c r="X26" i="11"/>
  <c r="W26" i="11"/>
  <c r="V26" i="11"/>
  <c r="AY25" i="11"/>
  <c r="AQ25" i="11"/>
  <c r="X25" i="11"/>
  <c r="W25" i="11"/>
  <c r="V25" i="11"/>
  <c r="AV24" i="11"/>
  <c r="AY24" i="11" s="1"/>
  <c r="AD24" i="11"/>
  <c r="AC24" i="11"/>
  <c r="AC25" i="11" s="1"/>
  <c r="AC26" i="11" s="1"/>
  <c r="AC27" i="11" s="1"/>
  <c r="Y24" i="11"/>
  <c r="X24" i="11"/>
  <c r="W24" i="11"/>
  <c r="V24" i="11"/>
  <c r="BT23" i="11"/>
  <c r="BU23" i="11" s="1"/>
  <c r="BH23" i="11"/>
  <c r="BN23" i="11" s="1"/>
  <c r="X23" i="11"/>
  <c r="W23" i="11"/>
  <c r="V23" i="11"/>
  <c r="BS22" i="11"/>
  <c r="BL22" i="11"/>
  <c r="AM21" i="11"/>
  <c r="X21" i="11"/>
  <c r="W21" i="11"/>
  <c r="V21" i="11"/>
  <c r="BQ20" i="11"/>
  <c r="BR20" i="11" s="1"/>
  <c r="AY20" i="11"/>
  <c r="BC19" i="11" s="1"/>
  <c r="X20" i="11"/>
  <c r="W20" i="11"/>
  <c r="V20" i="11"/>
  <c r="AY19" i="11"/>
  <c r="AQ19" i="11"/>
  <c r="X19" i="11"/>
  <c r="W19" i="11"/>
  <c r="V19" i="11"/>
  <c r="BO18" i="11"/>
  <c r="BP18" i="11" s="1"/>
  <c r="BH18" i="11"/>
  <c r="AV18" i="11"/>
  <c r="AY18" i="11" s="1"/>
  <c r="AD18" i="11"/>
  <c r="AD19" i="11" s="1"/>
  <c r="AC18" i="11"/>
  <c r="AC19" i="11" s="1"/>
  <c r="AC20" i="11" s="1"/>
  <c r="Y18" i="11"/>
  <c r="X18" i="11"/>
  <c r="W18" i="11"/>
  <c r="V18" i="11"/>
  <c r="BH17" i="11"/>
  <c r="X17" i="11"/>
  <c r="W17" i="11"/>
  <c r="V17" i="11"/>
  <c r="Z17" i="11" s="1"/>
  <c r="T6" i="11"/>
  <c r="V6" i="11"/>
  <c r="Z6" i="11" s="1"/>
  <c r="W6" i="11"/>
  <c r="X6" i="11"/>
  <c r="V7" i="11"/>
  <c r="AA7" i="11" s="1"/>
  <c r="W7" i="11"/>
  <c r="X7" i="11"/>
  <c r="Y7" i="11"/>
  <c r="AC7" i="11"/>
  <c r="AD7" i="11"/>
  <c r="AD8" i="11" s="1"/>
  <c r="AD9" i="11" s="1"/>
  <c r="AD10" i="11" s="1"/>
  <c r="V8" i="11"/>
  <c r="W8" i="11"/>
  <c r="X8" i="11"/>
  <c r="V9" i="11"/>
  <c r="W9" i="11"/>
  <c r="X9" i="11"/>
  <c r="V10" i="11"/>
  <c r="W10" i="11"/>
  <c r="X10" i="11"/>
  <c r="D85" i="10"/>
  <c r="F86" i="10"/>
  <c r="D87" i="10"/>
  <c r="F88" i="10"/>
  <c r="H88" i="10"/>
  <c r="D89" i="10"/>
  <c r="F90" i="10"/>
  <c r="H90" i="10"/>
  <c r="D91" i="10"/>
  <c r="H91" i="10"/>
  <c r="D113" i="10"/>
  <c r="D115" i="10"/>
  <c r="BC38" i="11"/>
  <c r="BV53" i="11"/>
  <c r="BC128" i="11"/>
  <c r="AY126" i="11"/>
  <c r="AY120" i="11"/>
  <c r="AJ125" i="11"/>
  <c r="T131" i="11"/>
  <c r="AJ203" i="11"/>
  <c r="AJ41" i="11"/>
  <c r="AB110" i="11"/>
  <c r="AB140" i="11"/>
  <c r="AY141" i="11"/>
  <c r="BC140" i="11"/>
  <c r="BC50" i="11"/>
  <c r="AJ89" i="11"/>
  <c r="AA119" i="11"/>
  <c r="AE119" i="11" s="1"/>
  <c r="Z107" i="11"/>
  <c r="BC92" i="11"/>
  <c r="AY90" i="11"/>
  <c r="BC200" i="11"/>
  <c r="BC201" i="11" s="1"/>
  <c r="AJ95" i="11"/>
  <c r="BC98" i="11"/>
  <c r="AY96" i="11"/>
  <c r="T101" i="11"/>
  <c r="BC104" i="11"/>
  <c r="AY102" i="11"/>
  <c r="T107" i="11"/>
  <c r="BC110" i="11"/>
  <c r="AY108" i="11"/>
  <c r="AJ113" i="11"/>
  <c r="AC153" i="11"/>
  <c r="Z155" i="11"/>
  <c r="T173" i="11"/>
  <c r="AD194" i="11"/>
  <c r="AC195" i="11"/>
  <c r="AC177" i="11"/>
  <c r="Z179" i="11"/>
  <c r="AY165" i="11"/>
  <c r="AA170" i="11"/>
  <c r="AE170" i="11" s="1"/>
  <c r="T185" i="11"/>
  <c r="AJ185" i="11"/>
  <c r="Z167" i="11"/>
  <c r="Z203" i="11"/>
  <c r="AD205" i="11"/>
  <c r="AD206" i="11" s="1"/>
  <c r="AD207" i="11" s="1"/>
  <c r="AD75" i="11"/>
  <c r="AC81" i="11"/>
  <c r="AY162" i="11"/>
  <c r="AD25" i="11"/>
  <c r="AD26" i="11" s="1"/>
  <c r="AD27" i="11" s="1"/>
  <c r="AY138" i="11"/>
  <c r="AY198" i="11"/>
  <c r="AY111" i="11"/>
  <c r="AA95" i="11"/>
  <c r="AE95" i="11" s="1"/>
  <c r="AP176" i="11"/>
  <c r="AD128" i="11"/>
  <c r="D274" i="2" l="1"/>
  <c r="C294" i="2" s="1"/>
  <c r="C297" i="2" s="1"/>
  <c r="AA109" i="11"/>
  <c r="BC99" i="11"/>
  <c r="AP153" i="11"/>
  <c r="AB99" i="11"/>
  <c r="AA169" i="11"/>
  <c r="AE169" i="11" s="1"/>
  <c r="BC62" i="11"/>
  <c r="AA80" i="11"/>
  <c r="AA176" i="11"/>
  <c r="AE176" i="11" s="1"/>
  <c r="AA185" i="11"/>
  <c r="AE185" i="11" s="1"/>
  <c r="AB8" i="11"/>
  <c r="AA83" i="11"/>
  <c r="AE83" i="11" s="1"/>
  <c r="AA155" i="11"/>
  <c r="AE155" i="11" s="1"/>
  <c r="AB30" i="11"/>
  <c r="AA93" i="11"/>
  <c r="AA147" i="11"/>
  <c r="AA153" i="11"/>
  <c r="AE153" i="11" s="1"/>
  <c r="AA162" i="11"/>
  <c r="AE162" i="11" s="1"/>
  <c r="AA168" i="11"/>
  <c r="AE168" i="11" s="1"/>
  <c r="AA174" i="11"/>
  <c r="AE174" i="11" s="1"/>
  <c r="AB168" i="11"/>
  <c r="AA194" i="11"/>
  <c r="AB150" i="11"/>
  <c r="AF150" i="11" s="1"/>
  <c r="AY69" i="11"/>
  <c r="AE80" i="11"/>
  <c r="AB93" i="11"/>
  <c r="BO43" i="11"/>
  <c r="AB68" i="11"/>
  <c r="AF68" i="11" s="1"/>
  <c r="Z150" i="11"/>
  <c r="Z174" i="11"/>
  <c r="AB138" i="11"/>
  <c r="AB147" i="11"/>
  <c r="AF147" i="11" s="1"/>
  <c r="AB174" i="11"/>
  <c r="AF174" i="11" s="1"/>
  <c r="AA8" i="11"/>
  <c r="BC87" i="11"/>
  <c r="Z193" i="11"/>
  <c r="AA6" i="11"/>
  <c r="AE6" i="11" s="1"/>
  <c r="AB182" i="11"/>
  <c r="AB193" i="11"/>
  <c r="AF193" i="11" s="1"/>
  <c r="AA50" i="11"/>
  <c r="AY75" i="11"/>
  <c r="AA173" i="11"/>
  <c r="AE173" i="11" s="1"/>
  <c r="AJ119" i="11"/>
  <c r="AY72" i="11"/>
  <c r="AA32" i="11"/>
  <c r="AA41" i="11"/>
  <c r="AE41" i="11" s="1"/>
  <c r="Z54" i="11"/>
  <c r="AY63" i="11"/>
  <c r="AP110" i="11"/>
  <c r="AR110" i="11" s="1"/>
  <c r="AS110" i="11" s="1"/>
  <c r="AB111" i="11"/>
  <c r="AB116" i="11"/>
  <c r="AF116" i="11" s="1"/>
  <c r="AA133" i="11"/>
  <c r="AE133" i="11" s="1"/>
  <c r="AA134" i="11"/>
  <c r="AE134" i="11" s="1"/>
  <c r="AB189" i="11"/>
  <c r="AB201" i="11"/>
  <c r="AB204" i="11"/>
  <c r="AF204" i="11" s="1"/>
  <c r="BC170" i="11"/>
  <c r="BC171" i="11" s="1"/>
  <c r="Z103" i="11"/>
  <c r="AY174" i="11"/>
  <c r="T179" i="11"/>
  <c r="AD151" i="11"/>
  <c r="BK28" i="11"/>
  <c r="BL28" i="11" s="1"/>
  <c r="AA89" i="11"/>
  <c r="AE89" i="11" s="1"/>
  <c r="AB133" i="11"/>
  <c r="AF133" i="11" s="1"/>
  <c r="AB135" i="11"/>
  <c r="AB181" i="11"/>
  <c r="AF181" i="11" s="1"/>
  <c r="AA188" i="11"/>
  <c r="AB191" i="11"/>
  <c r="AF191" i="11" s="1"/>
  <c r="AB195" i="11"/>
  <c r="AB197" i="11"/>
  <c r="AF197" i="11" s="1"/>
  <c r="AE138" i="11"/>
  <c r="AA18" i="11"/>
  <c r="AE18" i="11" s="1"/>
  <c r="AA55" i="11"/>
  <c r="AE55" i="11" s="1"/>
  <c r="AF111" i="11"/>
  <c r="BC177" i="11"/>
  <c r="AJ161" i="11"/>
  <c r="T197" i="11"/>
  <c r="AA35" i="11"/>
  <c r="AE35" i="11" s="1"/>
  <c r="AA37" i="11"/>
  <c r="BC135" i="11"/>
  <c r="AY135" i="11"/>
  <c r="AW140" i="11"/>
  <c r="BC116" i="11"/>
  <c r="BC117" i="11" s="1"/>
  <c r="BC63" i="11"/>
  <c r="AJ191" i="11"/>
  <c r="BR38" i="11"/>
  <c r="AA30" i="11"/>
  <c r="BN33" i="11"/>
  <c r="BO33" i="11" s="1"/>
  <c r="Z102" i="11"/>
  <c r="AY123" i="11"/>
  <c r="AY81" i="11"/>
  <c r="AA116" i="11"/>
  <c r="AE116" i="11" s="1"/>
  <c r="AP117" i="11"/>
  <c r="AU117" i="11" s="1"/>
  <c r="AB115" i="11"/>
  <c r="AF115" i="11" s="1"/>
  <c r="AA17" i="11"/>
  <c r="AE17" i="11" s="1"/>
  <c r="AA36" i="11"/>
  <c r="AE36" i="11" s="1"/>
  <c r="AB78" i="11"/>
  <c r="AF78" i="11" s="1"/>
  <c r="AB144" i="11"/>
  <c r="AF144" i="11" s="1"/>
  <c r="AA183" i="11"/>
  <c r="AE183" i="11" s="1"/>
  <c r="AA187" i="11"/>
  <c r="AE187" i="11" s="1"/>
  <c r="AA189" i="11"/>
  <c r="AA203" i="11"/>
  <c r="AE203" i="11" s="1"/>
  <c r="Z138" i="11"/>
  <c r="Z185" i="11"/>
  <c r="T137" i="11"/>
  <c r="T149" i="11"/>
  <c r="BC39" i="11"/>
  <c r="AB7" i="11"/>
  <c r="AF7" i="11" s="1"/>
  <c r="Z187" i="11"/>
  <c r="AB84" i="11"/>
  <c r="AF84" i="11" s="1"/>
  <c r="AB9" i="11"/>
  <c r="AB35" i="11"/>
  <c r="AF35" i="11" s="1"/>
  <c r="AB36" i="11"/>
  <c r="AF36" i="11" s="1"/>
  <c r="Z43" i="11"/>
  <c r="AB45" i="11"/>
  <c r="AF45" i="11" s="1"/>
  <c r="AB53" i="11"/>
  <c r="AF53" i="11" s="1"/>
  <c r="AA63" i="11"/>
  <c r="Z127" i="11"/>
  <c r="AB128" i="11"/>
  <c r="AA150" i="11"/>
  <c r="AE150" i="11" s="1"/>
  <c r="AG150" i="11" s="1"/>
  <c r="AH150" i="11" s="1"/>
  <c r="Z180" i="11"/>
  <c r="AB185" i="11"/>
  <c r="AF185" i="11" s="1"/>
  <c r="AG185" i="11" s="1"/>
  <c r="AH185" i="11" s="1"/>
  <c r="AE194" i="11"/>
  <c r="AB203" i="11"/>
  <c r="AF203" i="11" s="1"/>
  <c r="AB205" i="11"/>
  <c r="AB206" i="11"/>
  <c r="AF138" i="11"/>
  <c r="AG138" i="11" s="1"/>
  <c r="AH138" i="11" s="1"/>
  <c r="AA123" i="11"/>
  <c r="AA104" i="11"/>
  <c r="AE104" i="11" s="1"/>
  <c r="AA84" i="11"/>
  <c r="AE84" i="11" s="1"/>
  <c r="AA9" i="11"/>
  <c r="AA65" i="11"/>
  <c r="AE65" i="11" s="1"/>
  <c r="AB92" i="11"/>
  <c r="AB117" i="11"/>
  <c r="AA141" i="11"/>
  <c r="AA145" i="11"/>
  <c r="AE145" i="11" s="1"/>
  <c r="AG145" i="11" s="1"/>
  <c r="AH145" i="11" s="1"/>
  <c r="AA167" i="11"/>
  <c r="AE167" i="11" s="1"/>
  <c r="BC183" i="11"/>
  <c r="AF189" i="11"/>
  <c r="AJ167" i="11"/>
  <c r="AA49" i="11"/>
  <c r="BC123" i="11"/>
  <c r="BC80" i="11"/>
  <c r="T143" i="11"/>
  <c r="AY84" i="11"/>
  <c r="AJ77" i="11"/>
  <c r="AF182" i="11"/>
  <c r="AB169" i="11"/>
  <c r="AB173" i="11"/>
  <c r="AF173" i="11" s="1"/>
  <c r="BC68" i="11"/>
  <c r="BC69" i="11" s="1"/>
  <c r="AW80" i="11"/>
  <c r="AA39" i="11"/>
  <c r="T65" i="11"/>
  <c r="AY99" i="11"/>
  <c r="AY129" i="11"/>
  <c r="AA186" i="11"/>
  <c r="AE186" i="11" s="1"/>
  <c r="Z192" i="11"/>
  <c r="AA207" i="11"/>
  <c r="AB132" i="11"/>
  <c r="AF132" i="11" s="1"/>
  <c r="AP135" i="11"/>
  <c r="AU135" i="11" s="1"/>
  <c r="AA143" i="11"/>
  <c r="AE143" i="11" s="1"/>
  <c r="AK146" i="11"/>
  <c r="Z143" i="11"/>
  <c r="AB143" i="11"/>
  <c r="AF143" i="11" s="1"/>
  <c r="AG143" i="11" s="1"/>
  <c r="AH143" i="11" s="1"/>
  <c r="Z163" i="11"/>
  <c r="AB163" i="11"/>
  <c r="AF163" i="11" s="1"/>
  <c r="AA179" i="11"/>
  <c r="AE179" i="11" s="1"/>
  <c r="AP182" i="11"/>
  <c r="AU182" i="11" s="1"/>
  <c r="AK171" i="11"/>
  <c r="AB167" i="11"/>
  <c r="AF167" i="11" s="1"/>
  <c r="AP171" i="11"/>
  <c r="AU171" i="11" s="1"/>
  <c r="AD141" i="11"/>
  <c r="AF140" i="11"/>
  <c r="BM28" i="11"/>
  <c r="BN28" i="11"/>
  <c r="BS28" i="11" s="1"/>
  <c r="AG35" i="11"/>
  <c r="AH35" i="11" s="1"/>
  <c r="AF56" i="11"/>
  <c r="BC26" i="11"/>
  <c r="BC27" i="11" s="1"/>
  <c r="AP32" i="11"/>
  <c r="AU32" i="11" s="1"/>
  <c r="AW50" i="11"/>
  <c r="BE47" i="11" s="1"/>
  <c r="AP105" i="11"/>
  <c r="AB123" i="11"/>
  <c r="AW176" i="11"/>
  <c r="AB207" i="11"/>
  <c r="AF207" i="11" s="1"/>
  <c r="Z162" i="11"/>
  <c r="AB119" i="11"/>
  <c r="AF119" i="11" s="1"/>
  <c r="AG119" i="11" s="1"/>
  <c r="AH119" i="11" s="1"/>
  <c r="AK26" i="11"/>
  <c r="AP38" i="11"/>
  <c r="AU38" i="11" s="1"/>
  <c r="AA67" i="11"/>
  <c r="AE67" i="11" s="1"/>
  <c r="AB71" i="11"/>
  <c r="AF71" i="11" s="1"/>
  <c r="AY93" i="11"/>
  <c r="AA163" i="11"/>
  <c r="AE163" i="11" s="1"/>
  <c r="AG163" i="11" s="1"/>
  <c r="AH163" i="11" s="1"/>
  <c r="AA164" i="11"/>
  <c r="AE164" i="11" s="1"/>
  <c r="AA180" i="11"/>
  <c r="AE180" i="11" s="1"/>
  <c r="AY183" i="11"/>
  <c r="AB183" i="11"/>
  <c r="AF183" i="11" s="1"/>
  <c r="AP194" i="11"/>
  <c r="AR194" i="11" s="1"/>
  <c r="AS194" i="11" s="1"/>
  <c r="AC188" i="11"/>
  <c r="BC75" i="11"/>
  <c r="BC20" i="11"/>
  <c r="BC21" i="11" s="1"/>
  <c r="AY30" i="11"/>
  <c r="AY180" i="11"/>
  <c r="BM43" i="11"/>
  <c r="AB10" i="11"/>
  <c r="AF10" i="11" s="1"/>
  <c r="AB26" i="11"/>
  <c r="BR28" i="11"/>
  <c r="Z48" i="11"/>
  <c r="AA177" i="11"/>
  <c r="AE177" i="11" s="1"/>
  <c r="Z204" i="11"/>
  <c r="AE7" i="11"/>
  <c r="Z86" i="11"/>
  <c r="AP92" i="11"/>
  <c r="AR92" i="11" s="1"/>
  <c r="AA115" i="11"/>
  <c r="AE115" i="11" s="1"/>
  <c r="AG115" i="11" s="1"/>
  <c r="AH115" i="11" s="1"/>
  <c r="AW158" i="11"/>
  <c r="BA155" i="11" s="1"/>
  <c r="T29" i="11"/>
  <c r="AA21" i="11"/>
  <c r="Z55" i="11"/>
  <c r="AB89" i="11"/>
  <c r="AF89" i="11" s="1"/>
  <c r="AW152" i="11"/>
  <c r="AW188" i="11"/>
  <c r="AY189" i="11"/>
  <c r="AP62" i="11"/>
  <c r="AU62" i="11" s="1"/>
  <c r="AF72" i="11"/>
  <c r="AB80" i="11"/>
  <c r="AB113" i="11"/>
  <c r="AF113" i="11" s="1"/>
  <c r="AA156" i="11"/>
  <c r="AY177" i="11"/>
  <c r="Z186" i="11"/>
  <c r="AY117" i="11"/>
  <c r="BC51" i="11"/>
  <c r="Z115" i="11"/>
  <c r="AJ53" i="11"/>
  <c r="AB17" i="11"/>
  <c r="AF17" i="11" s="1"/>
  <c r="AG17" i="11" s="1"/>
  <c r="AH17" i="11" s="1"/>
  <c r="AY27" i="11"/>
  <c r="BK38" i="11"/>
  <c r="BL38" i="11" s="1"/>
  <c r="AA102" i="11"/>
  <c r="AE102" i="11" s="1"/>
  <c r="AB126" i="11"/>
  <c r="AF126" i="11" s="1"/>
  <c r="AA151" i="11"/>
  <c r="AE151" i="11" s="1"/>
  <c r="AA152" i="11"/>
  <c r="AE152" i="11" s="1"/>
  <c r="AB153" i="11"/>
  <c r="AB162" i="11"/>
  <c r="AF162" i="11" s="1"/>
  <c r="AA192" i="11"/>
  <c r="AE192" i="11" s="1"/>
  <c r="AW194" i="11"/>
  <c r="BE173" i="11"/>
  <c r="BA173" i="11"/>
  <c r="AU194" i="11"/>
  <c r="BA137" i="11"/>
  <c r="BE137" i="11"/>
  <c r="Z108" i="11"/>
  <c r="AB108" i="11"/>
  <c r="AF108" i="11" s="1"/>
  <c r="T59" i="11"/>
  <c r="AJ59" i="11"/>
  <c r="AK117" i="11"/>
  <c r="Z114" i="11"/>
  <c r="AA175" i="11"/>
  <c r="AE175" i="11" s="1"/>
  <c r="AK176" i="11"/>
  <c r="AB176" i="11"/>
  <c r="Z109" i="11"/>
  <c r="AK194" i="11"/>
  <c r="AB149" i="11"/>
  <c r="AF149" i="11" s="1"/>
  <c r="BJ32" i="11"/>
  <c r="T23" i="11"/>
  <c r="AJ23" i="11"/>
  <c r="AA26" i="11"/>
  <c r="AE26" i="11" s="1"/>
  <c r="AB38" i="11"/>
  <c r="AF38" i="11" s="1"/>
  <c r="AA45" i="11"/>
  <c r="BJ52" i="11"/>
  <c r="BN50" i="11"/>
  <c r="AA81" i="11"/>
  <c r="AE81" i="11" s="1"/>
  <c r="Z85" i="11"/>
  <c r="AA114" i="11"/>
  <c r="AE114" i="11" s="1"/>
  <c r="AP116" i="11"/>
  <c r="AB121" i="11"/>
  <c r="AF121" i="11" s="1"/>
  <c r="AC129" i="11"/>
  <c r="BC146" i="11"/>
  <c r="BC147" i="11" s="1"/>
  <c r="AY144" i="11"/>
  <c r="AK182" i="11"/>
  <c r="AP123" i="11"/>
  <c r="AR123" i="11" s="1"/>
  <c r="AS123" i="11" s="1"/>
  <c r="AW26" i="11"/>
  <c r="BE23" i="11" s="1"/>
  <c r="AY36" i="11"/>
  <c r="AY39" i="11"/>
  <c r="AA56" i="11"/>
  <c r="T71" i="11"/>
  <c r="AJ71" i="11"/>
  <c r="AB114" i="11"/>
  <c r="AF114" i="11" s="1"/>
  <c r="AA137" i="11"/>
  <c r="AE137" i="11" s="1"/>
  <c r="AP140" i="11"/>
  <c r="BE155" i="11"/>
  <c r="Z156" i="11"/>
  <c r="AY156" i="11"/>
  <c r="BC158" i="11"/>
  <c r="BC159" i="11" s="1"/>
  <c r="BE77" i="11"/>
  <c r="BA77" i="11"/>
  <c r="AK201" i="11"/>
  <c r="AK200" i="11"/>
  <c r="AD117" i="11"/>
  <c r="Z35" i="11"/>
  <c r="AA86" i="11"/>
  <c r="AE86" i="11" s="1"/>
  <c r="Z105" i="11"/>
  <c r="Z133" i="11"/>
  <c r="AD134" i="11"/>
  <c r="Z134" i="11" s="1"/>
  <c r="AA182" i="11"/>
  <c r="AE182" i="11" s="1"/>
  <c r="Z182" i="11"/>
  <c r="Z198" i="11"/>
  <c r="AD199" i="11"/>
  <c r="AD200" i="11" s="1"/>
  <c r="AD201" i="11" s="1"/>
  <c r="AF201" i="11" s="1"/>
  <c r="AU176" i="11"/>
  <c r="AR176" i="11"/>
  <c r="Z7" i="11"/>
  <c r="AC8" i="11"/>
  <c r="AJ35" i="11"/>
  <c r="T35" i="11"/>
  <c r="AA128" i="11"/>
  <c r="AE128" i="11" s="1"/>
  <c r="Z66" i="11"/>
  <c r="Z23" i="11"/>
  <c r="AB23" i="11"/>
  <c r="AF23" i="11" s="1"/>
  <c r="AA23" i="11"/>
  <c r="AE23" i="11" s="1"/>
  <c r="AW104" i="11"/>
  <c r="AE156" i="11"/>
  <c r="AD169" i="11"/>
  <c r="Z168" i="11"/>
  <c r="AU105" i="11"/>
  <c r="AR105" i="11"/>
  <c r="AS105" i="11" s="1"/>
  <c r="AK206" i="11"/>
  <c r="AA206" i="11"/>
  <c r="AB47" i="11"/>
  <c r="AF47" i="11" s="1"/>
  <c r="AA47" i="11"/>
  <c r="AE47" i="11" s="1"/>
  <c r="AA195" i="11"/>
  <c r="Z99" i="11"/>
  <c r="Z25" i="11"/>
  <c r="AP206" i="11"/>
  <c r="Z47" i="11"/>
  <c r="Z197" i="11"/>
  <c r="Z24" i="11"/>
  <c r="T47" i="11"/>
  <c r="AJ47" i="11"/>
  <c r="AC56" i="11"/>
  <c r="AC57" i="11" s="1"/>
  <c r="Z57" i="11" s="1"/>
  <c r="AA71" i="11"/>
  <c r="AE71" i="11" s="1"/>
  <c r="AP93" i="11"/>
  <c r="AU93" i="11" s="1"/>
  <c r="AB91" i="11"/>
  <c r="AF91" i="11" s="1"/>
  <c r="AP98" i="11"/>
  <c r="AU98" i="11" s="1"/>
  <c r="AB96" i="11"/>
  <c r="AF96" i="11" s="1"/>
  <c r="AP99" i="11"/>
  <c r="AR99" i="11" s="1"/>
  <c r="AW98" i="11"/>
  <c r="BA95" i="11" s="1"/>
  <c r="Z116" i="11"/>
  <c r="AA120" i="11"/>
  <c r="AE120" i="11" s="1"/>
  <c r="AB120" i="11"/>
  <c r="AF120" i="11" s="1"/>
  <c r="AB141" i="11"/>
  <c r="AF141" i="11" s="1"/>
  <c r="AA146" i="11"/>
  <c r="AP146" i="11"/>
  <c r="AR146" i="11" s="1"/>
  <c r="AS146" i="11" s="1"/>
  <c r="AB156" i="11"/>
  <c r="AF156" i="11" s="1"/>
  <c r="AG156" i="11" s="1"/>
  <c r="AH156" i="11" s="1"/>
  <c r="AW164" i="11"/>
  <c r="BE161" i="11" s="1"/>
  <c r="AW200" i="11"/>
  <c r="AD63" i="11"/>
  <c r="Z63" i="11" s="1"/>
  <c r="Z62" i="11"/>
  <c r="Z191" i="11"/>
  <c r="AA191" i="11"/>
  <c r="AE191" i="11" s="1"/>
  <c r="AA199" i="11"/>
  <c r="AB199" i="11"/>
  <c r="T17" i="11"/>
  <c r="AJ17" i="11"/>
  <c r="Z128" i="11"/>
  <c r="Z27" i="11"/>
  <c r="AP188" i="11"/>
  <c r="AU188" i="11" s="1"/>
  <c r="AP68" i="11"/>
  <c r="AU68" i="11" s="1"/>
  <c r="AA20" i="11"/>
  <c r="AB20" i="11"/>
  <c r="AC92" i="11"/>
  <c r="AK129" i="11"/>
  <c r="AB129" i="11"/>
  <c r="AA129" i="11"/>
  <c r="Z131" i="11"/>
  <c r="AA131" i="11"/>
  <c r="AE131" i="11" s="1"/>
  <c r="AB161" i="11"/>
  <c r="AF161" i="11" s="1"/>
  <c r="Z161" i="11"/>
  <c r="AB187" i="11"/>
  <c r="AF187" i="11" s="1"/>
  <c r="AA198" i="11"/>
  <c r="AE198" i="11" s="1"/>
  <c r="AG198" i="11" s="1"/>
  <c r="AH198" i="11" s="1"/>
  <c r="AP200" i="11"/>
  <c r="AW92" i="11"/>
  <c r="BA89" i="11" s="1"/>
  <c r="AW122" i="11"/>
  <c r="BA119" i="11" s="1"/>
  <c r="AW134" i="11"/>
  <c r="BA131" i="11" s="1"/>
  <c r="AK147" i="11"/>
  <c r="AY171" i="11"/>
  <c r="AB180" i="11"/>
  <c r="AF180" i="11" s="1"/>
  <c r="AW182" i="11"/>
  <c r="BA179" i="11" s="1"/>
  <c r="AP195" i="11"/>
  <c r="AR195" i="11" s="1"/>
  <c r="AF206" i="11"/>
  <c r="AF30" i="11"/>
  <c r="AB6" i="11"/>
  <c r="AF6" i="11" s="1"/>
  <c r="AG6" i="11" s="1"/>
  <c r="AH6" i="11" s="1"/>
  <c r="AK20" i="11"/>
  <c r="AB44" i="11"/>
  <c r="AF44" i="11" s="1"/>
  <c r="AW68" i="11"/>
  <c r="BE65" i="11" s="1"/>
  <c r="Z75" i="11"/>
  <c r="AB85" i="11"/>
  <c r="AF85" i="11" s="1"/>
  <c r="AK93" i="11"/>
  <c r="Z97" i="11"/>
  <c r="Z121" i="11"/>
  <c r="AW146" i="11"/>
  <c r="BA143" i="11" s="1"/>
  <c r="AA165" i="11"/>
  <c r="AW170" i="11"/>
  <c r="BE167" i="11" s="1"/>
  <c r="BQ28" i="11"/>
  <c r="BJ28" i="11" s="1"/>
  <c r="BC129" i="11"/>
  <c r="AA42" i="11"/>
  <c r="AE42" i="11" s="1"/>
  <c r="AP50" i="11"/>
  <c r="AB67" i="11"/>
  <c r="AF67" i="11" s="1"/>
  <c r="AA78" i="11"/>
  <c r="AE78" i="11" s="1"/>
  <c r="AB86" i="11"/>
  <c r="AF86" i="11" s="1"/>
  <c r="AA140" i="11"/>
  <c r="AY159" i="11"/>
  <c r="AY132" i="11"/>
  <c r="AF109" i="11"/>
  <c r="AB42" i="11"/>
  <c r="AF42" i="11" s="1"/>
  <c r="AP63" i="11"/>
  <c r="AB62" i="11"/>
  <c r="AF62" i="11" s="1"/>
  <c r="AB105" i="11"/>
  <c r="AF105" i="11" s="1"/>
  <c r="AK188" i="11"/>
  <c r="AF168" i="11"/>
  <c r="AG168" i="11" s="1"/>
  <c r="AH168" i="11" s="1"/>
  <c r="AF8" i="11"/>
  <c r="BT28" i="11"/>
  <c r="AE195" i="11"/>
  <c r="BC105" i="11"/>
  <c r="BC81" i="11"/>
  <c r="BC141" i="11"/>
  <c r="AP27" i="11"/>
  <c r="AA24" i="11"/>
  <c r="AE24" i="11" s="1"/>
  <c r="AA33" i="11"/>
  <c r="AB39" i="11"/>
  <c r="AF39" i="11" s="1"/>
  <c r="AY51" i="11"/>
  <c r="AB54" i="11"/>
  <c r="AB75" i="11"/>
  <c r="AF75" i="11" s="1"/>
  <c r="AG75" i="11" s="1"/>
  <c r="AH75" i="11" s="1"/>
  <c r="Z96" i="11"/>
  <c r="AA111" i="11"/>
  <c r="AE111" i="11" s="1"/>
  <c r="AJ155" i="11"/>
  <c r="AB157" i="11"/>
  <c r="Z194" i="11"/>
  <c r="AE109" i="11"/>
  <c r="AB25" i="11"/>
  <c r="AF25" i="11" s="1"/>
  <c r="AY33" i="11"/>
  <c r="BC33" i="11"/>
  <c r="AP75" i="11"/>
  <c r="AW86" i="11"/>
  <c r="AA91" i="11"/>
  <c r="AE91" i="11" s="1"/>
  <c r="AA92" i="11"/>
  <c r="AW116" i="11"/>
  <c r="AA158" i="11"/>
  <c r="BA101" i="11"/>
  <c r="BE101" i="11"/>
  <c r="Z30" i="11"/>
  <c r="AC31" i="11"/>
  <c r="AE30" i="11"/>
  <c r="AA51" i="11"/>
  <c r="AB51" i="11"/>
  <c r="AB55" i="11"/>
  <c r="AF55" i="11" s="1"/>
  <c r="AP57" i="11"/>
  <c r="AK164" i="11"/>
  <c r="AA73" i="11"/>
  <c r="AE73" i="11" s="1"/>
  <c r="AP74" i="11"/>
  <c r="AB83" i="11"/>
  <c r="AF83" i="11" s="1"/>
  <c r="AG83" i="11" s="1"/>
  <c r="AH83" i="11" s="1"/>
  <c r="AP87" i="11"/>
  <c r="AU87" i="11" s="1"/>
  <c r="AK87" i="11"/>
  <c r="AA85" i="11"/>
  <c r="AE85" i="11" s="1"/>
  <c r="AK86" i="11"/>
  <c r="AP86" i="11"/>
  <c r="AR86" i="11" s="1"/>
  <c r="AD92" i="11"/>
  <c r="AA121" i="11"/>
  <c r="AE121" i="11" s="1"/>
  <c r="AP122" i="11"/>
  <c r="AP128" i="11"/>
  <c r="AU128" i="11" s="1"/>
  <c r="AK128" i="11"/>
  <c r="AA125" i="11"/>
  <c r="AE125" i="11" s="1"/>
  <c r="AB137" i="11"/>
  <c r="AF137" i="11" s="1"/>
  <c r="AP141" i="11"/>
  <c r="AK141" i="11"/>
  <c r="AK140" i="11"/>
  <c r="AC21" i="11"/>
  <c r="AE20" i="11"/>
  <c r="AU153" i="11"/>
  <c r="AR153" i="11"/>
  <c r="AS153" i="11" s="1"/>
  <c r="Z19" i="11"/>
  <c r="AB139" i="11"/>
  <c r="AF139" i="11" s="1"/>
  <c r="AF104" i="11"/>
  <c r="Z104" i="11"/>
  <c r="AP164" i="11"/>
  <c r="AA161" i="11"/>
  <c r="AE161" i="11" s="1"/>
  <c r="BC111" i="11"/>
  <c r="AB81" i="11"/>
  <c r="AP81" i="11"/>
  <c r="AA122" i="11"/>
  <c r="AB122" i="11"/>
  <c r="AF122" i="11" s="1"/>
  <c r="AK123" i="11"/>
  <c r="AK122" i="11"/>
  <c r="AE63" i="11"/>
  <c r="AD123" i="11"/>
  <c r="AF123" i="11" s="1"/>
  <c r="AP20" i="11"/>
  <c r="AU20" i="11" s="1"/>
  <c r="AD159" i="11"/>
  <c r="AE140" i="11"/>
  <c r="AG140" i="11" s="1"/>
  <c r="AH140" i="11" s="1"/>
  <c r="Z140" i="11"/>
  <c r="AC141" i="11"/>
  <c r="AR38" i="11"/>
  <c r="AS38" i="11" s="1"/>
  <c r="AB65" i="11"/>
  <c r="AF65" i="11" s="1"/>
  <c r="AP69" i="11"/>
  <c r="AU69" i="11" s="1"/>
  <c r="AB74" i="11"/>
  <c r="AF74" i="11" s="1"/>
  <c r="Z74" i="11"/>
  <c r="BE89" i="11"/>
  <c r="Z132" i="11"/>
  <c r="AK134" i="11"/>
  <c r="AP152" i="11"/>
  <c r="AU152" i="11" s="1"/>
  <c r="AA149" i="11"/>
  <c r="AE149" i="11" s="1"/>
  <c r="AG149" i="11" s="1"/>
  <c r="AH149" i="11" s="1"/>
  <c r="AB158" i="11"/>
  <c r="AF158" i="11" s="1"/>
  <c r="AP159" i="11"/>
  <c r="AD51" i="11"/>
  <c r="BE185" i="11"/>
  <c r="BA185" i="11"/>
  <c r="AY42" i="11"/>
  <c r="AY45" i="11"/>
  <c r="AW44" i="11"/>
  <c r="AK62" i="11"/>
  <c r="Z59" i="11"/>
  <c r="AW74" i="11"/>
  <c r="BA71" i="11" s="1"/>
  <c r="AP183" i="11"/>
  <c r="AB179" i="11"/>
  <c r="AF179" i="11" s="1"/>
  <c r="Z98" i="11"/>
  <c r="AK110" i="11"/>
  <c r="AF117" i="11"/>
  <c r="AC205" i="11"/>
  <c r="AC206" i="11" s="1"/>
  <c r="AP104" i="11"/>
  <c r="AK74" i="11"/>
  <c r="AF110" i="11"/>
  <c r="AW56" i="11"/>
  <c r="AA90" i="11"/>
  <c r="AE90" i="11" s="1"/>
  <c r="AA97" i="11"/>
  <c r="AE97" i="11" s="1"/>
  <c r="AA98" i="11"/>
  <c r="AE98" i="11" s="1"/>
  <c r="AC117" i="11"/>
  <c r="Z117" i="11" s="1"/>
  <c r="AA44" i="11"/>
  <c r="AU123" i="11"/>
  <c r="AE204" i="11"/>
  <c r="AK195" i="11"/>
  <c r="AM194" i="11" s="1"/>
  <c r="AN194" i="11" s="1"/>
  <c r="AB164" i="11"/>
  <c r="AF164" i="11" s="1"/>
  <c r="AK92" i="11"/>
  <c r="Z90" i="11"/>
  <c r="AB97" i="11"/>
  <c r="AF97" i="11" s="1"/>
  <c r="AG71" i="11"/>
  <c r="AH71" i="11" s="1"/>
  <c r="Z18" i="11"/>
  <c r="Z29" i="11"/>
  <c r="AB29" i="11"/>
  <c r="AF29" i="11" s="1"/>
  <c r="AA29" i="11"/>
  <c r="AE29" i="11" s="1"/>
  <c r="AK45" i="11"/>
  <c r="AB48" i="11"/>
  <c r="AF48" i="11" s="1"/>
  <c r="BC56" i="11"/>
  <c r="BC57" i="11" s="1"/>
  <c r="AY54" i="11"/>
  <c r="AY57" i="11"/>
  <c r="AA68" i="11"/>
  <c r="Z71" i="11"/>
  <c r="AK75" i="11"/>
  <c r="AA72" i="11"/>
  <c r="AE72" i="11" s="1"/>
  <c r="Z72" i="11"/>
  <c r="AB98" i="11"/>
  <c r="AF98" i="11" s="1"/>
  <c r="Z144" i="11"/>
  <c r="BC188" i="11"/>
  <c r="BC189" i="11" s="1"/>
  <c r="AY186" i="11"/>
  <c r="AA108" i="11"/>
  <c r="AE108" i="11" s="1"/>
  <c r="AD20" i="11"/>
  <c r="Z20" i="11" s="1"/>
  <c r="AC44" i="11"/>
  <c r="AK63" i="11"/>
  <c r="BJ22" i="11"/>
  <c r="BN20" i="11"/>
  <c r="AP44" i="11"/>
  <c r="AP56" i="11"/>
  <c r="AA53" i="11"/>
  <c r="AE53" i="11" s="1"/>
  <c r="AF54" i="11"/>
  <c r="AA107" i="11"/>
  <c r="AE107" i="11" s="1"/>
  <c r="AA144" i="11"/>
  <c r="AE144" i="11" s="1"/>
  <c r="AF99" i="11"/>
  <c r="AK111" i="11"/>
  <c r="AG89" i="11"/>
  <c r="AH89" i="11" s="1"/>
  <c r="AF9" i="11"/>
  <c r="AF26" i="11"/>
  <c r="Z110" i="11"/>
  <c r="AU146" i="11"/>
  <c r="AR117" i="11"/>
  <c r="AS117" i="11" s="1"/>
  <c r="AF157" i="11"/>
  <c r="AB192" i="11"/>
  <c r="AF192" i="11" s="1"/>
  <c r="AG192" i="11" s="1"/>
  <c r="AH192" i="11" s="1"/>
  <c r="AK183" i="11"/>
  <c r="AG155" i="11"/>
  <c r="AH155" i="11" s="1"/>
  <c r="AK98" i="11"/>
  <c r="AK57" i="11"/>
  <c r="AA10" i="11"/>
  <c r="AP21" i="11"/>
  <c r="AU21" i="11" s="1"/>
  <c r="BA16" i="11" s="1"/>
  <c r="AB61" i="11"/>
  <c r="AF61" i="11" s="1"/>
  <c r="AB63" i="11"/>
  <c r="AB77" i="11"/>
  <c r="AF77" i="11" s="1"/>
  <c r="AB107" i="11"/>
  <c r="AF107" i="11" s="1"/>
  <c r="AA110" i="11"/>
  <c r="AE110" i="11" s="1"/>
  <c r="AE188" i="11"/>
  <c r="AC122" i="11"/>
  <c r="Z122" i="11" s="1"/>
  <c r="AJ83" i="11"/>
  <c r="AK50" i="11"/>
  <c r="AB18" i="11"/>
  <c r="AF18" i="11" s="1"/>
  <c r="BR18" i="11"/>
  <c r="BM23" i="11"/>
  <c r="AC49" i="11"/>
  <c r="Z73" i="11"/>
  <c r="AB73" i="11"/>
  <c r="AF73" i="11" s="1"/>
  <c r="Z91" i="11"/>
  <c r="AK99" i="11"/>
  <c r="AE8" i="11"/>
  <c r="AP158" i="11"/>
  <c r="Z120" i="11"/>
  <c r="AA48" i="11"/>
  <c r="AE48" i="11" s="1"/>
  <c r="AB19" i="11"/>
  <c r="AF19" i="11" s="1"/>
  <c r="AP39" i="11"/>
  <c r="AB37" i="11"/>
  <c r="AF37" i="11" s="1"/>
  <c r="AA57" i="11"/>
  <c r="AB57" i="11"/>
  <c r="AF57" i="11" s="1"/>
  <c r="BC194" i="11"/>
  <c r="AY195" i="11"/>
  <c r="AF205" i="11"/>
  <c r="AA25" i="11"/>
  <c r="AE25" i="11" s="1"/>
  <c r="AP45" i="11"/>
  <c r="AE61" i="11"/>
  <c r="AY105" i="11"/>
  <c r="AY147" i="11"/>
  <c r="AK27" i="11"/>
  <c r="AA74" i="11"/>
  <c r="AE74" i="11" s="1"/>
  <c r="AW110" i="11"/>
  <c r="AP129" i="11"/>
  <c r="AA139" i="11"/>
  <c r="AE139" i="11" s="1"/>
  <c r="BC195" i="11"/>
  <c r="AB43" i="11"/>
  <c r="AF43" i="11" s="1"/>
  <c r="BV43" i="11"/>
  <c r="AB90" i="11"/>
  <c r="AF90" i="11" s="1"/>
  <c r="AA96" i="11"/>
  <c r="AE96" i="11" s="1"/>
  <c r="AA157" i="11"/>
  <c r="AE157" i="11" s="1"/>
  <c r="Z183" i="11"/>
  <c r="AP201" i="11"/>
  <c r="AA200" i="11"/>
  <c r="AA201" i="11"/>
  <c r="AK21" i="11"/>
  <c r="AB21" i="11"/>
  <c r="AP26" i="11"/>
  <c r="AA43" i="11"/>
  <c r="AE43" i="11" s="1"/>
  <c r="AA79" i="11"/>
  <c r="AE79" i="11" s="1"/>
  <c r="BC93" i="11"/>
  <c r="AB95" i="11"/>
  <c r="AF95" i="11" s="1"/>
  <c r="AG95" i="11" s="1"/>
  <c r="AH95" i="11" s="1"/>
  <c r="AA99" i="11"/>
  <c r="AE99" i="11" s="1"/>
  <c r="AA135" i="11"/>
  <c r="AE135" i="11" s="1"/>
  <c r="AB171" i="11"/>
  <c r="AA193" i="11"/>
  <c r="AE193" i="11" s="1"/>
  <c r="AG193" i="11" s="1"/>
  <c r="AH193" i="11" s="1"/>
  <c r="AB194" i="11"/>
  <c r="AF194" i="11" s="1"/>
  <c r="AB200" i="11"/>
  <c r="AY21" i="11"/>
  <c r="BV33" i="11"/>
  <c r="AK81" i="11"/>
  <c r="AB87" i="11"/>
  <c r="AF87" i="11" s="1"/>
  <c r="AB131" i="11"/>
  <c r="AF131" i="11" s="1"/>
  <c r="AB134" i="11"/>
  <c r="AB151" i="11"/>
  <c r="AF151" i="11" s="1"/>
  <c r="AG151" i="11" s="1"/>
  <c r="AH151" i="11" s="1"/>
  <c r="AK170" i="11"/>
  <c r="AM170" i="11" s="1"/>
  <c r="AN170" i="11" s="1"/>
  <c r="AW20" i="11"/>
  <c r="AB24" i="11"/>
  <c r="AF24" i="11" s="1"/>
  <c r="AW32" i="11"/>
  <c r="AA117" i="11"/>
  <c r="Z87" i="11"/>
  <c r="AR152" i="11"/>
  <c r="AB165" i="11"/>
  <c r="AF165" i="11" s="1"/>
  <c r="AP165" i="11"/>
  <c r="AK165" i="11"/>
  <c r="AM164" i="11" s="1"/>
  <c r="AN164" i="11" s="1"/>
  <c r="AU99" i="11"/>
  <c r="AR20" i="11"/>
  <c r="Z111" i="11"/>
  <c r="AE129" i="11"/>
  <c r="AR111" i="11"/>
  <c r="AU111" i="11"/>
  <c r="AK207" i="11"/>
  <c r="AP207" i="11"/>
  <c r="AS176" i="11"/>
  <c r="AD129" i="11"/>
  <c r="AF128" i="11"/>
  <c r="BA161" i="11"/>
  <c r="AD152" i="11"/>
  <c r="Z151" i="11"/>
  <c r="BE179" i="11"/>
  <c r="AD195" i="11"/>
  <c r="AC189" i="11"/>
  <c r="Z188" i="11"/>
  <c r="Z26" i="11"/>
  <c r="Z44" i="11"/>
  <c r="Z139" i="11"/>
  <c r="BE95" i="11"/>
  <c r="AC9" i="11"/>
  <c r="BE203" i="11"/>
  <c r="Z8" i="11"/>
  <c r="AR69" i="11"/>
  <c r="AR182" i="11"/>
  <c r="AG173" i="11"/>
  <c r="AH173" i="11" s="1"/>
  <c r="AA103" i="11"/>
  <c r="AE103" i="11" s="1"/>
  <c r="AB103" i="11"/>
  <c r="AF103" i="11" s="1"/>
  <c r="AP134" i="11"/>
  <c r="AA132" i="11"/>
  <c r="AE132" i="11" s="1"/>
  <c r="AG132" i="11" s="1"/>
  <c r="AH132" i="11" s="1"/>
  <c r="AC165" i="11"/>
  <c r="Z164" i="11"/>
  <c r="AD175" i="11"/>
  <c r="AB175" i="11"/>
  <c r="AP177" i="11"/>
  <c r="AK177" i="11"/>
  <c r="AC200" i="11"/>
  <c r="AE199" i="11"/>
  <c r="Z199" i="11"/>
  <c r="Z205" i="11"/>
  <c r="BO23" i="11"/>
  <c r="AB50" i="11"/>
  <c r="AF50" i="11" s="1"/>
  <c r="AK51" i="11"/>
  <c r="BN53" i="11"/>
  <c r="BO53" i="11" s="1"/>
  <c r="BR48" i="11"/>
  <c r="AK104" i="11"/>
  <c r="AK105" i="11"/>
  <c r="AB101" i="11"/>
  <c r="AF101" i="11" s="1"/>
  <c r="AB102" i="11"/>
  <c r="AF102" i="11" s="1"/>
  <c r="AG102" i="11" s="1"/>
  <c r="AH102" i="11" s="1"/>
  <c r="AB127" i="11"/>
  <c r="AF127" i="11" s="1"/>
  <c r="AA127" i="11"/>
  <c r="AE127" i="11" s="1"/>
  <c r="AK153" i="11"/>
  <c r="AK152" i="11"/>
  <c r="AC158" i="11"/>
  <c r="Z157" i="11"/>
  <c r="AA159" i="11"/>
  <c r="AK159" i="11"/>
  <c r="AK158" i="11"/>
  <c r="AB159" i="11"/>
  <c r="AG179" i="11"/>
  <c r="AH179" i="11" s="1"/>
  <c r="AW38" i="11"/>
  <c r="Z42" i="11"/>
  <c r="AP33" i="11"/>
  <c r="AB33" i="11"/>
  <c r="AF33" i="11" s="1"/>
  <c r="AK44" i="11"/>
  <c r="AM44" i="11" s="1"/>
  <c r="AN44" i="11" s="1"/>
  <c r="AB41" i="11"/>
  <c r="AF41" i="11" s="1"/>
  <c r="AG41" i="11" s="1"/>
  <c r="AH41" i="11" s="1"/>
  <c r="Z41" i="11"/>
  <c r="Z67" i="11"/>
  <c r="AC68" i="11"/>
  <c r="AD79" i="11"/>
  <c r="Z78" i="11"/>
  <c r="AA113" i="11"/>
  <c r="AE113" i="11" s="1"/>
  <c r="AG113" i="11" s="1"/>
  <c r="AH113" i="11" s="1"/>
  <c r="AK116" i="11"/>
  <c r="AM116" i="11" s="1"/>
  <c r="AN116" i="11" s="1"/>
  <c r="Z125" i="11"/>
  <c r="AB125" i="11"/>
  <c r="AF125" i="11" s="1"/>
  <c r="AC146" i="11"/>
  <c r="Z145" i="11"/>
  <c r="AB152" i="11"/>
  <c r="AC32" i="11"/>
  <c r="Z32" i="11" s="1"/>
  <c r="Z31" i="11"/>
  <c r="AB31" i="11"/>
  <c r="AF31" i="11" s="1"/>
  <c r="AK32" i="11"/>
  <c r="AK33" i="11"/>
  <c r="AA31" i="11"/>
  <c r="AE31" i="11" s="1"/>
  <c r="AC37" i="11"/>
  <c r="Z37" i="11" s="1"/>
  <c r="AA38" i="11"/>
  <c r="AK38" i="11"/>
  <c r="AK39" i="11"/>
  <c r="BN40" i="11"/>
  <c r="BJ42" i="11"/>
  <c r="AB69" i="11"/>
  <c r="AF69" i="11" s="1"/>
  <c r="AK68" i="11"/>
  <c r="AA77" i="11"/>
  <c r="AE77" i="11" s="1"/>
  <c r="AG77" i="11" s="1"/>
  <c r="AH77" i="11" s="1"/>
  <c r="AP80" i="11"/>
  <c r="AK80" i="11"/>
  <c r="AB188" i="11"/>
  <c r="AF188" i="11" s="1"/>
  <c r="AK189" i="11"/>
  <c r="AM188" i="11" s="1"/>
  <c r="AN188" i="11" s="1"/>
  <c r="AP189" i="11"/>
  <c r="AA87" i="11"/>
  <c r="AE87" i="11" s="1"/>
  <c r="AA101" i="11"/>
  <c r="AE101" i="11" s="1"/>
  <c r="AA126" i="11"/>
  <c r="AE126" i="11" s="1"/>
  <c r="AG126" i="11" s="1"/>
  <c r="AH126" i="11" s="1"/>
  <c r="Z126" i="11"/>
  <c r="BC206" i="11"/>
  <c r="BC207" i="11" s="1"/>
  <c r="AY207" i="11"/>
  <c r="AK135" i="11"/>
  <c r="AB66" i="11"/>
  <c r="AF66" i="11" s="1"/>
  <c r="AK69" i="11"/>
  <c r="AA69" i="11"/>
  <c r="AA105" i="11"/>
  <c r="AE105" i="11" s="1"/>
  <c r="BC152" i="11"/>
  <c r="BC153" i="11" s="1"/>
  <c r="AY153" i="11"/>
  <c r="AY150" i="11"/>
  <c r="Z36" i="11"/>
  <c r="AA54" i="11"/>
  <c r="AE54" i="11" s="1"/>
  <c r="AK56" i="11"/>
  <c r="AW62" i="11"/>
  <c r="AA66" i="11"/>
  <c r="AE66" i="11" s="1"/>
  <c r="AB146" i="11"/>
  <c r="AF146" i="11" s="1"/>
  <c r="AP147" i="11"/>
  <c r="AA27" i="11"/>
  <c r="AE27" i="11" s="1"/>
  <c r="AB27" i="11"/>
  <c r="AF27" i="11" s="1"/>
  <c r="AP170" i="11"/>
  <c r="AP51" i="11"/>
  <c r="AB49" i="11"/>
  <c r="AF49" i="11" s="1"/>
  <c r="AA59" i="11"/>
  <c r="AE59" i="11" s="1"/>
  <c r="AB59" i="11"/>
  <c r="AF59" i="11" s="1"/>
  <c r="AB60" i="11"/>
  <c r="AF60" i="11" s="1"/>
  <c r="AA60" i="11"/>
  <c r="AE60" i="11" s="1"/>
  <c r="Z60" i="11"/>
  <c r="AA62" i="11"/>
  <c r="AE62" i="11" s="1"/>
  <c r="AA181" i="11"/>
  <c r="AE181" i="11" s="1"/>
  <c r="Z181" i="11"/>
  <c r="Z61" i="11"/>
  <c r="BC45" i="11"/>
  <c r="AB186" i="11"/>
  <c r="AF186" i="11" s="1"/>
  <c r="BV23" i="11"/>
  <c r="AW128" i="11"/>
  <c r="AA19" i="11"/>
  <c r="AE19" i="11" s="1"/>
  <c r="BK18" i="11"/>
  <c r="BL18" i="11" s="1"/>
  <c r="AA197" i="11"/>
  <c r="AE197" i="11" s="1"/>
  <c r="AG197" i="11" s="1"/>
  <c r="AH197" i="11" s="1"/>
  <c r="AA205" i="11"/>
  <c r="AE205" i="11" s="1"/>
  <c r="AB32" i="11"/>
  <c r="AF32" i="11" s="1"/>
  <c r="BK48" i="11"/>
  <c r="BL48" i="11" s="1"/>
  <c r="D272" i="2"/>
  <c r="D273" i="2" s="1"/>
  <c r="B400" i="2"/>
  <c r="D399" i="2"/>
  <c r="E399" i="2"/>
  <c r="E66" i="2"/>
  <c r="F62" i="2" s="1"/>
  <c r="D271" i="2"/>
  <c r="C290" i="2" s="1"/>
  <c r="C289" i="2"/>
  <c r="E46" i="2"/>
  <c r="F40" i="2" s="1"/>
  <c r="AG18" i="11" l="1"/>
  <c r="AH18" i="11" s="1"/>
  <c r="AG204" i="11"/>
  <c r="AH204" i="11" s="1"/>
  <c r="AR98" i="11"/>
  <c r="AS98" i="11" s="1"/>
  <c r="AG203" i="11"/>
  <c r="AH203" i="11" s="1"/>
  <c r="AR135" i="11"/>
  <c r="AS135" i="11" s="1"/>
  <c r="AR68" i="11"/>
  <c r="AS68" i="11" s="1"/>
  <c r="AG84" i="11"/>
  <c r="AH84" i="11" s="1"/>
  <c r="AG174" i="11"/>
  <c r="AH174" i="11" s="1"/>
  <c r="AG162" i="11"/>
  <c r="AH162" i="11" s="1"/>
  <c r="AG36" i="11"/>
  <c r="AH36" i="11" s="1"/>
  <c r="AU86" i="11"/>
  <c r="AG182" i="11"/>
  <c r="AH182" i="11" s="1"/>
  <c r="AR188" i="11"/>
  <c r="AG191" i="11"/>
  <c r="AH191" i="11" s="1"/>
  <c r="AG167" i="11"/>
  <c r="AH167" i="11" s="1"/>
  <c r="AF134" i="11"/>
  <c r="AG134" i="11" s="1"/>
  <c r="AH134" i="11" s="1"/>
  <c r="AG23" i="11"/>
  <c r="AH23" i="11" s="1"/>
  <c r="AG74" i="11"/>
  <c r="AH74" i="11" s="1"/>
  <c r="AD135" i="11"/>
  <c r="BE131" i="11"/>
  <c r="AG85" i="11"/>
  <c r="AH85" i="11" s="1"/>
  <c r="AG133" i="11"/>
  <c r="AH133" i="11" s="1"/>
  <c r="AU110" i="11"/>
  <c r="BE106" i="11" s="1"/>
  <c r="AU92" i="11"/>
  <c r="BE88" i="11" s="1"/>
  <c r="AU195" i="11"/>
  <c r="BA47" i="11"/>
  <c r="AF159" i="11"/>
  <c r="AF129" i="11"/>
  <c r="BE71" i="11"/>
  <c r="AG111" i="11"/>
  <c r="AH111" i="11" s="1"/>
  <c r="AG181" i="11"/>
  <c r="AH181" i="11" s="1"/>
  <c r="AG54" i="11"/>
  <c r="AH54" i="11" s="1"/>
  <c r="AM134" i="11"/>
  <c r="AN134" i="11" s="1"/>
  <c r="AG194" i="11"/>
  <c r="AH194" i="11" s="1"/>
  <c r="AG73" i="11"/>
  <c r="AH73" i="11" s="1"/>
  <c r="AG144" i="11"/>
  <c r="AH144" i="11" s="1"/>
  <c r="AM206" i="11"/>
  <c r="AN206" i="11" s="1"/>
  <c r="AM26" i="11"/>
  <c r="AN26" i="11" s="1"/>
  <c r="AF51" i="11"/>
  <c r="AR32" i="11"/>
  <c r="AS32" i="11" s="1"/>
  <c r="AG67" i="11"/>
  <c r="AH67" i="11" s="1"/>
  <c r="AG116" i="11"/>
  <c r="AH116" i="11" s="1"/>
  <c r="AM176" i="11"/>
  <c r="AN176" i="11" s="1"/>
  <c r="AR93" i="11"/>
  <c r="AS93" i="11" s="1"/>
  <c r="AG42" i="11"/>
  <c r="AH42" i="11" s="1"/>
  <c r="AM146" i="11"/>
  <c r="AN146" i="11" s="1"/>
  <c r="AM98" i="11"/>
  <c r="AN98" i="11" s="1"/>
  <c r="AF63" i="11"/>
  <c r="AG63" i="11" s="1"/>
  <c r="AH63" i="11" s="1"/>
  <c r="AM128" i="11"/>
  <c r="AN128" i="11" s="1"/>
  <c r="AG78" i="11"/>
  <c r="AH78" i="11" s="1"/>
  <c r="BA167" i="11"/>
  <c r="AM56" i="11"/>
  <c r="AN56" i="11" s="1"/>
  <c r="AG25" i="11"/>
  <c r="AH25" i="11" s="1"/>
  <c r="AG53" i="11"/>
  <c r="AH53" i="11" s="1"/>
  <c r="AM20" i="11"/>
  <c r="AN20" i="11" s="1"/>
  <c r="AM182" i="11"/>
  <c r="AN182" i="11" s="1"/>
  <c r="AG72" i="11"/>
  <c r="AH72" i="11" s="1"/>
  <c r="AG55" i="11"/>
  <c r="AH55" i="11" s="1"/>
  <c r="AG186" i="11"/>
  <c r="AH186" i="11" s="1"/>
  <c r="AG125" i="11"/>
  <c r="AH125" i="11" s="1"/>
  <c r="AR62" i="11"/>
  <c r="AE57" i="11"/>
  <c r="AG57" i="11" s="1"/>
  <c r="AH57" i="11" s="1"/>
  <c r="AE56" i="11"/>
  <c r="AG56" i="11" s="1"/>
  <c r="AH56" i="11" s="1"/>
  <c r="AG65" i="11"/>
  <c r="AH65" i="11" s="1"/>
  <c r="AG188" i="11"/>
  <c r="AH188" i="11" s="1"/>
  <c r="AG157" i="11"/>
  <c r="AH157" i="11" s="1"/>
  <c r="AR171" i="11"/>
  <c r="AS171" i="11" s="1"/>
  <c r="AG86" i="11"/>
  <c r="AH86" i="11" s="1"/>
  <c r="AG7" i="11"/>
  <c r="AH7" i="11" s="1"/>
  <c r="AG205" i="11"/>
  <c r="AH205" i="11" s="1"/>
  <c r="AG183" i="11"/>
  <c r="AH183" i="11" s="1"/>
  <c r="AG59" i="11"/>
  <c r="AH59" i="11" s="1"/>
  <c r="BE16" i="11"/>
  <c r="AG180" i="11"/>
  <c r="AH180" i="11" s="1"/>
  <c r="AG187" i="11"/>
  <c r="AH187" i="11" s="1"/>
  <c r="AG47" i="11"/>
  <c r="AH47" i="11" s="1"/>
  <c r="BE191" i="11"/>
  <c r="BA191" i="11"/>
  <c r="BN38" i="11"/>
  <c r="BM38" i="11"/>
  <c r="Z92" i="11"/>
  <c r="BE149" i="11"/>
  <c r="BA149" i="11"/>
  <c r="AG164" i="11"/>
  <c r="AH164" i="11" s="1"/>
  <c r="BI28" i="11"/>
  <c r="BA65" i="11"/>
  <c r="AG60" i="11"/>
  <c r="AH60" i="11" s="1"/>
  <c r="AM80" i="11"/>
  <c r="AN80" i="11" s="1"/>
  <c r="AG139" i="11"/>
  <c r="AH139" i="11" s="1"/>
  <c r="AG114" i="11"/>
  <c r="AH114" i="11" s="1"/>
  <c r="AR27" i="11"/>
  <c r="AS27" i="11" s="1"/>
  <c r="AU27" i="11"/>
  <c r="AU116" i="11"/>
  <c r="AR116" i="11"/>
  <c r="AS116" i="11" s="1"/>
  <c r="BE119" i="11"/>
  <c r="AG127" i="11"/>
  <c r="AH127" i="11" s="1"/>
  <c r="AF200" i="11"/>
  <c r="AM122" i="11"/>
  <c r="AN122" i="11" s="1"/>
  <c r="AG161" i="11"/>
  <c r="AH161" i="11" s="1"/>
  <c r="AM140" i="11"/>
  <c r="AN140" i="11" s="1"/>
  <c r="AG121" i="11"/>
  <c r="AH121" i="11" s="1"/>
  <c r="AR200" i="11"/>
  <c r="AS200" i="11" s="1"/>
  <c r="AU200" i="11"/>
  <c r="AG128" i="11"/>
  <c r="AH128" i="11" s="1"/>
  <c r="AG91" i="11"/>
  <c r="AH91" i="11" s="1"/>
  <c r="AR128" i="11"/>
  <c r="AS128" i="11" s="1"/>
  <c r="AR21" i="11"/>
  <c r="AS21" i="11" s="1"/>
  <c r="AR87" i="11"/>
  <c r="AS87" i="11" s="1"/>
  <c r="AG26" i="11"/>
  <c r="AH26" i="11" s="1"/>
  <c r="BE143" i="11"/>
  <c r="BA113" i="11"/>
  <c r="BE113" i="11"/>
  <c r="AG109" i="11"/>
  <c r="AH109" i="11" s="1"/>
  <c r="BA197" i="11"/>
  <c r="BE197" i="11"/>
  <c r="AG120" i="11"/>
  <c r="AH120" i="11" s="1"/>
  <c r="AR206" i="11"/>
  <c r="AS206" i="11" s="1"/>
  <c r="AU206" i="11"/>
  <c r="BJ33" i="11"/>
  <c r="BJ34" i="11" s="1"/>
  <c r="BJ30" i="11" s="1"/>
  <c r="BU28" i="11"/>
  <c r="BV28" i="11" s="1"/>
  <c r="BI30" i="11" s="1"/>
  <c r="AG108" i="11"/>
  <c r="AH108" i="11" s="1"/>
  <c r="AG29" i="11"/>
  <c r="AH29" i="11" s="1"/>
  <c r="AG62" i="11"/>
  <c r="AH62" i="11" s="1"/>
  <c r="AG131" i="11"/>
  <c r="AH131" i="11" s="1"/>
  <c r="AG96" i="11"/>
  <c r="AH96" i="11" s="1"/>
  <c r="AG97" i="11"/>
  <c r="AH97" i="11" s="1"/>
  <c r="AG137" i="11"/>
  <c r="AH137" i="11" s="1"/>
  <c r="BA23" i="11"/>
  <c r="AU63" i="11"/>
  <c r="BA58" i="11" s="1"/>
  <c r="AR63" i="11"/>
  <c r="AS63" i="11" s="1"/>
  <c r="AF199" i="11"/>
  <c r="AG199" i="11" s="1"/>
  <c r="AH199" i="11" s="1"/>
  <c r="Z56" i="11"/>
  <c r="AU75" i="11"/>
  <c r="AR75" i="11"/>
  <c r="AS75" i="11" s="1"/>
  <c r="AD170" i="11"/>
  <c r="Z169" i="11"/>
  <c r="AF169" i="11"/>
  <c r="AG169" i="11" s="1"/>
  <c r="AH169" i="11" s="1"/>
  <c r="AG90" i="11"/>
  <c r="AH90" i="11" s="1"/>
  <c r="BK30" i="11"/>
  <c r="AM86" i="11"/>
  <c r="AN86" i="11" s="1"/>
  <c r="AG30" i="11"/>
  <c r="AH30" i="11" s="1"/>
  <c r="AU50" i="11"/>
  <c r="AR50" i="11"/>
  <c r="AS50" i="11" s="1"/>
  <c r="AC93" i="11"/>
  <c r="AE93" i="11" s="1"/>
  <c r="AE92" i="11"/>
  <c r="AM200" i="11"/>
  <c r="AN200" i="11" s="1"/>
  <c r="BU48" i="11"/>
  <c r="BV48" i="11" s="1"/>
  <c r="BI50" i="11" s="1"/>
  <c r="BJ53" i="11"/>
  <c r="BJ54" i="11" s="1"/>
  <c r="BJ50" i="11" s="1"/>
  <c r="AM152" i="11"/>
  <c r="AN152" i="11" s="1"/>
  <c r="AG24" i="11"/>
  <c r="AH24" i="11" s="1"/>
  <c r="AG8" i="11"/>
  <c r="AH8" i="11" s="1"/>
  <c r="AG61" i="11"/>
  <c r="AH61" i="11" s="1"/>
  <c r="AM92" i="11"/>
  <c r="AN92" i="11" s="1"/>
  <c r="AM62" i="11"/>
  <c r="AN62" i="11" s="1"/>
  <c r="BE83" i="11"/>
  <c r="BA83" i="11"/>
  <c r="AU140" i="11"/>
  <c r="AR140" i="11"/>
  <c r="AS140" i="11" s="1"/>
  <c r="AG87" i="11"/>
  <c r="AH87" i="11" s="1"/>
  <c r="AR56" i="11"/>
  <c r="AU56" i="11"/>
  <c r="AR158" i="11"/>
  <c r="AU158" i="11"/>
  <c r="AC45" i="11"/>
  <c r="AE44" i="11"/>
  <c r="AG44" i="11" s="1"/>
  <c r="AH44" i="11" s="1"/>
  <c r="AU183" i="11"/>
  <c r="AR183" i="11"/>
  <c r="AS183" i="11" s="1"/>
  <c r="AR74" i="11"/>
  <c r="AU74" i="11"/>
  <c r="AR57" i="11"/>
  <c r="AS57" i="11" s="1"/>
  <c r="AU57" i="11"/>
  <c r="AU104" i="11"/>
  <c r="AR104" i="11"/>
  <c r="Z206" i="11"/>
  <c r="AC207" i="11"/>
  <c r="AE206" i="11"/>
  <c r="AG206" i="11" s="1"/>
  <c r="AH206" i="11" s="1"/>
  <c r="AG99" i="11"/>
  <c r="AH99" i="11" s="1"/>
  <c r="BU18" i="11"/>
  <c r="BV18" i="11" s="1"/>
  <c r="BI20" i="11" s="1"/>
  <c r="BJ23" i="11"/>
  <c r="BJ24" i="11" s="1"/>
  <c r="BJ20" i="11" s="1"/>
  <c r="AG104" i="11"/>
  <c r="AH104" i="11" s="1"/>
  <c r="AR141" i="11"/>
  <c r="AU141" i="11"/>
  <c r="AD93" i="11"/>
  <c r="AF92" i="11"/>
  <c r="AR122" i="11"/>
  <c r="AU122" i="11"/>
  <c r="BE29" i="11"/>
  <c r="BA29" i="11"/>
  <c r="AU159" i="11"/>
  <c r="AR159" i="11"/>
  <c r="AS159" i="11" s="1"/>
  <c r="AE141" i="11"/>
  <c r="AG141" i="11" s="1"/>
  <c r="AH141" i="11" s="1"/>
  <c r="Z141" i="11"/>
  <c r="AG129" i="11"/>
  <c r="AH129" i="11" s="1"/>
  <c r="BA17" i="11"/>
  <c r="BE17" i="11"/>
  <c r="AG43" i="11"/>
  <c r="AH43" i="11" s="1"/>
  <c r="AE122" i="11"/>
  <c r="AG122" i="11" s="1"/>
  <c r="AH122" i="11" s="1"/>
  <c r="AC123" i="11"/>
  <c r="AD21" i="11"/>
  <c r="AF21" i="11" s="1"/>
  <c r="AF20" i="11"/>
  <c r="AG20" i="11" s="1"/>
  <c r="AH20" i="11" s="1"/>
  <c r="AG98" i="11"/>
  <c r="AH98" i="11" s="1"/>
  <c r="BE53" i="11"/>
  <c r="BA53" i="11"/>
  <c r="AS115" i="11"/>
  <c r="AE21" i="11"/>
  <c r="AR26" i="11"/>
  <c r="AU26" i="11"/>
  <c r="AC50" i="11"/>
  <c r="AE49" i="11"/>
  <c r="AG49" i="11" s="1"/>
  <c r="AH49" i="11" s="1"/>
  <c r="Z49" i="11"/>
  <c r="AG48" i="11"/>
  <c r="AH48" i="11" s="1"/>
  <c r="AG110" i="11"/>
  <c r="AH110" i="11" s="1"/>
  <c r="AM110" i="11"/>
  <c r="AN110" i="11" s="1"/>
  <c r="AR81" i="11"/>
  <c r="AS81" i="11" s="1"/>
  <c r="AU81" i="11"/>
  <c r="AS195" i="11"/>
  <c r="AS193" i="11"/>
  <c r="AG19" i="11"/>
  <c r="AH19" i="11" s="1"/>
  <c r="AM50" i="11"/>
  <c r="AN50" i="11" s="1"/>
  <c r="AE117" i="11"/>
  <c r="AG117" i="11" s="1"/>
  <c r="AH117" i="11" s="1"/>
  <c r="AU201" i="11"/>
  <c r="AR201" i="11"/>
  <c r="AR45" i="11"/>
  <c r="AS45" i="11" s="1"/>
  <c r="AU45" i="11"/>
  <c r="AR39" i="11"/>
  <c r="AS39" i="11" s="1"/>
  <c r="AU39" i="11"/>
  <c r="AG107" i="11"/>
  <c r="AH107" i="11" s="1"/>
  <c r="BE41" i="11"/>
  <c r="BA41" i="11"/>
  <c r="AF135" i="11"/>
  <c r="AG135" i="11" s="1"/>
  <c r="AH135" i="11" s="1"/>
  <c r="Z135" i="11"/>
  <c r="BA107" i="11"/>
  <c r="BE107" i="11"/>
  <c r="AR44" i="11"/>
  <c r="AU44" i="11"/>
  <c r="AG27" i="11"/>
  <c r="AH27" i="11" s="1"/>
  <c r="AU129" i="11"/>
  <c r="BA124" i="11" s="1"/>
  <c r="AR129" i="11"/>
  <c r="AS129" i="11" s="1"/>
  <c r="AM74" i="11"/>
  <c r="AN74" i="11" s="1"/>
  <c r="AR164" i="11"/>
  <c r="AS164" i="11" s="1"/>
  <c r="AU164" i="11"/>
  <c r="BA190" i="11"/>
  <c r="BE190" i="11"/>
  <c r="AU80" i="11"/>
  <c r="AR80" i="11"/>
  <c r="AR51" i="11"/>
  <c r="AU51" i="11"/>
  <c r="AR207" i="11"/>
  <c r="AU207" i="11"/>
  <c r="BA94" i="11"/>
  <c r="BE94" i="11"/>
  <c r="BN48" i="11"/>
  <c r="BM48" i="11"/>
  <c r="AM68" i="11"/>
  <c r="AN68" i="11" s="1"/>
  <c r="Z189" i="11"/>
  <c r="AE189" i="11"/>
  <c r="AG189" i="11" s="1"/>
  <c r="AH189" i="11" s="1"/>
  <c r="BA59" i="11"/>
  <c r="BE59" i="11"/>
  <c r="AE68" i="11"/>
  <c r="AG68" i="11" s="1"/>
  <c r="AH68" i="11" s="1"/>
  <c r="Z68" i="11"/>
  <c r="AC69" i="11"/>
  <c r="AM104" i="11"/>
  <c r="AN104" i="11" s="1"/>
  <c r="AG105" i="11"/>
  <c r="AH105" i="11" s="1"/>
  <c r="Z175" i="11"/>
  <c r="AD176" i="11"/>
  <c r="AF175" i="11"/>
  <c r="AG175" i="11" s="1"/>
  <c r="AH175" i="11" s="1"/>
  <c r="AS92" i="11"/>
  <c r="AS86" i="11"/>
  <c r="BE125" i="11"/>
  <c r="BA125" i="11"/>
  <c r="AR170" i="11"/>
  <c r="AU170" i="11"/>
  <c r="AE37" i="11"/>
  <c r="AG37" i="11" s="1"/>
  <c r="AH37" i="11" s="1"/>
  <c r="AC38" i="11"/>
  <c r="AC33" i="11"/>
  <c r="AE32" i="11"/>
  <c r="AG32" i="11" s="1"/>
  <c r="AH32" i="11" s="1"/>
  <c r="AG66" i="11"/>
  <c r="AH66" i="11" s="1"/>
  <c r="AM158" i="11"/>
  <c r="AN158" i="11" s="1"/>
  <c r="BA106" i="11"/>
  <c r="BU38" i="11"/>
  <c r="BV38" i="11" s="1"/>
  <c r="BI40" i="11" s="1"/>
  <c r="BJ43" i="11"/>
  <c r="BJ44" i="11" s="1"/>
  <c r="BJ40" i="11" s="1"/>
  <c r="AE200" i="11"/>
  <c r="AC201" i="11"/>
  <c r="Z200" i="11"/>
  <c r="AS188" i="11"/>
  <c r="AS61" i="11"/>
  <c r="AS62" i="11"/>
  <c r="BE35" i="11"/>
  <c r="BA35" i="11"/>
  <c r="AE165" i="11"/>
  <c r="AG165" i="11" s="1"/>
  <c r="AH165" i="11" s="1"/>
  <c r="Z165" i="11"/>
  <c r="AF195" i="11"/>
  <c r="AG195" i="11" s="1"/>
  <c r="AH195" i="11" s="1"/>
  <c r="Z195" i="11"/>
  <c r="AU165" i="11"/>
  <c r="AR165" i="11"/>
  <c r="AU147" i="11"/>
  <c r="AR147" i="11"/>
  <c r="BE58" i="11"/>
  <c r="AM32" i="11"/>
  <c r="AN32" i="11" s="1"/>
  <c r="AC147" i="11"/>
  <c r="Z146" i="11"/>
  <c r="AE146" i="11"/>
  <c r="AG146" i="11" s="1"/>
  <c r="AH146" i="11" s="1"/>
  <c r="AU177" i="11"/>
  <c r="AR177" i="11"/>
  <c r="AU134" i="11"/>
  <c r="AR134" i="11"/>
  <c r="AS182" i="11"/>
  <c r="BA64" i="11"/>
  <c r="BE64" i="11"/>
  <c r="AS151" i="11"/>
  <c r="AS152" i="11"/>
  <c r="Z129" i="11"/>
  <c r="AR189" i="11"/>
  <c r="AS189" i="11" s="1"/>
  <c r="AU189" i="11"/>
  <c r="AS111" i="11"/>
  <c r="AS109" i="11"/>
  <c r="AE9" i="11"/>
  <c r="AG9" i="11" s="1"/>
  <c r="AH9" i="11" s="1"/>
  <c r="AC10" i="11"/>
  <c r="Z9" i="11"/>
  <c r="AD153" i="11"/>
  <c r="Z152" i="11"/>
  <c r="AF152" i="11"/>
  <c r="AG152" i="11" s="1"/>
  <c r="AH152" i="11" s="1"/>
  <c r="BM18" i="11"/>
  <c r="BN18" i="11"/>
  <c r="AM38" i="11"/>
  <c r="AN38" i="11" s="1"/>
  <c r="AG31" i="11"/>
  <c r="AH31" i="11" s="1"/>
  <c r="Z79" i="11"/>
  <c r="AD80" i="11"/>
  <c r="AF79" i="11"/>
  <c r="AG79" i="11" s="1"/>
  <c r="AH79" i="11" s="1"/>
  <c r="AR33" i="11"/>
  <c r="AU33" i="11"/>
  <c r="AG101" i="11"/>
  <c r="AH101" i="11" s="1"/>
  <c r="AG103" i="11"/>
  <c r="AH103" i="11" s="1"/>
  <c r="AS67" i="11"/>
  <c r="AS69" i="11"/>
  <c r="AS20" i="11"/>
  <c r="BA148" i="11"/>
  <c r="BE148" i="11"/>
  <c r="AC159" i="11"/>
  <c r="AE158" i="11"/>
  <c r="AG158" i="11" s="1"/>
  <c r="AH158" i="11" s="1"/>
  <c r="Z158" i="11"/>
  <c r="BA88" i="11"/>
  <c r="AS97" i="11"/>
  <c r="AS99" i="11"/>
  <c r="BE82" i="11"/>
  <c r="BA82" i="11"/>
  <c r="C291" i="2"/>
  <c r="D275" i="2"/>
  <c r="C293" i="2" s="1"/>
  <c r="E400" i="2"/>
  <c r="D400" i="2"/>
  <c r="D276" i="2"/>
  <c r="C295" i="2" s="1"/>
  <c r="BL30" i="11" l="1"/>
  <c r="BM30" i="11" s="1"/>
  <c r="BO30" i="11" s="1"/>
  <c r="BP30" i="11" s="1"/>
  <c r="BS30" i="11" s="1"/>
  <c r="BT30" i="11" s="1"/>
  <c r="BU30" i="11" s="1"/>
  <c r="AS91" i="11"/>
  <c r="BE124" i="11"/>
  <c r="AS19" i="11"/>
  <c r="BS38" i="11"/>
  <c r="BT38" i="11" s="1"/>
  <c r="BQ38" i="11"/>
  <c r="AS37" i="11"/>
  <c r="AD171" i="11"/>
  <c r="Z170" i="11"/>
  <c r="AF170" i="11"/>
  <c r="AG170" i="11" s="1"/>
  <c r="AH170" i="11" s="1"/>
  <c r="AG200" i="11"/>
  <c r="AH200" i="11" s="1"/>
  <c r="AS85" i="11"/>
  <c r="BA112" i="11"/>
  <c r="BE112" i="11"/>
  <c r="AS181" i="11"/>
  <c r="AG92" i="11"/>
  <c r="AH92" i="11" s="1"/>
  <c r="AS26" i="11"/>
  <c r="AS25" i="11"/>
  <c r="BE196" i="11"/>
  <c r="BA196" i="11"/>
  <c r="AG21" i="11"/>
  <c r="AH21" i="11" s="1"/>
  <c r="BE154" i="11"/>
  <c r="BA154" i="11"/>
  <c r="AS199" i="11"/>
  <c r="AS201" i="11"/>
  <c r="AS122" i="11"/>
  <c r="AS121" i="11"/>
  <c r="Z45" i="11"/>
  <c r="AE45" i="11"/>
  <c r="AG45" i="11" s="1"/>
  <c r="AH45" i="11" s="1"/>
  <c r="Z21" i="11"/>
  <c r="AE123" i="11"/>
  <c r="AG123" i="11" s="1"/>
  <c r="AH123" i="11" s="1"/>
  <c r="Z123" i="11"/>
  <c r="AF93" i="11"/>
  <c r="AG93" i="11" s="1"/>
  <c r="AH93" i="11" s="1"/>
  <c r="Z93" i="11"/>
  <c r="BE70" i="11"/>
  <c r="BA70" i="11"/>
  <c r="AS158" i="11"/>
  <c r="AS157" i="11"/>
  <c r="BA22" i="11"/>
  <c r="BE22" i="11"/>
  <c r="BE100" i="11"/>
  <c r="BA100" i="11"/>
  <c r="AS44" i="11"/>
  <c r="AS43" i="11"/>
  <c r="BE34" i="11"/>
  <c r="BA34" i="11"/>
  <c r="AS141" i="11"/>
  <c r="AS139" i="11"/>
  <c r="AE207" i="11"/>
  <c r="AG207" i="11" s="1"/>
  <c r="AH207" i="11" s="1"/>
  <c r="Z207" i="11"/>
  <c r="BA52" i="11"/>
  <c r="BE52" i="11"/>
  <c r="BE118" i="11"/>
  <c r="BA118" i="11"/>
  <c r="BE40" i="11"/>
  <c r="BA40" i="11"/>
  <c r="BE178" i="11"/>
  <c r="BA178" i="11"/>
  <c r="AS56" i="11"/>
  <c r="AS55" i="11"/>
  <c r="BA136" i="11"/>
  <c r="BE136" i="11"/>
  <c r="AS74" i="11"/>
  <c r="AS73" i="11"/>
  <c r="AS127" i="11"/>
  <c r="AC51" i="11"/>
  <c r="AE50" i="11"/>
  <c r="AG50" i="11" s="1"/>
  <c r="AH50" i="11" s="1"/>
  <c r="Z50" i="11"/>
  <c r="AS104" i="11"/>
  <c r="AS103" i="11"/>
  <c r="AE201" i="11"/>
  <c r="AG201" i="11" s="1"/>
  <c r="AH201" i="11" s="1"/>
  <c r="Z201" i="11"/>
  <c r="AS207" i="11"/>
  <c r="AS205" i="11"/>
  <c r="AD81" i="11"/>
  <c r="AF80" i="11"/>
  <c r="AG80" i="11" s="1"/>
  <c r="AH80" i="11" s="1"/>
  <c r="Z80" i="11"/>
  <c r="AF153" i="11"/>
  <c r="AG153" i="11" s="1"/>
  <c r="AH153" i="11" s="1"/>
  <c r="Z153" i="11"/>
  <c r="AS147" i="11"/>
  <c r="AS145" i="11"/>
  <c r="BA46" i="11"/>
  <c r="BE46" i="11"/>
  <c r="BA28" i="11"/>
  <c r="BE28" i="11"/>
  <c r="AE33" i="11"/>
  <c r="AG33" i="11" s="1"/>
  <c r="AH33" i="11" s="1"/>
  <c r="Z33" i="11"/>
  <c r="AE69" i="11"/>
  <c r="AG69" i="11" s="1"/>
  <c r="AH69" i="11" s="1"/>
  <c r="Z69" i="11"/>
  <c r="Z10" i="11"/>
  <c r="AE10" i="11"/>
  <c r="AG10" i="11" s="1"/>
  <c r="AH10" i="11" s="1"/>
  <c r="BE130" i="11"/>
  <c r="BA130" i="11"/>
  <c r="AS165" i="11"/>
  <c r="AS163" i="11"/>
  <c r="Z38" i="11"/>
  <c r="AC39" i="11"/>
  <c r="AE38" i="11"/>
  <c r="AG38" i="11" s="1"/>
  <c r="AH38" i="11" s="1"/>
  <c r="AS80" i="11"/>
  <c r="AS79" i="11"/>
  <c r="Z147" i="11"/>
  <c r="AE147" i="11"/>
  <c r="AG147" i="11" s="1"/>
  <c r="AH147" i="11" s="1"/>
  <c r="BE142" i="11"/>
  <c r="BA142" i="11"/>
  <c r="AS177" i="11"/>
  <c r="AS175" i="11"/>
  <c r="BE160" i="11"/>
  <c r="BA160" i="11"/>
  <c r="BS48" i="11"/>
  <c r="BT48" i="11" s="1"/>
  <c r="BQ48" i="11"/>
  <c r="BA76" i="11"/>
  <c r="BE76" i="11"/>
  <c r="AS133" i="11"/>
  <c r="AS134" i="11"/>
  <c r="AS49" i="11"/>
  <c r="AS51" i="11"/>
  <c r="Z159" i="11"/>
  <c r="AE159" i="11"/>
  <c r="AG159" i="11" s="1"/>
  <c r="AH159" i="11" s="1"/>
  <c r="BQ18" i="11"/>
  <c r="BS18" i="11"/>
  <c r="BT18" i="11" s="1"/>
  <c r="BA172" i="11"/>
  <c r="BE172" i="11"/>
  <c r="AS187" i="11"/>
  <c r="BE166" i="11"/>
  <c r="BA166" i="11"/>
  <c r="AS170" i="11"/>
  <c r="AS169" i="11"/>
  <c r="AF176" i="11"/>
  <c r="AG176" i="11" s="1"/>
  <c r="AH176" i="11" s="1"/>
  <c r="AD177" i="11"/>
  <c r="Z176" i="11"/>
  <c r="AS33" i="11"/>
  <c r="AS31" i="11"/>
  <c r="BE184" i="11"/>
  <c r="BA184" i="11"/>
  <c r="BE202" i="11"/>
  <c r="BA202" i="11"/>
  <c r="C330" i="2"/>
  <c r="D330" i="2" s="1"/>
  <c r="E330" i="2" s="1"/>
  <c r="C319" i="2"/>
  <c r="D319" i="2" s="1"/>
  <c r="E319" i="2" s="1"/>
  <c r="C331" i="2"/>
  <c r="D331" i="2" s="1"/>
  <c r="E331" i="2" s="1"/>
  <c r="C322" i="2"/>
  <c r="D322" i="2" s="1"/>
  <c r="E322" i="2" s="1"/>
  <c r="C329" i="2"/>
  <c r="D329" i="2" s="1"/>
  <c r="E329" i="2" s="1"/>
  <c r="C323" i="2"/>
  <c r="D323" i="2" s="1"/>
  <c r="E323" i="2" s="1"/>
  <c r="D301" i="2"/>
  <c r="D303" i="2" s="1"/>
  <c r="C334" i="2"/>
  <c r="D334" i="2" s="1"/>
  <c r="E334" i="2" s="1"/>
  <c r="C337" i="2"/>
  <c r="D337" i="2" s="1"/>
  <c r="E337" i="2" s="1"/>
  <c r="C326" i="2"/>
  <c r="D326" i="2" s="1"/>
  <c r="E326" i="2" s="1"/>
  <c r="C327" i="2"/>
  <c r="D327" i="2" s="1"/>
  <c r="E327" i="2" s="1"/>
  <c r="C335" i="2"/>
  <c r="D335" i="2" s="1"/>
  <c r="E335" i="2" s="1"/>
  <c r="C325" i="2"/>
  <c r="D325" i="2" s="1"/>
  <c r="E325" i="2" s="1"/>
  <c r="C321" i="2"/>
  <c r="D321" i="2" s="1"/>
  <c r="E321" i="2" s="1"/>
  <c r="C320" i="2"/>
  <c r="D320" i="2" s="1"/>
  <c r="E320" i="2" s="1"/>
  <c r="C336" i="2"/>
  <c r="D336" i="2" s="1"/>
  <c r="E336" i="2" s="1"/>
  <c r="C328" i="2"/>
  <c r="D328" i="2" s="1"/>
  <c r="E328" i="2" s="1"/>
  <c r="C324" i="2"/>
  <c r="D324" i="2" s="1"/>
  <c r="E324" i="2" s="1"/>
  <c r="C332" i="2"/>
  <c r="D332" i="2" s="1"/>
  <c r="E332" i="2" s="1"/>
  <c r="C333" i="2"/>
  <c r="D333" i="2" s="1"/>
  <c r="E333" i="2" s="1"/>
  <c r="BI38" i="11" l="1"/>
  <c r="BK40" i="11"/>
  <c r="BL40" i="11" s="1"/>
  <c r="BM40" i="11" s="1"/>
  <c r="BO40" i="11" s="1"/>
  <c r="BP40" i="11" s="1"/>
  <c r="BS40" i="11" s="1"/>
  <c r="BT40" i="11" s="1"/>
  <c r="BU40" i="11" s="1"/>
  <c r="BJ38" i="11"/>
  <c r="AF171" i="11"/>
  <c r="AG171" i="11" s="1"/>
  <c r="AH171" i="11" s="1"/>
  <c r="Z171" i="11"/>
  <c r="AE51" i="11"/>
  <c r="AG51" i="11" s="1"/>
  <c r="AH51" i="11" s="1"/>
  <c r="Z51" i="11"/>
  <c r="BI48" i="11"/>
  <c r="BK50" i="11"/>
  <c r="BL50" i="11" s="1"/>
  <c r="BM50" i="11" s="1"/>
  <c r="BO50" i="11" s="1"/>
  <c r="BP50" i="11" s="1"/>
  <c r="BS50" i="11" s="1"/>
  <c r="BT50" i="11" s="1"/>
  <c r="BU50" i="11" s="1"/>
  <c r="BJ48" i="11"/>
  <c r="Z177" i="11"/>
  <c r="AF177" i="11"/>
  <c r="AG177" i="11" s="1"/>
  <c r="AH177" i="11" s="1"/>
  <c r="AF81" i="11"/>
  <c r="AG81" i="11" s="1"/>
  <c r="AH81" i="11" s="1"/>
  <c r="Z81" i="11"/>
  <c r="BK20" i="11"/>
  <c r="BL20" i="11" s="1"/>
  <c r="BM20" i="11" s="1"/>
  <c r="BO20" i="11" s="1"/>
  <c r="BP20" i="11" s="1"/>
  <c r="BS20" i="11" s="1"/>
  <c r="BT20" i="11" s="1"/>
  <c r="BU20" i="11" s="1"/>
  <c r="BJ18" i="11"/>
  <c r="BI18" i="11"/>
  <c r="AE39" i="11"/>
  <c r="AG39" i="11" s="1"/>
  <c r="AH39" i="11" s="1"/>
  <c r="Z39" i="11"/>
</calcChain>
</file>

<file path=xl/sharedStrings.xml><?xml version="1.0" encoding="utf-8"?>
<sst xmlns="http://schemas.openxmlformats.org/spreadsheetml/2006/main" count="7155" uniqueCount="850">
  <si>
    <t>X</t>
  </si>
  <si>
    <t>Y</t>
  </si>
  <si>
    <t>K</t>
  </si>
  <si>
    <t>W</t>
  </si>
  <si>
    <t>La siguiente es una descripción de la filosofía de diseño, criterios y metodología adoptados para diseñar</t>
  </si>
  <si>
    <t>kg/m2.</t>
  </si>
  <si>
    <t>peso propio instalaciones</t>
  </si>
  <si>
    <t xml:space="preserve">total carga muerta </t>
  </si>
  <si>
    <t>D=</t>
  </si>
  <si>
    <t>CARGA VIVA</t>
  </si>
  <si>
    <t>L=</t>
  </si>
  <si>
    <t>B.1.1</t>
  </si>
  <si>
    <t>FAUSTO PONGUILLO ANDRADE</t>
  </si>
  <si>
    <t>CAPITULO 2</t>
  </si>
  <si>
    <t>ESPECIFICACIONES TECNICAS PARA EL HORMIGON ARMADO</t>
  </si>
  <si>
    <t>Los diseños correspondientes se presentan en los respectivos planos, en general las características</t>
  </si>
  <si>
    <t>sismoresistentes del proyecto deberán ser aseguradas mediante una construcción que esté de acuerdo con</t>
  </si>
  <si>
    <t>lo epecificado en ete capítulo y en los planos.</t>
  </si>
  <si>
    <t>En general y particular deberán seguirse las normas y recomendaciones que da el Código Ecuatoriano de la</t>
  </si>
  <si>
    <t>Construcción y el Instituto Ecuatoriano de Normalización, en su defecto se usará las normas y</t>
  </si>
  <si>
    <t>procedimientos del American Cocrete Institute (ACI 318-89) o las del American Society for Testing and</t>
  </si>
  <si>
    <t>Materials (ASTM).</t>
  </si>
  <si>
    <t>En especial se deberá coordinar los planos arquitectónicos y de instalaciones con los planos estructurales,</t>
  </si>
  <si>
    <t>en caso de conflicto se deberá consultar al Ing. Estructural, toda desición sin embargo será aprobada por la</t>
  </si>
  <si>
    <t>Dirección Técnica de la Obra.</t>
  </si>
  <si>
    <t>COMPOSICION DEL HORMIGON</t>
  </si>
  <si>
    <t>El hormigón deberá estar compuesto de cemento Portland, agregados finos, agregados gruesos y agua en</t>
  </si>
  <si>
    <t>las proporciones que el diseño de dosificaciones dé , con el objeto de que sea trabajable.</t>
  </si>
  <si>
    <t>Al hormigón podrá adicionarsele aditivos  como por ejemplo: reductores de aire, aceleradores de fraguado,</t>
  </si>
  <si>
    <t>hidrófugos y otros que el constructor estime conveniente, previa la autorización de la Dirección técnica. En</t>
  </si>
  <si>
    <t>todo caso deberán cumplir la norma ASTM C 494.</t>
  </si>
  <si>
    <t>El constructor deberá someter a la aprobación de la Dirección Técnica, al inicio de la construcción , los</t>
  </si>
  <si>
    <t>diseños de los hormigones especificados los cuales deberán ser realizados por personal calificado y de</t>
  </si>
  <si>
    <t>acuerdo a las siguientes epecificaciones:</t>
  </si>
  <si>
    <t>tamaño máximo de agregado grueso</t>
  </si>
  <si>
    <t>elemento estructural</t>
  </si>
  <si>
    <t>tamaño maximo</t>
  </si>
  <si>
    <t>cm</t>
  </si>
  <si>
    <t>plg</t>
  </si>
  <si>
    <t>cimentaciones y columnas</t>
  </si>
  <si>
    <t>muros,  vigas y nervaduras de losas</t>
  </si>
  <si>
    <t>faldones</t>
  </si>
  <si>
    <t>El asentamiento mínimo del hormigón, para todos los diseños debera estar entre 2 a 3 pulgadas y nunca</t>
  </si>
  <si>
    <t>podrá exeder de 5 pulgadas</t>
  </si>
  <si>
    <t>Para el asentamiento máximo se regirá mediante las recomendaciones del laboratorio de materiales para los</t>
  </si>
  <si>
    <t>casos en que se use hormigón bombeado con o sin plastificantes.</t>
  </si>
  <si>
    <t>Cuando el cosntructor use aditivos de los mencionados anteriormente, deberá presentar a la Dirección</t>
  </si>
  <si>
    <t xml:space="preserve">técnica pruebas de que dichas substancias no afectan  a la resistencia futura del hormigón, deberá </t>
  </si>
  <si>
    <t>asimsimo hacer aprobar los detalles del uso, las proporciones  y demás condiciones del fabricante.</t>
  </si>
  <si>
    <t>Para el desencofrado en caso de usos de aditivos el cosntructor consultará a la direción técnica el inicio e</t>
  </si>
  <si>
    <t>esta actividad.</t>
  </si>
  <si>
    <t>MATERIALES PARA HORMIGON</t>
  </si>
  <si>
    <t>En lo posible el constructor deberá usar los materiales de una sola mina para asegurar las propiedades</t>
  </si>
  <si>
    <t>costantes del hormigón y la uniformidad de la coloración del hormigón visto.</t>
  </si>
  <si>
    <t>Podrá usarse hormigón premezclado con el visto bueno de la Dirección Técnica  siempre y cuando se</t>
  </si>
  <si>
    <t>asegure  que cumpla con los requisitos de control de calidad exigidos por el INEN.</t>
  </si>
  <si>
    <t>Cemento</t>
  </si>
  <si>
    <t>El cemento que deberá usarse es el Portland Tipo I, cuyas características se controlan con la</t>
  </si>
  <si>
    <t>norma INEN 152. También se podrá usar el Portland IE cuyas características son controladas con</t>
  </si>
  <si>
    <t>la norma INEN 1548.</t>
  </si>
  <si>
    <t>El cemento deberá almacenarse en bodegas adecuadas, sus existencias rotadas y en no mas de</t>
  </si>
  <si>
    <t>6 sacos por ruma.</t>
  </si>
  <si>
    <t>Agregado grueso</t>
  </si>
  <si>
    <t>La dirección Ténica calificará y aprobará los agregados gruesos mediante análisis de laboratorios</t>
  </si>
  <si>
    <t>especializados y mediante la norma ASTM C 33 ( tabla 2)</t>
  </si>
  <si>
    <t>La gradación en porcentaje pasando por peso será:</t>
  </si>
  <si>
    <t>tamiz</t>
  </si>
  <si>
    <t xml:space="preserve">tamaño </t>
  </si>
  <si>
    <t>tamaño</t>
  </si>
  <si>
    <t>máximo  5.08</t>
  </si>
  <si>
    <t>maximo 3.81</t>
  </si>
  <si>
    <t>maximo 1.91</t>
  </si>
  <si>
    <t>5-5</t>
  </si>
  <si>
    <t>0-5</t>
  </si>
  <si>
    <t>El agregado grueso sera de piedra de cantera, triturado mecánicamente , con características que</t>
  </si>
  <si>
    <t>cumplan las normas pertinentes del INEN y la granulometría que indique el diseño.</t>
  </si>
  <si>
    <t>El agregado deberá estar perfectamente limpio, libre de impurezas y saturado para su uso.</t>
  </si>
  <si>
    <t>Agregado fino</t>
  </si>
  <si>
    <t xml:space="preserve">Deberá ser limpio, del tamaño y granulometría adecuados, y previamente calificado y aprobado </t>
  </si>
  <si>
    <t>por la Dirección Técnica de la obra, a traves de los resultados de los ensayos efectuados por un</t>
  </si>
  <si>
    <t xml:space="preserve">laboratorio especializado, se someterá a la Norma INEN 154. </t>
  </si>
  <si>
    <t>No se usará arena de mar en ninguna forma.</t>
  </si>
  <si>
    <t>La gradación en porcentaje por peso será la siguiente:</t>
  </si>
  <si>
    <t>porcentaje que pasa</t>
  </si>
  <si>
    <t>mm.</t>
  </si>
  <si>
    <t>95-100</t>
  </si>
  <si>
    <t>50-85</t>
  </si>
  <si>
    <t>N. 30</t>
  </si>
  <si>
    <t>N. 100</t>
  </si>
  <si>
    <t>2-10</t>
  </si>
  <si>
    <t>No más del 35% pasará a travéz de un tamiz estandard y quedará retenido en el siguiente tamiz</t>
  </si>
  <si>
    <t>menor . El módulo de finura no debe ser menor que 2.6 ni mayor que 2.9</t>
  </si>
  <si>
    <t>No se deberá usar arena de minas no calificadas con el objeto de evitar sales y compuestos</t>
  </si>
  <si>
    <t>orgánicos nocivos.</t>
  </si>
  <si>
    <t>Agua</t>
  </si>
  <si>
    <t>Solamente podrá usarse  agua potable , sin residuos de aceite, ácidos, sales, material orgánico u</t>
  </si>
  <si>
    <t>otras substancias perjudiciales.</t>
  </si>
  <si>
    <t>Acero de refuerzo</t>
  </si>
  <si>
    <t>Se usará varilla corrugada normal de construcción, sus características deberán estar regidas por</t>
  </si>
  <si>
    <t>la norma INEN 102.</t>
  </si>
  <si>
    <t>Se usarán varillas de construcción de límite de fluencia Fy=4200 kg/cm2.</t>
  </si>
  <si>
    <t>La diercción Técnica solicitará la frecuencia y el tipo de pruebas que el constructor deberá</t>
  </si>
  <si>
    <t>presentar previo el usos de este material en obra.</t>
  </si>
  <si>
    <t>Todas las armaduras tendrán las dimensiones indicadas en los planos. Cuando se necesite</t>
  </si>
  <si>
    <t>realizar emplames o traslapos, éstos serán iguales al menos a 40 veces el díametro de la varilla, o</t>
  </si>
  <si>
    <t>lo que se indique en los planos; en ningún caso se hará el empalme  en las zonas de máximo</t>
  </si>
  <si>
    <t>momento flector, mas bien se tratará de hacerlo en las zonas de inflexión de momentos.</t>
  </si>
  <si>
    <t>En caso de utilizar soldadura para el empalme de varillas, ésta deberá cumplir las normas y</t>
  </si>
  <si>
    <t>recommendaciones del Código de Soldadura de Acero de Refuerzo AWS D 1.4.</t>
  </si>
  <si>
    <t>Si el constructor decidiere usar soldadura deberá presentar pruebas de laboratorio que certifiquen</t>
  </si>
  <si>
    <t>la calidad y resistencia de los elementos soldados.</t>
  </si>
  <si>
    <t>Las armaduras deberán estar aseguradas firmemente en la posición señalada en los planos y</t>
  </si>
  <si>
    <t>deberán ser capaces de resistir los efectos del vibrado del hormigonado.</t>
  </si>
  <si>
    <t>Las varillas deberán estar completamente libres de cualquier capa o recubrimiento que pueda</t>
  </si>
  <si>
    <t>reducir o destruir la adherencia con el hormigón.</t>
  </si>
  <si>
    <t>El doblado de los hierros deberá hacerse en frío.</t>
  </si>
  <si>
    <t>Como armadura complementaria , en los sitios indicados en los planos, se colocará malla</t>
  </si>
  <si>
    <t>electrosoldada para control de fisuración y repartición de cargas, el tipo de malla se detalla en los</t>
  </si>
  <si>
    <t>planos.</t>
  </si>
  <si>
    <t>Se recomienda verificar las longitudes y las dimensiones de doblado de las planillas de hierro a fin</t>
  </si>
  <si>
    <t>de enmendar oportunamente cualquier error involuntario que se hubiese producido en la</t>
  </si>
  <si>
    <t>elaboración de las mismas.</t>
  </si>
  <si>
    <t>Las marcas de los hierros que figuran en los planos de columnas y muros de corte podrán ser</t>
  </si>
  <si>
    <t>cortadas y colocadas en obra de acuerdo con un criterio constructivo que el Constructor deberá</t>
  </si>
  <si>
    <t>someter a consideración de la Dirección Técnica.</t>
  </si>
  <si>
    <t>Dosificación, mezclado y colocación del hormigón.</t>
  </si>
  <si>
    <t>Para la diosificación, mezclado y colación del hormigón el Constructor se someterá a la Norma</t>
  </si>
  <si>
    <t>INEN CE 8-79 que figura en los capítulos 4 y 5 del Código.</t>
  </si>
  <si>
    <t>El diseño del hoprmigón, realizado en el laboratorio, especificará dosificaciones al peso y al</t>
  </si>
  <si>
    <t>volúmen, de modo que el constructor pueda usar cualquiera de ellas.</t>
  </si>
  <si>
    <t>Se deberá cuidar especialmente la dosificación del agua , la misma que deberá controlarse</t>
  </si>
  <si>
    <t>mediante pruebas de asentamiento realizado de acuerdo a la NOrma  ASTM C 143.  Deberá</t>
  </si>
  <si>
    <t>tenerse muy en cuenta la humedad de los agregados.</t>
  </si>
  <si>
    <t>El hormigón se mezclará mecánicamente por un tiempo no menor a un minuto. Una vez colocado</t>
  </si>
  <si>
    <t>en sitio, deberá ser compactado por medio de un vibrador mecánico que tenga una velocidad de</t>
  </si>
  <si>
    <t>funcionamiento adecuada y en perfecto estado de operación.</t>
  </si>
  <si>
    <t>Se deberá vibrar entre el encofrado y las armaduras de los elementos estructurales.</t>
  </si>
  <si>
    <t>Control de dosificación, resistencia  y trabajabilidad.</t>
  </si>
  <si>
    <t>El Constructor deberá someter a la aprobación de la Dirección Técnica el sistema adoptado para</t>
  </si>
  <si>
    <t>la dosificación de los materiales. La Dirección Técnica dará su visto bueno para el usos de</t>
  </si>
  <si>
    <t>balanzas, pesas y medidas, que el constructor deberá mantener en perfecto estado.</t>
  </si>
  <si>
    <t>Para el control de la resistencia del hormigón, el constructor deberá mantener en el lugar de la</t>
  </si>
  <si>
    <t>construcción y por su propia cuenta , moldes metálicos  para tomar muestras del hormigón. Estos</t>
  </si>
  <si>
    <t>moldes y accesorios cumplirán los requisitos normalizados ASTM C 31. La Dirección Técnica de</t>
  </si>
  <si>
    <t>común acuerdo con el Constructor fijará la frecuencia de la toma de muestras, teniendo en</t>
  </si>
  <si>
    <t>consideración las especificaciones de l INEN CE 8-79. Las muestras para los ensayos de</t>
  </si>
  <si>
    <t>resistencia  de cada clase de hormigón deben tomarse no menos de una vez por día  ni menos de</t>
  </si>
  <si>
    <t>seis cilindros por cada 40 m3. de colada o por cada 200 m2. de superficie fundida.</t>
  </si>
  <si>
    <t>Las muestras del hormigón deberán tomarse luego del bombeo si lo hay y en el sitio final de</t>
  </si>
  <si>
    <t>colocación.</t>
  </si>
  <si>
    <t>Las muestras servirán para realizar ensayos de la resistencia del hormigón a los 7 y a los 28 días</t>
  </si>
  <si>
    <t>y controlar la calidad del mismo. Los gastos que demanden estas pruebas serán absorvidos por el</t>
  </si>
  <si>
    <t>constructor. La Dirección Técnica podrá ordenar la ejecución de pruebas no destructivas del</t>
  </si>
  <si>
    <t>hormigón.</t>
  </si>
  <si>
    <t>Si las pruebas de resistencia indicaren que la calidad del hormigón utilizado en determinados</t>
  </si>
  <si>
    <t>elementos estructurales no es la adecuada , la Dirección Técnica podrá ordenar la demolición de</t>
  </si>
  <si>
    <t>tales elementos , los mismos que deberán ser reconstruidos a costa del Constructor.</t>
  </si>
  <si>
    <t>La cantidad de agua en la mezcla, el grado de humedad de los materiales y la trabajabilidad del</t>
  </si>
  <si>
    <t>hormigón deberán ser controlados constantemente en la obra mediante la ejecución  de pruebas</t>
  </si>
  <si>
    <t>de asentamiento. Para este objeto el constructor deberá mantene en obra , de su cuenta, el equipo</t>
  </si>
  <si>
    <t>necesario para tales pruebas. Dichas pruebas serán realizadas en el sitio en que el hormigón</t>
  </si>
  <si>
    <t>deba quedarse.</t>
  </si>
  <si>
    <t>CONDICIONES PREVIAS A LA COLOCACIÓN DEL HORMIGON</t>
  </si>
  <si>
    <t xml:space="preserve">Cimentaciones </t>
  </si>
  <si>
    <t>VIGA</t>
  </si>
  <si>
    <t>AS</t>
  </si>
  <si>
    <t>A`S</t>
  </si>
  <si>
    <t>m</t>
  </si>
  <si>
    <t xml:space="preserve">CHEQUEO 1 </t>
  </si>
  <si>
    <t>RO</t>
  </si>
  <si>
    <t>BETA1</t>
  </si>
  <si>
    <t>RO MAX</t>
  </si>
  <si>
    <t>CHEQUEO 2</t>
  </si>
  <si>
    <t>ASMIN</t>
  </si>
  <si>
    <t>ASC</t>
  </si>
  <si>
    <t>AS1</t>
  </si>
  <si>
    <t>Vc</t>
  </si>
  <si>
    <t>Vc MAX</t>
  </si>
  <si>
    <t>CORTE</t>
  </si>
  <si>
    <t>f`c=</t>
  </si>
  <si>
    <t>f`s</t>
  </si>
  <si>
    <t>DELTA M</t>
  </si>
  <si>
    <t>A`s</t>
  </si>
  <si>
    <t>As2</t>
  </si>
  <si>
    <t>ROBP</t>
  </si>
  <si>
    <t>ROTOT</t>
  </si>
  <si>
    <t>ROP</t>
  </si>
  <si>
    <t>CB</t>
  </si>
  <si>
    <t>f`sb</t>
  </si>
  <si>
    <t>ROB</t>
  </si>
  <si>
    <t>ROMAX*</t>
  </si>
  <si>
    <t>CHEQUEO 3</t>
  </si>
  <si>
    <t>fy=</t>
  </si>
  <si>
    <t>Ø=</t>
  </si>
  <si>
    <t>b=</t>
  </si>
  <si>
    <t>d=</t>
  </si>
  <si>
    <t>d`=</t>
  </si>
  <si>
    <t>ALFA=</t>
  </si>
  <si>
    <t>MUINT</t>
  </si>
  <si>
    <t>X=Y=</t>
  </si>
  <si>
    <t>PRESION MAXIMA</t>
  </si>
  <si>
    <t>POR CADA METRO DE ANCHO</t>
  </si>
  <si>
    <t>CORTE EN UNA DIRECCION</t>
  </si>
  <si>
    <t>CORTE EN DOS DIRECCIONES</t>
  </si>
  <si>
    <t>DISEÑO DE PLINTOS</t>
  </si>
  <si>
    <t>El cosntructor deberá conocer el informe de suelos y observar las recomendaciones pertinentes.</t>
  </si>
  <si>
    <t>Se llevarán las excavaciones hasta  los niveles recomendados . Bajo el control de la Dirección</t>
  </si>
  <si>
    <t>Técnica y con el asesoramiento del Ingeniero de Suelos se procederá a verificar las condiciones</t>
  </si>
  <si>
    <t>y naturaleza del suelo de cimentación, previo a la colación del hormigón de cimentación.</t>
  </si>
  <si>
    <t>Se deberá cuidar especialmente la estabilidad de las paredes de excavación.</t>
  </si>
  <si>
    <t>Previa la fundición de la cimentación se limpiará el área, se nivelará elsuelo con nuevo material de</t>
  </si>
  <si>
    <t>relleno, se lo humedecerá y compactará técnicamante.</t>
  </si>
  <si>
    <t>Antes de la colocación del hormigón estructural , se fundirán replantillos de 10 cm. de espesor, de</t>
  </si>
  <si>
    <t>hormigón pobre directamente sobre el suelo de cimentación.</t>
  </si>
  <si>
    <t>Se especifica en especial para este proyecto que los recubrimientos mínimos serán de tres  cm. (</t>
  </si>
  <si>
    <t>3cm.) leteralmente y diez cm. ( 10 cm.) en la base</t>
  </si>
  <si>
    <t>Encofrados</t>
  </si>
  <si>
    <t>Los encofrados deberán ser suficientemente resistentes para satisfacer el peso del hormigón y los</t>
  </si>
  <si>
    <t>esfuerzos ocasionados durante la construcción. Deberán ser humedecidos inmediatamente antes</t>
  </si>
  <si>
    <t>de la fundicion. En la confección del encofrado , el Constructor deberá considerar siempre que la</t>
  </si>
  <si>
    <t>estructura es un elemento ornamental  y por lo tanto la ejecución de los encofrados debe ser</t>
  </si>
  <si>
    <t>hecha con la máxima prolijidad.</t>
  </si>
  <si>
    <t>En los elementos estructurales proyectados en hormigón visto se usarán los tipos de encofrados</t>
  </si>
  <si>
    <t>especificados en la planificación arquitectónica.</t>
  </si>
  <si>
    <t>El constructor pondrá especial atención al sistema de apuntalamiento de los cofres para la</t>
  </si>
  <si>
    <t>construcción de los muros a fin de evitar desplomes e hinchamientos que afecten a su aspecto</t>
  </si>
  <si>
    <t>estético . De acuerdo con la Dirección Técnica , se establecerá la secuencia de fundición y la</t>
  </si>
  <si>
    <t>ubicación de la juntas de fundición a fin de logarar un acabado apropiado y estéticamente</t>
  </si>
  <si>
    <t>aceptable.</t>
  </si>
  <si>
    <t>Verificación de las instalaciones</t>
  </si>
  <si>
    <t>Antes de proceder a la colocación del hormigón , el constructor hará  los arreglos necesarios para</t>
  </si>
  <si>
    <t>instalar con anticipación  las tuberías de aguas servidas, lluvias, conductores eléctricos , de</t>
  </si>
  <si>
    <t>teléfono, pararrayos, anclajes mecánicos de acuerdo con lo planificado, en caso de divergencia la</t>
  </si>
  <si>
    <t>Dirección Técnica buscará una solución apropiada mediante consulta con los especialistas del</t>
  </si>
  <si>
    <t>Proyecto.</t>
  </si>
  <si>
    <t>Control de recubrimiento de las armaduras.</t>
  </si>
  <si>
    <t>Se comprobará que exista el recubrimiento especificado entre las armaduras y los encofrados, se</t>
  </si>
  <si>
    <t>recomienda el empleo de pastillas de hormigón simple de espesor igual  al recubrimiento</t>
  </si>
  <si>
    <t>especificado en planos.</t>
  </si>
  <si>
    <t>Se especifica para este proyecto que los recubrimientos mínimos en vigas y columnas serán de 4</t>
  </si>
  <si>
    <t>cm, debido a la cercanía del mar y el ambiente altamente corrosivo que este genera.</t>
  </si>
  <si>
    <t>JUNTAS DE CONSTRUCCION</t>
  </si>
  <si>
    <t>Las juntas no señaladas en los planos deberán ser hechas y ubicadas de tal manera que no se</t>
  </si>
  <si>
    <t>disminuya la resistencia de la estructura  y deberán ser aprobados por la Dirección Técnica. Las</t>
  </si>
  <si>
    <t>juntas en columnas se ubicarán inmediatamente debajo de las losas y vigas y sobre los plintos y</t>
  </si>
  <si>
    <t>vigas de cimentación . Las juntas de construcción en elementos de hormigón visto se harán de</t>
  </si>
  <si>
    <t>acuerdo con el detalle correspondiente especificado en la planificación arquitectónica.</t>
  </si>
  <si>
    <t>En los trabajos de cimentación las juntas de construcción serán especialmente diseñadas y</t>
  </si>
  <si>
    <t>trabajadas a fin de garantizar su estanquedad ante la presencia de nivel freático y subpresión.</t>
  </si>
  <si>
    <t>En las losas y vigas se dejarán juntas de construcción ubicadas a un tercio de la luz cuando el</t>
  </si>
  <si>
    <t>proceso constructivo  obligue a suspender o cortar la fundición de tales elementos . Se tomarán</t>
  </si>
  <si>
    <t>las precauciones necesarias para evitar la formación de juntas frías.</t>
  </si>
  <si>
    <t>Las juntas serán perpendiculares al refuerzo principal , el refuerzo en una junta deberá ser</t>
  </si>
  <si>
    <t>contínuo , no se podrá aceptar empates de hierro o traslapes en una junta.</t>
  </si>
  <si>
    <t>DESENCOFRADO</t>
  </si>
  <si>
    <t>Los encofrados laterales podrán ser retirados dos días después de la fundición.</t>
  </si>
  <si>
    <t>Los encofrados de las losa y los horizontales de las vigas podrán retirarse a las cuatro semanas</t>
  </si>
  <si>
    <t>de la fundición , o antes cuando se haya logrado la resistencia del diseño mediante el uso de</t>
  </si>
  <si>
    <t>aditivos apropiados previa la verificación de la resistencia a través de las pruebas</t>
  </si>
  <si>
    <t>correspondientes. Los elementos en voladizo se desencofrarán en cualquier caso a los 28 días</t>
  </si>
  <si>
    <t>aunque se los haya fundido con acelerante.</t>
  </si>
  <si>
    <t>Si las losas o vigas fueran a soportar cargas considerables durante la construcción , se dejarán</t>
  </si>
  <si>
    <t>puntales espaciados en las losas y en los cuartos de las luces en las vigas.</t>
  </si>
  <si>
    <t>Al retirarse los encofrados se cuidará que el hormigón vaya recibiendo la carga progresiva  y</t>
  </si>
  <si>
    <t>uniformemente.</t>
  </si>
  <si>
    <t>CURADO DEL HORMIGON</t>
  </si>
  <si>
    <t>Mientras la hidratación del cemento tenga lugar, 7 a 15 días , el hormigón deberá ser curado.</t>
  </si>
  <si>
    <t>El curado debe empezar 12 horas después de la fundición en la superficie sin encofrado, e</t>
  </si>
  <si>
    <t>inmediatamente de desencofrado  en las otras superficies.</t>
  </si>
  <si>
    <t>Los encofrados de madera deberán mantenerse húmedos. Para el curado podrá usarse  cualquier</t>
  </si>
  <si>
    <t>sistema conocido: cáñamos, lonas, papeles impermeables, recubrimiento con productos</t>
  </si>
  <si>
    <t>impermeabilizantes o capas de arena húmeda.</t>
  </si>
  <si>
    <t>PROTECCION CONTRA DAÑOS MECANICOS</t>
  </si>
  <si>
    <t>Durante el período de curado, el hormigón deberá ser cuidadosamente protegido  para evitar que</t>
  </si>
  <si>
    <t>sea dañado  por agentes mecánicos , especialmente sobrecargas, golpes o vibraciones excesivas .</t>
  </si>
  <si>
    <t>Todas las superficies terminadas  de los miembros estructurales de hormigón deberán ser</t>
  </si>
  <si>
    <t>protegidas de daños que puedan ser causados por el equipo de onstrución , materiales y el agua</t>
  </si>
  <si>
    <t>lluvia o corriente.</t>
  </si>
  <si>
    <t>El constructor deberá reconocer que el aspecto final de la obra de hormigón visto será sinónimo</t>
  </si>
  <si>
    <t>de su pericia y capacidad técnica y el valor estético de la obra dependerá del extremado cuidado</t>
  </si>
  <si>
    <t>que se tenga para que luzca bien , sin arreglos ni enmendaduras posteriores.</t>
  </si>
  <si>
    <t>IMPERMEABILIZACIONES</t>
  </si>
  <si>
    <t>La estanquedad de las losas de cubierta , de buena manera, se logrará con la buena dosificación</t>
  </si>
  <si>
    <t>o compacidad del hormigín que se emplee. Para mejorar la impermeabilización de las losas de las</t>
  </si>
  <si>
    <t>cubiertas , se las enlucirá externamente  con mortero cmento-arena  que contenga un aditivo</t>
  </si>
  <si>
    <t>hidrófugo. El espesor mínimo del mortero impermeabilizante será  de 1.5 cm., las características</t>
  </si>
  <si>
    <t>del hidrófugo  y las normas para su uso  serán verificadas y autorizadas por la Dirección Técnica.</t>
  </si>
  <si>
    <t>La impermeabilización podrá complementarse y hacerse simultáneamente con otros tratamientos</t>
  </si>
  <si>
    <t>específicos para drenajes y desagues o aislantes térmicos.</t>
  </si>
  <si>
    <t>Las cisternas subterráneas y los tanques elevados deberán ser impermeabilizados mediante el uso</t>
  </si>
  <si>
    <t>de un hidrófugo integral y un tratamiento superficial hacia el interior del recipiente.</t>
  </si>
  <si>
    <t>RECOMENDACIONES ESPECIALES SISMORESISTENTES</t>
  </si>
  <si>
    <t>Gran parte de las características sismoresistentes de la estrutura se conseguirán mediante una</t>
  </si>
  <si>
    <t>buena práctica constructiva  que garantice entre otras: un correcto funcionamiento dúctil de los</t>
  </si>
  <si>
    <t>elementos estructurales, especialmente en las uniones viga-columna-losa y su estado monolítico.</t>
  </si>
  <si>
    <t>Para el objeto se recomienda especialmente los siguiente:</t>
  </si>
  <si>
    <t>a</t>
  </si>
  <si>
    <t>Observar la disposición especial de los estribos en la cabeza y pie de columna y en la</t>
  </si>
  <si>
    <t>unión con todo elemento horizontal  ( viga, cadena, losa, etc.), que consiste en</t>
  </si>
  <si>
    <t>disminuir la separación de los estribos de acuerdo a lo establecido en los planos.</t>
  </si>
  <si>
    <t>b</t>
  </si>
  <si>
    <t>Cuidar espeialmente la limpieza de las juntas horizontales de construcción en las</t>
  </si>
  <si>
    <t>hn=</t>
  </si>
  <si>
    <t>Fa</t>
  </si>
  <si>
    <t>Fd</t>
  </si>
  <si>
    <t>Fs</t>
  </si>
  <si>
    <t>Sa=</t>
  </si>
  <si>
    <t>columnas , evitando el depositar hormigón nuevo sobre residuos y basura.</t>
  </si>
  <si>
    <t>c</t>
  </si>
  <si>
    <t>El empalme del hierro vetical en columnas deberá hacerse cumpliendo la</t>
  </si>
  <si>
    <t>recomendación de longitud de transferencia por adherencia y los detalles de los planos</t>
  </si>
  <si>
    <t>estructurales. Deberán disponerse estribos a separación reducida a todo lo largo de la</t>
  </si>
  <si>
    <t>longitud de transferencia. No se deberán usar ganchos en el hierro vertical que se</t>
  </si>
  <si>
    <t>traslape.</t>
  </si>
  <si>
    <t>d</t>
  </si>
  <si>
    <t>Se recomienda dar toda la importancia que se merece a la fundición de las columnas,</t>
  </si>
  <si>
    <t>mediante una prolija  supervisión y control durante todo el tiempo que dure la</t>
  </si>
  <si>
    <t>colocación del hormigón. El hormigón se colocará en cantidades pequeñas ,</t>
  </si>
  <si>
    <t>garantizando su máxima adherencia con el hierro vertical y los estribos. La altura</t>
  </si>
  <si>
    <t>máxima permitida de vaciado  en las columnas será de 2.50 m. para evitar la</t>
  </si>
  <si>
    <t>segregación del hormigón .</t>
  </si>
  <si>
    <t>Es muy importante disponer de vibradores de aguja delgada y una dosificación</t>
  </si>
  <si>
    <t>adecuada del hormigón en términos del tamaño máximo del agregado grueso.</t>
  </si>
  <si>
    <t>e</t>
  </si>
  <si>
    <t>Ciudar especialmente la union del hierro vertical de columnas con el horizontal de las</t>
  </si>
  <si>
    <t>vigas. Toda unión debe garantizar el trabajo como nudo monolítico resistente y dúctil.</t>
  </si>
  <si>
    <t>Todo hierro deberá tener apropiada longitud de transferencia y el suficiente</t>
  </si>
  <si>
    <t>confinamiento. Observar la secuencia de colocación de la armadura en los lechos</t>
  </si>
  <si>
    <t>horizontales de las vigas.</t>
  </si>
  <si>
    <t>T=</t>
  </si>
  <si>
    <t>Ct (hn)^</t>
  </si>
  <si>
    <t>Ing. Civil</t>
  </si>
  <si>
    <t>ING. FAUSTO PONGUILLO ANDRADE</t>
  </si>
  <si>
    <t>La estructura es un pórico espacial dúctil, resisitente a fuerzas verticales, laterales, temperatura y sismo.</t>
  </si>
  <si>
    <t>B.1.2</t>
  </si>
  <si>
    <t>NIVEL</t>
  </si>
  <si>
    <t>H</t>
  </si>
  <si>
    <t>Table: Joint</t>
  </si>
  <si>
    <t>Reactions</t>
  </si>
  <si>
    <t>Joint</t>
  </si>
  <si>
    <t>OutputCase</t>
  </si>
  <si>
    <t>CaseType</t>
  </si>
  <si>
    <t>F1</t>
  </si>
  <si>
    <t>F2</t>
  </si>
  <si>
    <t>F3</t>
  </si>
  <si>
    <t>M1</t>
  </si>
  <si>
    <t>M2</t>
  </si>
  <si>
    <t>M3</t>
  </si>
  <si>
    <t>Text</t>
  </si>
  <si>
    <t>Ton</t>
  </si>
  <si>
    <t>Ton-m</t>
  </si>
  <si>
    <t>DEAD</t>
  </si>
  <si>
    <t>LinStatic</t>
  </si>
  <si>
    <t>LIVE</t>
  </si>
  <si>
    <t>QUAKEX</t>
  </si>
  <si>
    <t>QUAKEY</t>
  </si>
  <si>
    <t>SUELO</t>
  </si>
  <si>
    <t>NUDO</t>
  </si>
  <si>
    <t>TIPO CARGA</t>
  </si>
  <si>
    <t>F(X)</t>
  </si>
  <si>
    <t>F(Y)</t>
  </si>
  <si>
    <t>F(Z)</t>
  </si>
  <si>
    <t>M(X)</t>
  </si>
  <si>
    <t>M(Y)</t>
  </si>
  <si>
    <t>M(Z)</t>
  </si>
  <si>
    <t>JOINT</t>
  </si>
  <si>
    <t>ESF ADM SUELO</t>
  </si>
  <si>
    <t>Q BASICA</t>
  </si>
  <si>
    <t>EX</t>
  </si>
  <si>
    <t>EY</t>
  </si>
  <si>
    <t>L'</t>
  </si>
  <si>
    <t>B'</t>
  </si>
  <si>
    <t>A'</t>
  </si>
  <si>
    <t>Q</t>
  </si>
  <si>
    <t>D+L</t>
  </si>
  <si>
    <t>D+0.25L+EX</t>
  </si>
  <si>
    <t>D+0.25L-EX</t>
  </si>
  <si>
    <t>D+0.25L+EY</t>
  </si>
  <si>
    <t>D+0.25L+-EY</t>
  </si>
  <si>
    <t>=</t>
  </si>
  <si>
    <t>Vmax</t>
  </si>
  <si>
    <t>ΦE</t>
  </si>
  <si>
    <t>TABLA 2.9</t>
  </si>
  <si>
    <t>α</t>
  </si>
  <si>
    <t>T/m2</t>
  </si>
  <si>
    <t>H=</t>
  </si>
  <si>
    <t>T/M2</t>
  </si>
  <si>
    <t>Tonf</t>
  </si>
  <si>
    <t>Tonf-m</t>
  </si>
  <si>
    <t>Combination</t>
  </si>
  <si>
    <t>MMAX</t>
  </si>
  <si>
    <t>V=</t>
  </si>
  <si>
    <t>-</t>
  </si>
  <si>
    <t xml:space="preserve">              MEMORIA TECNICA DEL CALCULO Y DISEÑO ESTRUCTURAL</t>
  </si>
  <si>
    <t>ING. CIVIL</t>
  </si>
  <si>
    <t>MEMORIA DEL ANALISIS Y  CALCULO ESTRUCTURAL</t>
  </si>
  <si>
    <t>A. INTRODUCCION</t>
  </si>
  <si>
    <t>B. MEMORIA DESCRIPTIVA</t>
  </si>
  <si>
    <t>la estructura para este proyecto.</t>
  </si>
  <si>
    <t>CONSIDERACIONES GENERALES</t>
  </si>
  <si>
    <t>B.1.</t>
  </si>
  <si>
    <t>CARGAS EN LAS ESTRUCTURAS</t>
  </si>
  <si>
    <t>Para el análisis estructural se ha tomado en cuenta lo siguiente:</t>
  </si>
  <si>
    <t>CARGA MUERTA:</t>
  </si>
  <si>
    <t>CARGA SISMICA</t>
  </si>
  <si>
    <t>KG/CM2.</t>
  </si>
  <si>
    <t>I</t>
  </si>
  <si>
    <t>C</t>
  </si>
  <si>
    <t>D</t>
  </si>
  <si>
    <t>De acuerdo al estudio de suelos, los factores para el diseño sismico, correspondiente al suelo son:</t>
  </si>
  <si>
    <t>Valor factor Z</t>
  </si>
  <si>
    <t xml:space="preserve">Zona sismica </t>
  </si>
  <si>
    <t xml:space="preserve">Tipo de suelo </t>
  </si>
  <si>
    <t>Los parametros para el diseño de muros son</t>
  </si>
  <si>
    <t>SONDEO</t>
  </si>
  <si>
    <t>COHESION</t>
  </si>
  <si>
    <t>PROFUNDIDAD</t>
  </si>
  <si>
    <t>M</t>
  </si>
  <si>
    <t>ANGULO DE FRICCION</t>
  </si>
  <si>
    <t>̊ͦ            FI</t>
  </si>
  <si>
    <t>DENSIDAD HUMEDA</t>
  </si>
  <si>
    <t>KG/M3.</t>
  </si>
  <si>
    <t>PARA ARENAS LIMOSAS</t>
  </si>
  <si>
    <t>ESPECIFICACIONES TECNICAS PARA EL ACERO ESTRUCTURAL</t>
  </si>
  <si>
    <t xml:space="preserve">Construcción y el Instituto Ecuatoriano de Normalización, en su defecto se usará las normas y procedimientos </t>
  </si>
  <si>
    <t>del American Institute of Steel Construction (AISC 2006) y las del  o las del American Society for Testing and</t>
  </si>
  <si>
    <t>COMPOSICION DEL ACERO</t>
  </si>
  <si>
    <t>El acero estructural A36, que se usara para este proyecto, debera responder a las siguientes caracteristicas minimas:</t>
  </si>
  <si>
    <t>A</t>
  </si>
  <si>
    <t>Acero Al carbono, al natural,  no galvanizado ni inoxidable.</t>
  </si>
  <si>
    <t>B</t>
  </si>
  <si>
    <t>Propiedades</t>
  </si>
  <si>
    <t>NORMA A CUMPLIR</t>
  </si>
  <si>
    <t>Fy</t>
  </si>
  <si>
    <t>2460 Kg/cm2</t>
  </si>
  <si>
    <t>ASTM A36M</t>
  </si>
  <si>
    <t>Peso/Unidad Volumen</t>
  </si>
  <si>
    <t>7849 E-03 Kg/cm3</t>
  </si>
  <si>
    <t>E</t>
  </si>
  <si>
    <t>2038901.9 Kg/cm2</t>
  </si>
  <si>
    <t>G</t>
  </si>
  <si>
    <t>784193 Kg/cm2</t>
  </si>
  <si>
    <t>2531 Kg/cm2</t>
  </si>
  <si>
    <t>Fu</t>
  </si>
  <si>
    <t>4077 Kg/cm2</t>
  </si>
  <si>
    <t>MANIPULACION DEL ACERO</t>
  </si>
  <si>
    <t>Para cualquier proceso, sea de corte, empernamiento o soldadura, las piezas iniciales y finales deberan cumplir</t>
  </si>
  <si>
    <t>Limite maximo de contraccion o alargamiento  1/36".</t>
  </si>
  <si>
    <t>Holguras de dimensiones de piezas longitudinales  1/36" a cada lado</t>
  </si>
  <si>
    <t>Holguras de dimensiones de piezas transversales  1/36" total.</t>
  </si>
  <si>
    <t>Holguras de espesores de piezas</t>
  </si>
  <si>
    <t>ninguna</t>
  </si>
  <si>
    <t>Alabeamientos, torceduras</t>
  </si>
  <si>
    <t>Rayaduras longitudinales</t>
  </si>
  <si>
    <t>f</t>
  </si>
  <si>
    <t>Rayaduras transversales</t>
  </si>
  <si>
    <t>g</t>
  </si>
  <si>
    <t>Punzonamientos</t>
  </si>
  <si>
    <t>ninguna.</t>
  </si>
  <si>
    <t>La manipulacion de las piezas de acero en obra o durante el montaje debera asegurar la calidad de las piezas, la</t>
  </si>
  <si>
    <t>perfeccion de las medidas y la calidad del acero.</t>
  </si>
  <si>
    <t>RECUBRIMIENTO DEL ACERO AL CARBONO AL NATURAL.</t>
  </si>
  <si>
    <t xml:space="preserve">Previo a la manipulacion de las piezas de acero, estas deberan ser tratadas con dexoidante comun y previo a la </t>
  </si>
  <si>
    <t>pintura en sitio o taller, se debera limpiar nuevamente las piezas</t>
  </si>
  <si>
    <t>Para este proyecto el acero una vez limpio debera ser recubierto con una capa de pintura epoxica de proteccion y</t>
  </si>
  <si>
    <t>una capa de laca poliuretana.</t>
  </si>
  <si>
    <t>En el caso de que el Cuerpo de Bomberos exija proteccion especial al fuego, la estructura debera ser tratada con</t>
  </si>
  <si>
    <t>cuaquier pintura antifuego que brinde al menos 2 horas de resistencia y que sea intumescente, previo a la capa de</t>
  </si>
  <si>
    <t>pintura de acabado.</t>
  </si>
  <si>
    <t>Si durante el transporte, manipulacion en obra y montaje se deteriora el recubrimiento, este debera ser repuesto con</t>
  </si>
  <si>
    <t>las mismas capas especificadas.</t>
  </si>
  <si>
    <t>Los procesos de recubrimiento pueden ser realizados  con cualquier metodo manual o mecanico, este metodo debera</t>
  </si>
  <si>
    <t>ser aprobado por el Comité de Obra.</t>
  </si>
  <si>
    <t>SOLDADURAS</t>
  </si>
  <si>
    <t>La soldadura a ser realizada, su calidad y procedimiento deberan cumplir las normas  AWS D.1.1 y AWS D.1.8</t>
  </si>
  <si>
    <t>La norma AWS D.1.1 (AWS 2008) permite varios procesos de soldadura, incluyendo:</t>
  </si>
  <si>
    <t>1. CUATRO PROCESOS PRECALIFICADOS</t>
  </si>
  <si>
    <t>(a) SMAW (Shielded Metal Arc Welding).</t>
  </si>
  <si>
    <t>(b) FCAW (Flux Cored Arc Welding).</t>
  </si>
  <si>
    <t>(c) GMAW (Gas Metal Arc Welding).</t>
  </si>
  <si>
    <t>(d) SAW (Submerged Arc Welding).</t>
  </si>
  <si>
    <t>2. CUATRO PROCESOS APROBADOS POR EL CODIGO QUE REQUIEREN PRUEBAS.</t>
  </si>
  <si>
    <t>(a) ESW (Electroslag Welding).</t>
  </si>
  <si>
    <t>(b) EGW (Electrogas Welding).</t>
  </si>
  <si>
    <t>(c) GTAW (Gas Tungsten Arc Welding).</t>
  </si>
  <si>
    <t>(d) GMAW-S (short-circuit transfer mode of GMAW).</t>
  </si>
  <si>
    <t>Los especificaciones de los procesos de soldadura , seran preparados por el constructor, asi como la calificacion</t>
  </si>
  <si>
    <t>de os soldadores y de los procesos de soldadura, los nismos que deberan ser aprobados por Ingenieros Calificados</t>
  </si>
  <si>
    <t>en base a la norma AWS D.1.1, si se excede de esta norma deberan realizarse pruebas de laboratorio a juicio de</t>
  </si>
  <si>
    <t>el Comité de Obra..</t>
  </si>
  <si>
    <t>La norma AWS D.1.8 provee las especificaciones de soldadura en relacion a los sismos.</t>
  </si>
  <si>
    <t>P1</t>
  </si>
  <si>
    <t>P2</t>
  </si>
  <si>
    <t>coeficiente de presion activa del suelo</t>
  </si>
  <si>
    <t>ka=</t>
  </si>
  <si>
    <t>para el estreato formafo por limo arenosos ML</t>
  </si>
  <si>
    <t>SE ACEPTA</t>
  </si>
  <si>
    <t>Ct</t>
  </si>
  <si>
    <t>COLUMNA METALICA</t>
  </si>
  <si>
    <t>PLACA ANCLAJE</t>
  </si>
  <si>
    <t>FZ MAX 1</t>
  </si>
  <si>
    <t>FZ MAX 2</t>
  </si>
  <si>
    <t>f aplast=</t>
  </si>
  <si>
    <t>x</t>
  </si>
  <si>
    <t>y</t>
  </si>
  <si>
    <t xml:space="preserve">F APLAST= </t>
  </si>
  <si>
    <t>FY=</t>
  </si>
  <si>
    <t>FLEXION 1</t>
  </si>
  <si>
    <t>MMAX X</t>
  </si>
  <si>
    <t>MMAX Y</t>
  </si>
  <si>
    <t>fb MAX X=</t>
  </si>
  <si>
    <t>fb MAX Y=</t>
  </si>
  <si>
    <t>PERNOS DE ANCLAJE</t>
  </si>
  <si>
    <t>TOT</t>
  </si>
  <si>
    <t>APLASTAMIENTO</t>
  </si>
  <si>
    <t>AXIAL</t>
  </si>
  <si>
    <t>MAX 1</t>
  </si>
  <si>
    <t>MAX 2</t>
  </si>
  <si>
    <t>CORTANTE</t>
  </si>
  <si>
    <t>V MAX</t>
  </si>
  <si>
    <t>FS</t>
  </si>
  <si>
    <t>NUMERO</t>
  </si>
  <si>
    <t>No DE CARTUCHOS TAMAÑO MEDIO</t>
  </si>
  <si>
    <t>LONG TOT</t>
  </si>
  <si>
    <t>ORIFICIO EN CONCRETO</t>
  </si>
  <si>
    <t>PROFUNDIDAD PERFORACION</t>
  </si>
  <si>
    <t>PULG</t>
  </si>
  <si>
    <t>UNI</t>
  </si>
  <si>
    <t>M.</t>
  </si>
  <si>
    <t>LONGITUD CADA UNO</t>
  </si>
  <si>
    <t>ESFUERZOS ADMISIBLES</t>
  </si>
  <si>
    <t>CHEQUEO</t>
  </si>
  <si>
    <t xml:space="preserve">EPOXICO HIT RE 500 (F'c= 240 KG/CM2.) </t>
  </si>
  <si>
    <t>EPOXICO</t>
  </si>
  <si>
    <t>HAS ROD</t>
  </si>
  <si>
    <t>ISO 898 CLASS 5.8, ASTM F 593</t>
  </si>
  <si>
    <t>HAS ROD STAINLESS STEEL FY MIN= 4200 KG/CM2.</t>
  </si>
  <si>
    <t>DIAMETRO DEL HAS ROD</t>
  </si>
  <si>
    <t>No DE PERFORACIONES</t>
  </si>
  <si>
    <t>CM16</t>
  </si>
  <si>
    <t>T</t>
  </si>
  <si>
    <t>B.2</t>
  </si>
  <si>
    <t>B.2.1</t>
  </si>
  <si>
    <t>ANALISIS DE CARGA SISMICA DINAMICA GENERAL</t>
  </si>
  <si>
    <t>MATERIALES</t>
  </si>
  <si>
    <t>METODOLOGIA, MODELO MATEMATICO Y CONSIDERACIONES DE DISEÑO</t>
  </si>
  <si>
    <t>Se ha considerado un sistema de vigas y columnas con modelo espacial, considerando la losa</t>
  </si>
  <si>
    <t>infinitamente rigida en su plano, no se ha tomado en cuenta la geometría de la losa para el modelo</t>
  </si>
  <si>
    <t>El análisis se lo ha realizado por computador mediante el programa SAP2000 , que se basa en el método</t>
  </si>
  <si>
    <t>de la rigidez y análisis matricial. Todos los tipos de carga a que estará expuesta la estructura se consideró</t>
  </si>
  <si>
    <t>sobre el mismo modelo matemático.</t>
  </si>
  <si>
    <t>para la envolvente de las solicitaciones máximas considerando los siguientes estados de carga:</t>
  </si>
  <si>
    <t>EC = 1</t>
  </si>
  <si>
    <t>Sa</t>
  </si>
  <si>
    <t>COEFICIENTE DE IMPORTANCIA</t>
  </si>
  <si>
    <t>B.3</t>
  </si>
  <si>
    <t>B.3.1</t>
  </si>
  <si>
    <t>HORMIGÓN</t>
  </si>
  <si>
    <t>HORMIGÓN  ARMADO</t>
  </si>
  <si>
    <t>NORMAS</t>
  </si>
  <si>
    <t>Fc a los 28 días</t>
  </si>
  <si>
    <t>240 Kg/cm2</t>
  </si>
  <si>
    <t>ASTM C1077</t>
  </si>
  <si>
    <t>2188190 T/m2</t>
  </si>
  <si>
    <t>ASTM 192M</t>
  </si>
  <si>
    <t>ASTM C1157</t>
  </si>
  <si>
    <t>Peso Específico</t>
  </si>
  <si>
    <t>2.4 T/m3</t>
  </si>
  <si>
    <t>ASTM C150</t>
  </si>
  <si>
    <t>B.3.2</t>
  </si>
  <si>
    <t>ACERO CORRUGADO</t>
  </si>
  <si>
    <t>ACERO A615 GR 60</t>
  </si>
  <si>
    <t>ASTM A615M</t>
  </si>
  <si>
    <t>4218 Kg/cm2</t>
  </si>
  <si>
    <t>6327 Kg/cm2</t>
  </si>
  <si>
    <t>B.3.3</t>
  </si>
  <si>
    <t>ACERO ESTRUCTURAL</t>
  </si>
  <si>
    <t>Se usará protección especial para el acero estructural consistente en base epóxica y pintura poliuretana de acabado.</t>
  </si>
  <si>
    <t>B.3.4</t>
  </si>
  <si>
    <t>SOLDADURA ESTRUCTURAL</t>
  </si>
  <si>
    <t>SOLDADURA</t>
  </si>
  <si>
    <t>Soldadores</t>
  </si>
  <si>
    <t>AWS D.1.1</t>
  </si>
  <si>
    <t>Procedimiento</t>
  </si>
  <si>
    <t>AWS  D.1.8</t>
  </si>
  <si>
    <t>La metodología de diseño es en base a la teoría de última resistencia.</t>
  </si>
  <si>
    <t>La estructura se ha modelado como pórtico espacial dúctil, resistente a cargas laterales, se ha usado para</t>
  </si>
  <si>
    <t>El diseño se lo ha realizado tomando el método de última resistencia, cada elemento ha sido diseñado</t>
  </si>
  <si>
    <t xml:space="preserve">1.4D </t>
  </si>
  <si>
    <t>EC = 2</t>
  </si>
  <si>
    <t>1.2D + 1.6L</t>
  </si>
  <si>
    <t>EC = 3</t>
  </si>
  <si>
    <t xml:space="preserve">1.2D + 1L +1Espectro respuesta </t>
  </si>
  <si>
    <t>EC = 4</t>
  </si>
  <si>
    <t>1.2D + 1L -1Espectro respuesta</t>
  </si>
  <si>
    <t>EC = 5</t>
  </si>
  <si>
    <t>0.9D + 1Espectro respuesta</t>
  </si>
  <si>
    <t>Las gradas fueron analizadas como elementos aislados autosoportantes, sobre vigas de la estructura.</t>
  </si>
  <si>
    <t>En el diseño de columnas se ha considerado el efecto de la esbeltez.</t>
  </si>
  <si>
    <t xml:space="preserve">La cimentación es vigas corridas y/o losas, se ha tomado en cuenta un esfuerzo admisible del suelo de </t>
  </si>
  <si>
    <t>Se ha considerado la sobrecarga de suelo sobre la cimentacion  y que éstos recibirán todas las cargas</t>
  </si>
  <si>
    <t>verticales y laterales en los dos sentidos ortogonales.</t>
  </si>
  <si>
    <t>U1</t>
  </si>
  <si>
    <t>U2</t>
  </si>
  <si>
    <t>MAX</t>
  </si>
  <si>
    <t>DERIVAS DE PISO</t>
  </si>
  <si>
    <t>ALTURA GENERAL DE ENTREPISO</t>
  </si>
  <si>
    <t>A572</t>
  </si>
  <si>
    <t>3515 Kg/cm2</t>
  </si>
  <si>
    <t>4570 Kg/cm2</t>
  </si>
  <si>
    <t>ASTM A572M</t>
  </si>
  <si>
    <t>COEFICIENTE DE CONFIGURACION ESTRUCTURAL</t>
  </si>
  <si>
    <t>TABLA 2.10</t>
  </si>
  <si>
    <t>COEFICIENTE DE CONFIGURACION EN PLANTA</t>
  </si>
  <si>
    <t>CARGA REACTIVA DE SISMO</t>
  </si>
  <si>
    <t>R=</t>
  </si>
  <si>
    <t xml:space="preserve">n Z Fa </t>
  </si>
  <si>
    <t>W (I Sa )/(R ΦP  ΦE)=</t>
  </si>
  <si>
    <t>ΦP</t>
  </si>
  <si>
    <t>COEF=</t>
  </si>
  <si>
    <t>V</t>
  </si>
  <si>
    <t>AREA</t>
  </si>
  <si>
    <t>peso propio gypsum</t>
  </si>
  <si>
    <t xml:space="preserve">peso propio estructura </t>
  </si>
  <si>
    <t>UDSTL1</t>
  </si>
  <si>
    <t>UDSTL10</t>
  </si>
  <si>
    <t>Fb MAX=</t>
  </si>
  <si>
    <t>fb max=</t>
  </si>
  <si>
    <t>KZ</t>
  </si>
  <si>
    <t>UNIDADES KG/M/C</t>
  </si>
  <si>
    <t>NUDO ESQUINA</t>
  </si>
  <si>
    <t>NUDO EXTERNO</t>
  </si>
  <si>
    <t>NUDO INTERNO</t>
  </si>
  <si>
    <t>KB</t>
  </si>
  <si>
    <t>(1 -SEN FI)</t>
  </si>
  <si>
    <t>SPRINGS</t>
  </si>
  <si>
    <t>BASE DE MUROS</t>
  </si>
  <si>
    <t>CASA  1   SAN ANTONIO</t>
  </si>
  <si>
    <t>TABLE:  Joint Reactions</t>
  </si>
  <si>
    <t>41</t>
  </si>
  <si>
    <t>49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</si>
  <si>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</si>
  <si>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</si>
  <si>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</si>
  <si>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</si>
  <si>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</si>
  <si>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</si>
  <si>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</si>
  <si>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</si>
  <si>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</si>
  <si>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</si>
  <si>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</si>
  <si>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</si>
  <si>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</si>
  <si>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</si>
  <si>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</si>
  <si>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</si>
  <si>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</si>
  <si>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</si>
  <si>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</si>
  <si>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</si>
  <si>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</si>
  <si>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</si>
  <si>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</si>
  <si>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</si>
  <si>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</si>
  <si>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</si>
  <si>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</si>
  <si>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</si>
  <si>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</si>
  <si>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114</t>
  </si>
  <si>
    <t>NEC-SE-DS- 3.1.1</t>
  </si>
  <si>
    <t>FIG 1</t>
  </si>
  <si>
    <t>TABLA 1.</t>
  </si>
  <si>
    <t>ESTUDIO SUELOS.</t>
  </si>
  <si>
    <t>NEC-SE-DS- 3.2.2</t>
  </si>
  <si>
    <t>TABLA 3</t>
  </si>
  <si>
    <t>TABLA 4</t>
  </si>
  <si>
    <t>TABLA 5</t>
  </si>
  <si>
    <t>LA DETERMINADA POR EL PROGRAMA</t>
  </si>
  <si>
    <t>NEC-SE-DS-6.3.2</t>
  </si>
  <si>
    <t>SE TOMA EN TONCES EL COEFICIENTE MAYOR</t>
  </si>
  <si>
    <t>NEC-SE-DS- 3.3.1</t>
  </si>
  <si>
    <t>NEC-SE-DS- 6.3.3</t>
  </si>
  <si>
    <t>NEC-SE-DS- 6.3.4</t>
  </si>
  <si>
    <t>COEF. REDUCCION DE RESPUESTA ESTRUCTURAL</t>
  </si>
  <si>
    <t>TABLA 16</t>
  </si>
  <si>
    <t>NEC-SE-DS   CAPS  3.3.1, 3.3.2, 6.3.2</t>
  </si>
  <si>
    <t>CALCULO DEL  ESPECTRO</t>
  </si>
  <si>
    <t>Sismica</t>
  </si>
  <si>
    <t>Zona Sisimica</t>
  </si>
  <si>
    <t>Alta</t>
  </si>
  <si>
    <t xml:space="preserve">SUELO TIPO </t>
  </si>
  <si>
    <t>Coeficiente de amplificacion de suelo en la zona de periodo corto</t>
  </si>
  <si>
    <t>Fa =</t>
  </si>
  <si>
    <t>tabla 3</t>
  </si>
  <si>
    <t>Amplificacion de las ordenadas del espectro elástico de respuesta de desplazamientos para diseño en roca</t>
  </si>
  <si>
    <t>Fd =</t>
  </si>
  <si>
    <t>tabla 4</t>
  </si>
  <si>
    <t>Comportamiento no lineal de los Suelos</t>
  </si>
  <si>
    <t>Fs =</t>
  </si>
  <si>
    <t>tabla 5</t>
  </si>
  <si>
    <t>n =Razón entre la aceleración espectral Sa(T=0,1s) y el PGA para el p[eriodo de retorno seleccionado</t>
  </si>
  <si>
    <t>Sierra</t>
  </si>
  <si>
    <t>Categoria del edificio</t>
  </si>
  <si>
    <t>Otras Estructuras</t>
  </si>
  <si>
    <t>tabla 6</t>
  </si>
  <si>
    <t>g=</t>
  </si>
  <si>
    <t>Tc =</t>
  </si>
  <si>
    <t>0,55Fs*Fd/Fa =</t>
  </si>
  <si>
    <t>TL=</t>
  </si>
  <si>
    <t>2,4Tc=</t>
  </si>
  <si>
    <t>Sa = n*Z*Fa =</t>
  </si>
  <si>
    <t>T&gt;=Tc</t>
  </si>
  <si>
    <t>Sa= n*Z*Fa(Tc/T)ʳ =</t>
  </si>
  <si>
    <t>Factor de diseño de espectro elastico r =</t>
  </si>
  <si>
    <t>Para todos los suelos</t>
  </si>
  <si>
    <t>T= Periodo de vibracion = Ct*hn^α =</t>
  </si>
  <si>
    <t>Ct=</t>
  </si>
  <si>
    <t>α=</t>
  </si>
  <si>
    <t>Altura del Edificio</t>
  </si>
  <si>
    <t xml:space="preserve">T =  Ct*hn^α =  </t>
  </si>
  <si>
    <t>To =</t>
  </si>
  <si>
    <t>Sa =</t>
  </si>
  <si>
    <t>si T&gt;Tc</t>
  </si>
  <si>
    <t>si T&lt;Tc</t>
  </si>
  <si>
    <t>si T&lt;=To</t>
  </si>
  <si>
    <t>Sa de calculo =</t>
  </si>
  <si>
    <t>ESTATICO</t>
  </si>
  <si>
    <t>ØP=</t>
  </si>
  <si>
    <t>ØE=</t>
  </si>
  <si>
    <t>Sa(g)/R*</t>
  </si>
  <si>
    <t>Sa(g)</t>
  </si>
  <si>
    <t>V=(I*Sa(Ta))/R*Øp*ØE)*W</t>
  </si>
  <si>
    <t>0&lt;T&lt;=Tc</t>
  </si>
  <si>
    <t>T&lt;To</t>
  </si>
  <si>
    <t>Sa= Z*Fa(1-(N-1)T/To)</t>
  </si>
  <si>
    <t>B.4  CARGAS DE SUELOS</t>
  </si>
  <si>
    <t>B.5.</t>
  </si>
  <si>
    <t>Porticos especiales sismo resistentes de ACERO sin arriostres.</t>
  </si>
  <si>
    <t>TABLE:  Joint Displacements</t>
  </si>
  <si>
    <t>1</t>
  </si>
  <si>
    <t>9</t>
  </si>
  <si>
    <t>12</t>
  </si>
  <si>
    <t>15</t>
  </si>
  <si>
    <t>16</t>
  </si>
  <si>
    <t>24</t>
  </si>
  <si>
    <t>27</t>
  </si>
  <si>
    <t>30</t>
  </si>
  <si>
    <t>31</t>
  </si>
  <si>
    <t>34</t>
  </si>
  <si>
    <t>37</t>
  </si>
  <si>
    <t>40</t>
  </si>
  <si>
    <t>43</t>
  </si>
  <si>
    <t>46</t>
  </si>
  <si>
    <t>52</t>
  </si>
  <si>
    <t>404</t>
  </si>
  <si>
    <t>179</t>
  </si>
  <si>
    <t>183</t>
  </si>
  <si>
    <t>MEMORIA GENERAL</t>
  </si>
  <si>
    <t>DERIVA DE PISO NEC-SE-DS-2014</t>
  </si>
  <si>
    <t>CODIGO ACI 318.10    NEC 2014</t>
  </si>
  <si>
    <t>CODIGO AISC-LRFD-99</t>
  </si>
  <si>
    <t>el diseño los códigos ACI 318-10 y el Código Ecuatoriano de la Construcción NEC 2014.</t>
  </si>
  <si>
    <t>FDINAMICO/F ESTATICO</t>
  </si>
  <si>
    <t>Porticos DE ACERO</t>
  </si>
  <si>
    <t xml:space="preserve">              ESTRUCTURA DE ACERO ESTRUCTURAL CON DECK Y LOSETA</t>
  </si>
  <si>
    <t>1.-</t>
  </si>
  <si>
    <t>resistencia admisible del suelo. El constructor verificara las resistencias en los niveles de desplante de la cimentacion.</t>
  </si>
  <si>
    <t>El analisis se realiza en base a programa SAP 200 y los diseños en base al Codigo Ecuatoriano de la Construccion NEC 2015</t>
  </si>
  <si>
    <t>y los codigos AISC 360-16, ACI 318-14 Y Normas AWG D1 y D8.</t>
  </si>
  <si>
    <t>Edificaciones de oficinas corporativas</t>
  </si>
  <si>
    <t>peso propio de deck metalico</t>
  </si>
  <si>
    <t>T/m2.</t>
  </si>
  <si>
    <t>Peso propio acabados</t>
  </si>
  <si>
    <t>CARGAS DE LOSA DE ENTREPISO O CUBIERTA ACCESIBLE EDIFICIO DE OFICINAS</t>
  </si>
  <si>
    <t>NO SE USARA REDUCCION  DE CARGAS VIVAS . NEC -2015 3.2.2, 3.2.3</t>
  </si>
  <si>
    <t>CAEGA DE GRANIZO NEC 2015 3.2.5, NO SE CONSIDERA EN CUBIERTAS PUES NO SE REDUCE LA CARGA VIVA.</t>
  </si>
  <si>
    <t>NEC_SE_CG 4.2.1 TABLA 9</t>
  </si>
  <si>
    <t>RECEPCION  Y CORREDORES PRIMER PISO</t>
  </si>
  <si>
    <t>CORREDORES SOBRE EL PRIMER PISO</t>
  </si>
  <si>
    <t>GARAGES VEHICULOS PASAJEROS.</t>
  </si>
  <si>
    <t>B.1.3</t>
  </si>
  <si>
    <t>n=</t>
  </si>
  <si>
    <t>PARA PORTICOS ESPACIALES SISMO RESISTENTES CON DIAGONALES O DIAFRAGMAS</t>
  </si>
  <si>
    <t>NEC-SE-DS-6.3.3 Y 6.3.4</t>
  </si>
  <si>
    <t>0,1Fs*Fd/Fa =</t>
  </si>
  <si>
    <t>t/m3</t>
  </si>
  <si>
    <t>EDIF PRIN 1</t>
  </si>
  <si>
    <t>tan</t>
  </si>
  <si>
    <t xml:space="preserve">   (45-fi/2)</t>
  </si>
  <si>
    <t>kp=</t>
  </si>
  <si>
    <t>CARGA DE GRANIZO NEC 2015 3.2.5, NO VA EN CUBIERTAS PUES NO SE REDUCE LA CARGA VIVA.</t>
  </si>
  <si>
    <t>Y PORTICOS RESISTENTE A MOMENTO, ESPECIALES SISMO RESISTENTES DE ACERO LAMINADO EN CALIENTE O FORMADO</t>
  </si>
  <si>
    <t xml:space="preserve"> CON PLACAS.</t>
  </si>
  <si>
    <t>PARAMETROS PARA EL ETABS.</t>
  </si>
  <si>
    <t>peso propio mamposterias INTERNAS</t>
  </si>
  <si>
    <t>PESO POR ML DE MAMPOSTERIAS EXTERIORES Y PESO POR M2 DE GYPSUM, VER ANEXO No 1</t>
  </si>
  <si>
    <t>NO HAY CARGA DE AEREDES EN EDIFICIOS DE PARQUEADEROS</t>
  </si>
  <si>
    <t>DISEÑO DE CIMENTACIONES Y PLACAS DE APOYO</t>
  </si>
  <si>
    <t>D+L+EX</t>
  </si>
  <si>
    <t>D+L-EX</t>
  </si>
  <si>
    <t>D+L+EY</t>
  </si>
  <si>
    <t>D+L+-EY</t>
  </si>
  <si>
    <t>peso propio loseta 7.5 cm.</t>
  </si>
  <si>
    <t>CARGAS DE LOSA DE CUBIERTA INACCESIBLE EDIFICIOS</t>
  </si>
  <si>
    <t>DSTL1</t>
  </si>
  <si>
    <t>DSTL10</t>
  </si>
  <si>
    <t>SUPERFICIAL</t>
  </si>
  <si>
    <t>KX=KY</t>
  </si>
  <si>
    <t>RESTAURANTE</t>
  </si>
  <si>
    <t>LE BISTRO</t>
  </si>
  <si>
    <t>LOSA ACCESIBLE RESTAURANTE</t>
  </si>
  <si>
    <t>LOSA ACCESIBLE DE CUBIERTA</t>
  </si>
  <si>
    <t>SISMO X</t>
  </si>
  <si>
    <t>SISMO Y</t>
  </si>
  <si>
    <t>QUAKEX EVC</t>
  </si>
  <si>
    <t>QUAKEY EVC</t>
  </si>
  <si>
    <t>PISO</t>
  </si>
  <si>
    <t>DESPLAZ. RELATIV. ELASTICO</t>
  </si>
  <si>
    <t>DERIVAS ELASTICAS</t>
  </si>
  <si>
    <t>DERIVAS INELASTICAS</t>
  </si>
  <si>
    <t>sismo x</t>
  </si>
  <si>
    <t>sismo y</t>
  </si>
  <si>
    <t>LA EDIFICACION CUMPLE LAS DERIVAS Y DEFORMACIONES UNITARIAS</t>
  </si>
  <si>
    <t>desplazamiento piso superior - desplazamiento piso inferior</t>
  </si>
  <si>
    <t>0.75*(DESPLAZ. RELATIV.ELASTICO)(ALTURA DE PISO).</t>
  </si>
  <si>
    <t>0.75*(DESPLAZ. RELATIV.ELASTICO)*(FACTOR SISMICO R)/(ALTURA DE PISO).</t>
  </si>
  <si>
    <t>TAPAGRADA</t>
  </si>
  <si>
    <t xml:space="preserve">peso propio de CUBIERTA TEJA </t>
  </si>
  <si>
    <t>peso propio FIBROLIT 20  MM.</t>
  </si>
  <si>
    <t xml:space="preserve"> </t>
  </si>
  <si>
    <t>ESTRUCTURA DE RESTAURANTE</t>
  </si>
  <si>
    <t>MARBO ASESORES S.A.S. desarrolla el restaurante LE BISTRO , en el terreno ubicado en el sector de</t>
  </si>
  <si>
    <t>Cumbaya Cabecera.</t>
  </si>
  <si>
    <t>Se ha tomado la planificación arquitectónica desarrollada por el Arq. Pablo Pérez y se define lo siguiente:</t>
  </si>
  <si>
    <t xml:space="preserve">Edificio de dos plantas con cubiertas inclinadas.  </t>
  </si>
  <si>
    <t>La edificación se planteará como estructura de vigas y columnas de acero, losa Deck con loseta de hormigón,</t>
  </si>
  <si>
    <t>cubiertas inclinadas con Steel Panel y cimentación conformada por losa y vigas de hormigón armado.</t>
  </si>
  <si>
    <t xml:space="preserve">El estudio de suelos realizado por CRIBATEST por el Ing. Luis Gavilanes y la Ing. Estefanía Gavilanes , indica varios valores de </t>
  </si>
  <si>
    <t>La estructura es mixta de hormigon armado en cimentación , super estructura metalica, deck,</t>
  </si>
  <si>
    <t xml:space="preserve"> losetas en pisos y steel panel en cubiertas</t>
  </si>
  <si>
    <t>matemático pero sí sus efectos.</t>
  </si>
  <si>
    <t>acuerdo al estudio de suelos del Ing. Luis Gavilanes, Septiembre 2022, valor que debera ser comprobado en obra.</t>
  </si>
  <si>
    <t>SENESCYT 1001-09-910765</t>
  </si>
  <si>
    <t xml:space="preserve">FECHA: </t>
  </si>
  <si>
    <t xml:space="preserve">        QUITO -  </t>
  </si>
  <si>
    <t>MARZO 2023</t>
  </si>
  <si>
    <t>RESTAURANTE LE BISTRÓ</t>
  </si>
  <si>
    <t>RESTAURANTE LE BISTRO. CUMBAYA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</si>
</sst>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"/>
    <numFmt numFmtId="166" formatCode="#,##0.0000"/>
    <numFmt numFmtId="167" formatCode="0.0000"/>
    <numFmt numFmtId="168" formatCode="#,##0.000000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0"/>
      <color indexed="53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7"/>
      <name val="Arial"/>
      <family val="2"/>
    </font>
    <font>
      <u/>
      <sz val="10"/>
      <color indexed="12"/>
      <name val="Arial"/>
      <family val="2"/>
    </font>
    <font>
      <b/>
      <sz val="14"/>
      <color indexed="10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32"/>
      <name val="Arial"/>
      <family val="2"/>
    </font>
    <font>
      <b/>
      <sz val="10"/>
      <color indexed="18"/>
      <name val="Arial"/>
      <family val="2"/>
    </font>
    <font>
      <sz val="10"/>
      <color indexed="52"/>
      <name val="Arial"/>
      <family val="2"/>
    </font>
    <font>
      <sz val="10"/>
      <name val="Calibri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b/>
      <sz val="10"/>
      <color theme="3"/>
      <name val="Arial"/>
      <family val="2"/>
    </font>
    <font>
      <b/>
      <sz val="10"/>
      <color theme="3" tint="-0.249977111117893"/>
      <name val="Arial"/>
      <family val="2"/>
    </font>
    <font>
      <b/>
      <sz val="14"/>
      <color rgb="FFFF0000"/>
      <name val="Arial"/>
      <family val="2"/>
    </font>
    <font>
      <sz val="8"/>
      <color rgb="FFFF0000"/>
      <name val="Arial"/>
      <family val="2"/>
    </font>
    <font>
      <b/>
      <sz val="16"/>
      <name val="Arial"/>
      <family val="2"/>
    </font>
    <font>
      <b/>
      <sz val="10"/>
      <color theme="4" tint="-0.249977111117893"/>
      <name val="Arial"/>
      <family val="2"/>
    </font>
    <font>
      <sz val="1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lightGray">
        <f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" fillId="0" borderId="0"/>
    <xf numFmtId="0" fontId="1" fillId="0" borderId="0"/>
  </cellStyleXfs>
  <cellXfs count="423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4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8" fillId="3" borderId="0" xfId="0" applyFont="1" applyFill="1"/>
    <xf numFmtId="4" fontId="8" fillId="0" borderId="0" xfId="0" applyNumberFormat="1" applyFont="1"/>
    <xf numFmtId="0" fontId="9" fillId="0" borderId="0" xfId="0" applyFont="1"/>
    <xf numFmtId="4" fontId="9" fillId="0" borderId="0" xfId="0" applyNumberFormat="1" applyFont="1"/>
    <xf numFmtId="0" fontId="12" fillId="0" borderId="0" xfId="0" applyFont="1"/>
    <xf numFmtId="4" fontId="0" fillId="0" borderId="0" xfId="0" applyNumberFormat="1"/>
    <xf numFmtId="0" fontId="3" fillId="0" borderId="0" xfId="0" applyFont="1"/>
    <xf numFmtId="4" fontId="3" fillId="0" borderId="0" xfId="0" applyNumberFormat="1" applyFont="1"/>
    <xf numFmtId="0" fontId="13" fillId="0" borderId="0" xfId="0" applyFont="1"/>
    <xf numFmtId="0" fontId="14" fillId="0" borderId="0" xfId="0" applyFont="1"/>
    <xf numFmtId="0" fontId="3" fillId="0" borderId="0" xfId="0" applyFont="1" applyAlignment="1">
      <alignment horizontal="center"/>
    </xf>
    <xf numFmtId="2" fontId="3" fillId="0" borderId="2" xfId="0" applyNumberFormat="1" applyFont="1" applyBorder="1" applyAlignment="1">
      <alignment horizontal="center"/>
    </xf>
    <xf numFmtId="2" fontId="3" fillId="0" borderId="2" xfId="0" applyNumberFormat="1" applyFont="1" applyBorder="1"/>
    <xf numFmtId="4" fontId="0" fillId="0" borderId="2" xfId="0" applyNumberFormat="1" applyBorder="1"/>
    <xf numFmtId="0" fontId="3" fillId="0" borderId="3" xfId="0" applyFont="1" applyBorder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2" fontId="15" fillId="0" borderId="2" xfId="0" applyNumberFormat="1" applyFont="1" applyBorder="1"/>
    <xf numFmtId="2" fontId="7" fillId="0" borderId="2" xfId="0" applyNumberFormat="1" applyFont="1" applyBorder="1" applyAlignment="1">
      <alignment horizontal="center"/>
    </xf>
    <xf numFmtId="0" fontId="3" fillId="0" borderId="6" xfId="0" applyFont="1" applyBorder="1"/>
    <xf numFmtId="2" fontId="3" fillId="0" borderId="0" xfId="0" applyNumberFormat="1" applyFont="1"/>
    <xf numFmtId="2" fontId="3" fillId="0" borderId="7" xfId="0" applyNumberFormat="1" applyFont="1" applyBorder="1"/>
    <xf numFmtId="2" fontId="16" fillId="0" borderId="2" xfId="0" applyNumberFormat="1" applyFont="1" applyBorder="1" applyAlignment="1">
      <alignment horizontal="center"/>
    </xf>
    <xf numFmtId="2" fontId="17" fillId="0" borderId="2" xfId="0" applyNumberFormat="1" applyFont="1" applyBorder="1" applyAlignment="1">
      <alignment horizontal="center"/>
    </xf>
    <xf numFmtId="2" fontId="18" fillId="0" borderId="2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2" fontId="3" fillId="0" borderId="9" xfId="0" applyNumberFormat="1" applyFont="1" applyBorder="1"/>
    <xf numFmtId="2" fontId="3" fillId="0" borderId="10" xfId="0" applyNumberFormat="1" applyFont="1" applyBorder="1"/>
    <xf numFmtId="4" fontId="0" fillId="0" borderId="4" xfId="0" applyNumberFormat="1" applyBorder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2" xfId="0" applyNumberFormat="1" applyBorder="1" applyAlignment="1">
      <alignment horizontal="center"/>
    </xf>
    <xf numFmtId="4" fontId="8" fillId="0" borderId="0" xfId="0" applyNumberFormat="1" applyFont="1" applyAlignment="1">
      <alignment horizontal="center"/>
    </xf>
    <xf numFmtId="0" fontId="0" fillId="0" borderId="2" xfId="0" applyBorder="1"/>
    <xf numFmtId="4" fontId="0" fillId="4" borderId="0" xfId="0" applyNumberFormat="1" applyFill="1"/>
    <xf numFmtId="0" fontId="0" fillId="4" borderId="0" xfId="0" applyFill="1"/>
    <xf numFmtId="0" fontId="3" fillId="4" borderId="6" xfId="0" applyFont="1" applyFill="1" applyBorder="1"/>
    <xf numFmtId="0" fontId="3" fillId="4" borderId="0" xfId="0" applyFont="1" applyFill="1"/>
    <xf numFmtId="2" fontId="3" fillId="4" borderId="0" xfId="0" applyNumberFormat="1" applyFont="1" applyFill="1"/>
    <xf numFmtId="2" fontId="3" fillId="4" borderId="7" xfId="0" applyNumberFormat="1" applyFont="1" applyFill="1" applyBorder="1"/>
    <xf numFmtId="0" fontId="3" fillId="4" borderId="2" xfId="0" applyFont="1" applyFill="1" applyBorder="1"/>
    <xf numFmtId="2" fontId="3" fillId="4" borderId="2" xfId="0" applyNumberFormat="1" applyFont="1" applyFill="1" applyBorder="1"/>
    <xf numFmtId="2" fontId="15" fillId="4" borderId="2" xfId="0" applyNumberFormat="1" applyFont="1" applyFill="1" applyBorder="1"/>
    <xf numFmtId="2" fontId="16" fillId="4" borderId="2" xfId="0" applyNumberFormat="1" applyFont="1" applyFill="1" applyBorder="1" applyAlignment="1">
      <alignment horizontal="center"/>
    </xf>
    <xf numFmtId="2" fontId="17" fillId="4" borderId="2" xfId="0" applyNumberFormat="1" applyFont="1" applyFill="1" applyBorder="1" applyAlignment="1">
      <alignment horizontal="center"/>
    </xf>
    <xf numFmtId="2" fontId="3" fillId="4" borderId="2" xfId="0" applyNumberFormat="1" applyFont="1" applyFill="1" applyBorder="1" applyAlignment="1">
      <alignment horizontal="center"/>
    </xf>
    <xf numFmtId="2" fontId="18" fillId="4" borderId="2" xfId="0" applyNumberFormat="1" applyFont="1" applyFill="1" applyBorder="1" applyAlignment="1">
      <alignment horizontal="center"/>
    </xf>
    <xf numFmtId="4" fontId="20" fillId="4" borderId="0" xfId="0" applyNumberFormat="1" applyFont="1" applyFill="1"/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23" fillId="0" borderId="3" xfId="0" applyFont="1" applyBorder="1"/>
    <xf numFmtId="4" fontId="24" fillId="0" borderId="4" xfId="0" applyNumberFormat="1" applyFont="1" applyBorder="1"/>
    <xf numFmtId="0" fontId="23" fillId="0" borderId="6" xfId="0" applyFont="1" applyBorder="1"/>
    <xf numFmtId="4" fontId="24" fillId="0" borderId="0" xfId="0" applyNumberFormat="1" applyFont="1"/>
    <xf numFmtId="1" fontId="0" fillId="0" borderId="6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23" fillId="0" borderId="8" xfId="0" applyFont="1" applyBorder="1"/>
    <xf numFmtId="4" fontId="24" fillId="0" borderId="9" xfId="0" applyNumberFormat="1" applyFont="1" applyBorder="1"/>
    <xf numFmtId="2" fontId="0" fillId="0" borderId="2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5" fontId="0" fillId="0" borderId="13" xfId="0" applyNumberFormat="1" applyBorder="1"/>
    <xf numFmtId="0" fontId="0" fillId="0" borderId="13" xfId="0" applyBorder="1" applyAlignment="1">
      <alignment horizontal="center"/>
    </xf>
    <xf numFmtId="0" fontId="0" fillId="0" borderId="13" xfId="0" applyBorder="1"/>
    <xf numFmtId="2" fontId="0" fillId="0" borderId="14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165" fontId="0" fillId="0" borderId="15" xfId="0" applyNumberFormat="1" applyBorder="1"/>
    <xf numFmtId="0" fontId="0" fillId="0" borderId="15" xfId="0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0" fontId="0" fillId="0" borderId="15" xfId="0" applyBorder="1"/>
    <xf numFmtId="2" fontId="0" fillId="0" borderId="16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24" fillId="0" borderId="19" xfId="0" applyFont="1" applyBorder="1"/>
    <xf numFmtId="0" fontId="22" fillId="0" borderId="20" xfId="0" applyFont="1" applyBorder="1"/>
    <xf numFmtId="0" fontId="22" fillId="0" borderId="18" xfId="0" applyFont="1" applyBorder="1"/>
    <xf numFmtId="167" fontId="22" fillId="0" borderId="21" xfId="0" applyNumberFormat="1" applyFont="1" applyBorder="1"/>
    <xf numFmtId="2" fontId="22" fillId="0" borderId="22" xfId="0" applyNumberFormat="1" applyFont="1" applyBorder="1"/>
    <xf numFmtId="2" fontId="0" fillId="0" borderId="23" xfId="0" applyNumberFormat="1" applyBorder="1" applyAlignment="1">
      <alignment horizontal="left"/>
    </xf>
    <xf numFmtId="2" fontId="0" fillId="0" borderId="24" xfId="0" applyNumberFormat="1" applyBorder="1" applyAlignment="1">
      <alignment horizontal="center"/>
    </xf>
    <xf numFmtId="165" fontId="0" fillId="0" borderId="24" xfId="0" applyNumberFormat="1" applyBorder="1"/>
    <xf numFmtId="0" fontId="0" fillId="0" borderId="25" xfId="0" applyBorder="1" applyAlignment="1">
      <alignment horizontal="center"/>
    </xf>
    <xf numFmtId="2" fontId="22" fillId="0" borderId="2" xfId="1" applyNumberFormat="1" applyFont="1" applyBorder="1" applyAlignment="1" applyProtection="1">
      <alignment horizontal="center"/>
    </xf>
    <xf numFmtId="4" fontId="0" fillId="0" borderId="11" xfId="0" applyNumberFormat="1" applyBorder="1"/>
    <xf numFmtId="2" fontId="0" fillId="0" borderId="11" xfId="0" applyNumberForma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0" fillId="0" borderId="20" xfId="0" applyBorder="1"/>
    <xf numFmtId="0" fontId="0" fillId="0" borderId="18" xfId="0" applyBorder="1"/>
    <xf numFmtId="0" fontId="0" fillId="0" borderId="14" xfId="0" applyBorder="1" applyAlignment="1">
      <alignment horizontal="center"/>
    </xf>
    <xf numFmtId="0" fontId="25" fillId="0" borderId="0" xfId="0" applyFont="1"/>
    <xf numFmtId="0" fontId="26" fillId="0" borderId="0" xfId="0" applyFont="1"/>
    <xf numFmtId="4" fontId="7" fillId="0" borderId="0" xfId="0" applyNumberFormat="1" applyFont="1"/>
    <xf numFmtId="0" fontId="0" fillId="7" borderId="0" xfId="0" applyFill="1"/>
    <xf numFmtId="0" fontId="23" fillId="0" borderId="0" xfId="0" applyFont="1"/>
    <xf numFmtId="1" fontId="0" fillId="0" borderId="0" xfId="0" applyNumberFormat="1" applyAlignment="1">
      <alignment horizontal="center"/>
    </xf>
    <xf numFmtId="164" fontId="8" fillId="0" borderId="0" xfId="0" applyNumberFormat="1" applyFont="1"/>
    <xf numFmtId="164" fontId="9" fillId="0" borderId="0" xfId="0" applyNumberFormat="1" applyFont="1"/>
    <xf numFmtId="0" fontId="0" fillId="0" borderId="0" xfId="0" applyAlignment="1">
      <alignment horizontal="right"/>
    </xf>
    <xf numFmtId="0" fontId="8" fillId="0" borderId="0" xfId="0" applyFont="1" applyAlignment="1">
      <alignment horizontal="left"/>
    </xf>
    <xf numFmtId="0" fontId="28" fillId="0" borderId="0" xfId="0" applyFont="1"/>
    <xf numFmtId="0" fontId="5" fillId="0" borderId="0" xfId="0" applyFont="1" applyAlignment="1">
      <alignment horizontal="center"/>
    </xf>
    <xf numFmtId="4" fontId="5" fillId="0" borderId="0" xfId="0" applyNumberFormat="1" applyFont="1"/>
    <xf numFmtId="4" fontId="7" fillId="0" borderId="21" xfId="0" applyNumberFormat="1" applyFont="1" applyBorder="1"/>
    <xf numFmtId="0" fontId="7" fillId="0" borderId="3" xfId="0" applyFont="1" applyBorder="1"/>
    <xf numFmtId="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0" borderId="7" xfId="0" applyFont="1" applyBorder="1"/>
    <xf numFmtId="167" fontId="22" fillId="0" borderId="0" xfId="0" applyNumberFormat="1" applyFont="1"/>
    <xf numFmtId="0" fontId="0" fillId="0" borderId="9" xfId="0" applyBorder="1" applyAlignment="1">
      <alignment horizontal="center"/>
    </xf>
    <xf numFmtId="0" fontId="0" fillId="0" borderId="10" xfId="0" applyBorder="1"/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5" fontId="0" fillId="0" borderId="0" xfId="0" applyNumberFormat="1"/>
    <xf numFmtId="0" fontId="24" fillId="0" borderId="0" xfId="0" applyFont="1"/>
    <xf numFmtId="2" fontId="0" fillId="0" borderId="0" xfId="0" applyNumberFormat="1" applyAlignment="1">
      <alignment horizontal="left"/>
    </xf>
    <xf numFmtId="0" fontId="22" fillId="0" borderId="0" xfId="0" applyFont="1"/>
    <xf numFmtId="2" fontId="22" fillId="0" borderId="0" xfId="1" applyNumberFormat="1" applyFont="1" applyBorder="1" applyAlignment="1" applyProtection="1">
      <alignment horizontal="center"/>
    </xf>
    <xf numFmtId="2" fontId="22" fillId="0" borderId="0" xfId="0" applyNumberFormat="1" applyFont="1"/>
    <xf numFmtId="0" fontId="0" fillId="0" borderId="28" xfId="0" applyBorder="1"/>
    <xf numFmtId="0" fontId="0" fillId="8" borderId="0" xfId="0" applyFill="1"/>
    <xf numFmtId="0" fontId="5" fillId="0" borderId="6" xfId="0" applyFont="1" applyBorder="1"/>
    <xf numFmtId="0" fontId="18" fillId="0" borderId="0" xfId="0" applyFont="1"/>
    <xf numFmtId="2" fontId="5" fillId="0" borderId="2" xfId="0" applyNumberFormat="1" applyFont="1" applyBorder="1" applyAlignment="1">
      <alignment horizontal="center"/>
    </xf>
    <xf numFmtId="2" fontId="5" fillId="0" borderId="21" xfId="0" applyNumberFormat="1" applyFont="1" applyBorder="1" applyAlignment="1">
      <alignment horizontal="left"/>
    </xf>
    <xf numFmtId="0" fontId="0" fillId="0" borderId="29" xfId="0" applyBorder="1"/>
    <xf numFmtId="0" fontId="5" fillId="0" borderId="21" xfId="0" applyFont="1" applyBorder="1"/>
    <xf numFmtId="0" fontId="5" fillId="0" borderId="2" xfId="0" applyFont="1" applyBorder="1"/>
    <xf numFmtId="0" fontId="34" fillId="0" borderId="2" xfId="0" applyFont="1" applyBorder="1"/>
    <xf numFmtId="0" fontId="35" fillId="0" borderId="2" xfId="0" applyFont="1" applyBorder="1"/>
    <xf numFmtId="4" fontId="5" fillId="0" borderId="2" xfId="0" applyNumberFormat="1" applyFont="1" applyBorder="1"/>
    <xf numFmtId="4" fontId="34" fillId="0" borderId="2" xfId="0" applyNumberFormat="1" applyFont="1" applyBorder="1"/>
    <xf numFmtId="4" fontId="36" fillId="0" borderId="2" xfId="0" applyNumberFormat="1" applyFont="1" applyBorder="1"/>
    <xf numFmtId="0" fontId="0" fillId="0" borderId="6" xfId="0" applyBorder="1"/>
    <xf numFmtId="0" fontId="0" fillId="0" borderId="7" xfId="0" applyBorder="1"/>
    <xf numFmtId="0" fontId="35" fillId="0" borderId="6" xfId="0" applyFont="1" applyBorder="1"/>
    <xf numFmtId="0" fontId="35" fillId="0" borderId="8" xfId="0" applyFont="1" applyBorder="1"/>
    <xf numFmtId="0" fontId="5" fillId="0" borderId="2" xfId="0" applyFont="1" applyBorder="1" applyAlignment="1">
      <alignment horizontal="center"/>
    </xf>
    <xf numFmtId="4" fontId="35" fillId="0" borderId="0" xfId="0" applyNumberFormat="1" applyFont="1" applyAlignment="1">
      <alignment horizontal="center"/>
    </xf>
    <xf numFmtId="0" fontId="35" fillId="0" borderId="21" xfId="0" applyFont="1" applyBorder="1"/>
    <xf numFmtId="0" fontId="0" fillId="0" borderId="21" xfId="0" applyBorder="1"/>
    <xf numFmtId="4" fontId="0" fillId="0" borderId="21" xfId="0" applyNumberFormat="1" applyBorder="1"/>
    <xf numFmtId="0" fontId="5" fillId="0" borderId="7" xfId="0" applyFont="1" applyBorder="1"/>
    <xf numFmtId="0" fontId="5" fillId="0" borderId="3" xfId="0" applyFont="1" applyBorder="1"/>
    <xf numFmtId="0" fontId="0" fillId="0" borderId="8" xfId="0" applyBorder="1"/>
    <xf numFmtId="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4" fontId="11" fillId="0" borderId="9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4" fillId="0" borderId="5" xfId="0" applyFont="1" applyBorder="1"/>
    <xf numFmtId="0" fontId="34" fillId="0" borderId="7" xfId="0" applyFont="1" applyBorder="1"/>
    <xf numFmtId="0" fontId="11" fillId="0" borderId="9" xfId="0" applyFont="1" applyBorder="1" applyAlignment="1">
      <alignment horizontal="center"/>
    </xf>
    <xf numFmtId="4" fontId="37" fillId="0" borderId="2" xfId="0" applyNumberFormat="1" applyFont="1" applyBorder="1"/>
    <xf numFmtId="4" fontId="37" fillId="0" borderId="21" xfId="0" applyNumberFormat="1" applyFont="1" applyBorder="1"/>
    <xf numFmtId="4" fontId="11" fillId="0" borderId="10" xfId="0" applyNumberFormat="1" applyFont="1" applyBorder="1" applyAlignment="1">
      <alignment horizontal="center"/>
    </xf>
    <xf numFmtId="0" fontId="38" fillId="0" borderId="6" xfId="0" applyFont="1" applyBorder="1"/>
    <xf numFmtId="4" fontId="38" fillId="0" borderId="6" xfId="0" applyNumberFormat="1" applyFont="1" applyBorder="1"/>
    <xf numFmtId="12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4" fontId="35" fillId="0" borderId="9" xfId="0" applyNumberFormat="1" applyFont="1" applyBorder="1" applyAlignment="1">
      <alignment horizontal="center" vertical="center"/>
    </xf>
    <xf numFmtId="12" fontId="35" fillId="0" borderId="0" xfId="0" applyNumberFormat="1" applyFont="1" applyAlignment="1">
      <alignment horizontal="right" vertical="center"/>
    </xf>
    <xf numFmtId="0" fontId="0" fillId="9" borderId="0" xfId="0" applyFill="1"/>
    <xf numFmtId="0" fontId="0" fillId="0" borderId="34" xfId="0" applyBorder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left"/>
    </xf>
    <xf numFmtId="164" fontId="0" fillId="0" borderId="0" xfId="0" applyNumberFormat="1"/>
    <xf numFmtId="164" fontId="39" fillId="0" borderId="0" xfId="0" applyNumberFormat="1" applyFont="1"/>
    <xf numFmtId="0" fontId="10" fillId="0" borderId="0" xfId="0" applyFont="1"/>
    <xf numFmtId="164" fontId="10" fillId="0" borderId="0" xfId="0" applyNumberFormat="1" applyFont="1"/>
    <xf numFmtId="0" fontId="7" fillId="0" borderId="29" xfId="0" applyFont="1" applyBorder="1"/>
    <xf numFmtId="3" fontId="9" fillId="0" borderId="0" xfId="0" applyNumberFormat="1" applyFont="1"/>
    <xf numFmtId="3" fontId="8" fillId="0" borderId="0" xfId="0" applyNumberFormat="1" applyFont="1"/>
    <xf numFmtId="0" fontId="16" fillId="0" borderId="17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2" fontId="16" fillId="0" borderId="26" xfId="0" applyNumberFormat="1" applyFont="1" applyBorder="1"/>
    <xf numFmtId="2" fontId="16" fillId="0" borderId="15" xfId="0" applyNumberFormat="1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3" xfId="0" applyFont="1" applyBorder="1"/>
    <xf numFmtId="0" fontId="17" fillId="0" borderId="39" xfId="0" applyFont="1" applyBorder="1"/>
    <xf numFmtId="0" fontId="16" fillId="0" borderId="24" xfId="0" applyFont="1" applyBorder="1" applyAlignment="1">
      <alignment horizontal="center"/>
    </xf>
    <xf numFmtId="4" fontId="7" fillId="0" borderId="17" xfId="0" applyNumberFormat="1" applyFont="1" applyBorder="1"/>
    <xf numFmtId="0" fontId="16" fillId="0" borderId="27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0" xfId="0" applyFont="1"/>
    <xf numFmtId="2" fontId="16" fillId="0" borderId="0" xfId="0" applyNumberFormat="1" applyFont="1"/>
    <xf numFmtId="0" fontId="17" fillId="0" borderId="0" xfId="0" applyFont="1"/>
    <xf numFmtId="0" fontId="0" fillId="10" borderId="0" xfId="0" applyFill="1"/>
    <xf numFmtId="4" fontId="36" fillId="0" borderId="28" xfId="0" applyNumberFormat="1" applyFont="1" applyBorder="1"/>
    <xf numFmtId="0" fontId="5" fillId="0" borderId="29" xfId="0" applyFont="1" applyBorder="1"/>
    <xf numFmtId="0" fontId="0" fillId="11" borderId="0" xfId="0" applyFill="1"/>
    <xf numFmtId="0" fontId="0" fillId="12" borderId="0" xfId="0" applyFill="1"/>
    <xf numFmtId="0" fontId="5" fillId="7" borderId="2" xfId="0" applyFont="1" applyFill="1" applyBorder="1"/>
    <xf numFmtId="0" fontId="32" fillId="0" borderId="0" xfId="2"/>
    <xf numFmtId="0" fontId="33" fillId="5" borderId="0" xfId="2" applyFont="1" applyFill="1"/>
    <xf numFmtId="0" fontId="32" fillId="5" borderId="0" xfId="2" applyFill="1"/>
    <xf numFmtId="0" fontId="33" fillId="6" borderId="41" xfId="2" applyFont="1" applyFill="1" applyBorder="1" applyAlignment="1">
      <alignment horizontal="center"/>
    </xf>
    <xf numFmtId="0" fontId="32" fillId="6" borderId="1" xfId="2" applyFill="1" applyBorder="1" applyAlignment="1">
      <alignment horizontal="center"/>
    </xf>
    <xf numFmtId="0" fontId="0" fillId="10" borderId="2" xfId="0" applyFill="1" applyBorder="1"/>
    <xf numFmtId="0" fontId="5" fillId="10" borderId="2" xfId="0" applyFont="1" applyFill="1" applyBorder="1"/>
    <xf numFmtId="0" fontId="35" fillId="10" borderId="21" xfId="0" applyFont="1" applyFill="1" applyBorder="1"/>
    <xf numFmtId="0" fontId="5" fillId="10" borderId="6" xfId="0" applyFont="1" applyFill="1" applyBorder="1"/>
    <xf numFmtId="0" fontId="5" fillId="10" borderId="2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0" fontId="34" fillId="10" borderId="7" xfId="0" applyFont="1" applyFill="1" applyBorder="1"/>
    <xf numFmtId="0" fontId="5" fillId="10" borderId="0" xfId="0" applyFont="1" applyFill="1" applyAlignment="1">
      <alignment horizontal="center"/>
    </xf>
    <xf numFmtId="0" fontId="34" fillId="10" borderId="2" xfId="0" applyFont="1" applyFill="1" applyBorder="1"/>
    <xf numFmtId="0" fontId="35" fillId="10" borderId="2" xfId="0" applyFont="1" applyFill="1" applyBorder="1"/>
    <xf numFmtId="0" fontId="35" fillId="10" borderId="6" xfId="0" applyFont="1" applyFill="1" applyBorder="1"/>
    <xf numFmtId="0" fontId="35" fillId="10" borderId="0" xfId="0" applyFont="1" applyFill="1" applyAlignment="1">
      <alignment horizontal="center" vertical="center"/>
    </xf>
    <xf numFmtId="0" fontId="0" fillId="10" borderId="7" xfId="0" applyFill="1" applyBorder="1"/>
    <xf numFmtId="0" fontId="38" fillId="10" borderId="6" xfId="0" applyFont="1" applyFill="1" applyBorder="1"/>
    <xf numFmtId="12" fontId="35" fillId="10" borderId="0" xfId="0" applyNumberFormat="1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5" fillId="10" borderId="21" xfId="0" applyFont="1" applyFill="1" applyBorder="1"/>
    <xf numFmtId="0" fontId="0" fillId="10" borderId="29" xfId="0" applyFill="1" applyBorder="1"/>
    <xf numFmtId="0" fontId="0" fillId="10" borderId="28" xfId="0" applyFill="1" applyBorder="1"/>
    <xf numFmtId="0" fontId="5" fillId="10" borderId="29" xfId="0" applyFont="1" applyFill="1" applyBorder="1"/>
    <xf numFmtId="4" fontId="36" fillId="10" borderId="28" xfId="0" applyNumberFormat="1" applyFont="1" applyFill="1" applyBorder="1"/>
    <xf numFmtId="0" fontId="0" fillId="10" borderId="21" xfId="0" applyFill="1" applyBorder="1"/>
    <xf numFmtId="12" fontId="35" fillId="10" borderId="0" xfId="0" applyNumberFormat="1" applyFont="1" applyFill="1" applyAlignment="1">
      <alignment horizontal="right" vertical="center"/>
    </xf>
    <xf numFmtId="4" fontId="11" fillId="10" borderId="0" xfId="0" applyNumberFormat="1" applyFont="1" applyFill="1" applyAlignment="1">
      <alignment horizontal="center"/>
    </xf>
    <xf numFmtId="4" fontId="38" fillId="10" borderId="6" xfId="0" applyNumberFormat="1" applyFont="1" applyFill="1" applyBorder="1"/>
    <xf numFmtId="4" fontId="35" fillId="10" borderId="0" xfId="0" applyNumberFormat="1" applyFont="1" applyFill="1" applyAlignment="1">
      <alignment horizontal="center"/>
    </xf>
    <xf numFmtId="4" fontId="0" fillId="10" borderId="2" xfId="0" applyNumberFormat="1" applyFill="1" applyBorder="1"/>
    <xf numFmtId="4" fontId="5" fillId="10" borderId="2" xfId="0" applyNumberFormat="1" applyFont="1" applyFill="1" applyBorder="1"/>
    <xf numFmtId="4" fontId="34" fillId="10" borderId="2" xfId="0" applyNumberFormat="1" applyFont="1" applyFill="1" applyBorder="1"/>
    <xf numFmtId="4" fontId="36" fillId="10" borderId="2" xfId="0" applyNumberFormat="1" applyFont="1" applyFill="1" applyBorder="1"/>
    <xf numFmtId="4" fontId="37" fillId="10" borderId="2" xfId="0" applyNumberFormat="1" applyFont="1" applyFill="1" applyBorder="1"/>
    <xf numFmtId="4" fontId="37" fillId="10" borderId="21" xfId="0" applyNumberFormat="1" applyFont="1" applyFill="1" applyBorder="1"/>
    <xf numFmtId="0" fontId="11" fillId="10" borderId="7" xfId="0" applyFont="1" applyFill="1" applyBorder="1" applyAlignment="1">
      <alignment horizontal="center"/>
    </xf>
    <xf numFmtId="0" fontId="0" fillId="10" borderId="6" xfId="0" applyFill="1" applyBorder="1"/>
    <xf numFmtId="0" fontId="5" fillId="10" borderId="7" xfId="0" applyFont="1" applyFill="1" applyBorder="1"/>
    <xf numFmtId="4" fontId="0" fillId="10" borderId="21" xfId="0" applyNumberFormat="1" applyFill="1" applyBorder="1"/>
    <xf numFmtId="0" fontId="35" fillId="10" borderId="8" xfId="0" applyFont="1" applyFill="1" applyBorder="1"/>
    <xf numFmtId="4" fontId="35" fillId="10" borderId="9" xfId="0" applyNumberFormat="1" applyFont="1" applyFill="1" applyBorder="1" applyAlignment="1">
      <alignment horizontal="center" vertical="center"/>
    </xf>
    <xf numFmtId="4" fontId="11" fillId="10" borderId="9" xfId="0" applyNumberFormat="1" applyFont="1" applyFill="1" applyBorder="1" applyAlignment="1">
      <alignment horizontal="center"/>
    </xf>
    <xf numFmtId="4" fontId="11" fillId="10" borderId="10" xfId="0" applyNumberFormat="1" applyFont="1" applyFill="1" applyBorder="1" applyAlignment="1">
      <alignment horizontal="center"/>
    </xf>
    <xf numFmtId="0" fontId="0" fillId="10" borderId="8" xfId="0" applyFill="1" applyBorder="1"/>
    <xf numFmtId="0" fontId="0" fillId="10" borderId="9" xfId="0" applyFill="1" applyBorder="1" applyAlignment="1">
      <alignment horizontal="center"/>
    </xf>
    <xf numFmtId="0" fontId="11" fillId="10" borderId="9" xfId="0" applyFont="1" applyFill="1" applyBorder="1" applyAlignment="1">
      <alignment horizontal="center"/>
    </xf>
    <xf numFmtId="0" fontId="0" fillId="10" borderId="10" xfId="0" applyFill="1" applyBorder="1"/>
    <xf numFmtId="2" fontId="5" fillId="10" borderId="2" xfId="0" applyNumberFormat="1" applyFont="1" applyFill="1" applyBorder="1" applyAlignment="1">
      <alignment horizontal="center"/>
    </xf>
    <xf numFmtId="2" fontId="5" fillId="10" borderId="21" xfId="0" applyNumberFormat="1" applyFont="1" applyFill="1" applyBorder="1" applyAlignment="1">
      <alignment horizontal="left"/>
    </xf>
    <xf numFmtId="0" fontId="5" fillId="10" borderId="3" xfId="0" applyFont="1" applyFill="1" applyBorder="1"/>
    <xf numFmtId="0" fontId="0" fillId="10" borderId="4" xfId="0" applyFill="1" applyBorder="1" applyAlignment="1">
      <alignment horizontal="center"/>
    </xf>
    <xf numFmtId="0" fontId="34" fillId="10" borderId="5" xfId="0" applyFont="1" applyFill="1" applyBorder="1"/>
    <xf numFmtId="0" fontId="5" fillId="10" borderId="4" xfId="0" applyFont="1" applyFill="1" applyBorder="1" applyAlignment="1">
      <alignment horizontal="center"/>
    </xf>
    <xf numFmtId="2" fontId="5" fillId="8" borderId="2" xfId="0" applyNumberFormat="1" applyFont="1" applyFill="1" applyBorder="1" applyAlignment="1">
      <alignment horizontal="center"/>
    </xf>
    <xf numFmtId="2" fontId="5" fillId="8" borderId="21" xfId="0" applyNumberFormat="1" applyFont="1" applyFill="1" applyBorder="1" applyAlignment="1">
      <alignment horizontal="left"/>
    </xf>
    <xf numFmtId="0" fontId="0" fillId="8" borderId="29" xfId="0" applyFill="1" applyBorder="1"/>
    <xf numFmtId="0" fontId="0" fillId="8" borderId="28" xfId="0" applyFill="1" applyBorder="1"/>
    <xf numFmtId="0" fontId="5" fillId="8" borderId="21" xfId="0" applyFont="1" applyFill="1" applyBorder="1"/>
    <xf numFmtId="0" fontId="5" fillId="8" borderId="2" xfId="0" applyFont="1" applyFill="1" applyBorder="1"/>
    <xf numFmtId="0" fontId="0" fillId="8" borderId="2" xfId="0" applyFill="1" applyBorder="1"/>
    <xf numFmtId="0" fontId="5" fillId="8" borderId="3" xfId="0" applyFont="1" applyFill="1" applyBorder="1"/>
    <xf numFmtId="0" fontId="5" fillId="8" borderId="2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34" fillId="8" borderId="5" xfId="0" applyFont="1" applyFill="1" applyBorder="1"/>
    <xf numFmtId="0" fontId="5" fillId="8" borderId="4" xfId="0" applyFont="1" applyFill="1" applyBorder="1" applyAlignment="1">
      <alignment horizontal="center"/>
    </xf>
    <xf numFmtId="0" fontId="35" fillId="8" borderId="21" xfId="0" applyFont="1" applyFill="1" applyBorder="1"/>
    <xf numFmtId="0" fontId="5" fillId="8" borderId="6" xfId="0" applyFont="1" applyFill="1" applyBorder="1"/>
    <xf numFmtId="0" fontId="0" fillId="8" borderId="0" xfId="0" applyFill="1" applyAlignment="1">
      <alignment horizontal="center"/>
    </xf>
    <xf numFmtId="0" fontId="34" fillId="8" borderId="7" xfId="0" applyFont="1" applyFill="1" applyBorder="1"/>
    <xf numFmtId="0" fontId="5" fillId="8" borderId="0" xfId="0" applyFont="1" applyFill="1" applyAlignment="1">
      <alignment horizontal="center"/>
    </xf>
    <xf numFmtId="0" fontId="34" fillId="8" borderId="2" xfId="0" applyFont="1" applyFill="1" applyBorder="1"/>
    <xf numFmtId="0" fontId="35" fillId="8" borderId="2" xfId="0" applyFont="1" applyFill="1" applyBorder="1"/>
    <xf numFmtId="0" fontId="35" fillId="8" borderId="6" xfId="0" applyFont="1" applyFill="1" applyBorder="1"/>
    <xf numFmtId="0" fontId="35" fillId="8" borderId="0" xfId="0" applyFont="1" applyFill="1" applyAlignment="1">
      <alignment horizontal="center" vertical="center"/>
    </xf>
    <xf numFmtId="0" fontId="0" fillId="8" borderId="7" xfId="0" applyFill="1" applyBorder="1"/>
    <xf numFmtId="0" fontId="38" fillId="8" borderId="6" xfId="0" applyFont="1" applyFill="1" applyBorder="1"/>
    <xf numFmtId="12" fontId="35" fillId="8" borderId="0" xfId="0" applyNumberFormat="1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5" fillId="8" borderId="29" xfId="0" applyFont="1" applyFill="1" applyBorder="1"/>
    <xf numFmtId="4" fontId="36" fillId="8" borderId="28" xfId="0" applyNumberFormat="1" applyFont="1" applyFill="1" applyBorder="1"/>
    <xf numFmtId="0" fontId="0" fillId="8" borderId="21" xfId="0" applyFill="1" applyBorder="1"/>
    <xf numFmtId="12" fontId="35" fillId="8" borderId="0" xfId="0" applyNumberFormat="1" applyFont="1" applyFill="1" applyAlignment="1">
      <alignment horizontal="right" vertical="center"/>
    </xf>
    <xf numFmtId="4" fontId="11" fillId="8" borderId="0" xfId="0" applyNumberFormat="1" applyFont="1" applyFill="1" applyAlignment="1">
      <alignment horizontal="center"/>
    </xf>
    <xf numFmtId="4" fontId="38" fillId="8" borderId="6" xfId="0" applyNumberFormat="1" applyFont="1" applyFill="1" applyBorder="1"/>
    <xf numFmtId="4" fontId="35" fillId="8" borderId="0" xfId="0" applyNumberFormat="1" applyFont="1" applyFill="1" applyAlignment="1">
      <alignment horizontal="center"/>
    </xf>
    <xf numFmtId="4" fontId="0" fillId="8" borderId="2" xfId="0" applyNumberFormat="1" applyFill="1" applyBorder="1"/>
    <xf numFmtId="4" fontId="5" fillId="8" borderId="2" xfId="0" applyNumberFormat="1" applyFont="1" applyFill="1" applyBorder="1"/>
    <xf numFmtId="4" fontId="34" fillId="8" borderId="2" xfId="0" applyNumberFormat="1" applyFont="1" applyFill="1" applyBorder="1"/>
    <xf numFmtId="4" fontId="36" fillId="8" borderId="2" xfId="0" applyNumberFormat="1" applyFont="1" applyFill="1" applyBorder="1"/>
    <xf numFmtId="4" fontId="37" fillId="8" borderId="2" xfId="0" applyNumberFormat="1" applyFont="1" applyFill="1" applyBorder="1"/>
    <xf numFmtId="4" fontId="37" fillId="8" borderId="21" xfId="0" applyNumberFormat="1" applyFont="1" applyFill="1" applyBorder="1"/>
    <xf numFmtId="0" fontId="11" fillId="8" borderId="7" xfId="0" applyFont="1" applyFill="1" applyBorder="1" applyAlignment="1">
      <alignment horizontal="center"/>
    </xf>
    <xf numFmtId="0" fontId="0" fillId="8" borderId="6" xfId="0" applyFill="1" applyBorder="1"/>
    <xf numFmtId="0" fontId="5" fillId="8" borderId="7" xfId="0" applyFont="1" applyFill="1" applyBorder="1"/>
    <xf numFmtId="4" fontId="0" fillId="8" borderId="21" xfId="0" applyNumberFormat="1" applyFill="1" applyBorder="1"/>
    <xf numFmtId="0" fontId="35" fillId="8" borderId="8" xfId="0" applyFont="1" applyFill="1" applyBorder="1"/>
    <xf numFmtId="4" fontId="35" fillId="8" borderId="9" xfId="0" applyNumberFormat="1" applyFont="1" applyFill="1" applyBorder="1" applyAlignment="1">
      <alignment horizontal="center" vertical="center"/>
    </xf>
    <xf numFmtId="4" fontId="11" fillId="8" borderId="9" xfId="0" applyNumberFormat="1" applyFont="1" applyFill="1" applyBorder="1" applyAlignment="1">
      <alignment horizontal="center"/>
    </xf>
    <xf numFmtId="4" fontId="11" fillId="8" borderId="10" xfId="0" applyNumberFormat="1" applyFont="1" applyFill="1" applyBorder="1" applyAlignment="1">
      <alignment horizontal="center"/>
    </xf>
    <xf numFmtId="0" fontId="0" fillId="8" borderId="8" xfId="0" applyFill="1" applyBorder="1"/>
    <xf numFmtId="0" fontId="0" fillId="8" borderId="9" xfId="0" applyFill="1" applyBorder="1" applyAlignment="1">
      <alignment horizontal="center"/>
    </xf>
    <xf numFmtId="0" fontId="11" fillId="8" borderId="9" xfId="0" applyFont="1" applyFill="1" applyBorder="1" applyAlignment="1">
      <alignment horizontal="center"/>
    </xf>
    <xf numFmtId="0" fontId="0" fillId="8" borderId="10" xfId="0" applyFill="1" applyBorder="1"/>
    <xf numFmtId="0" fontId="40" fillId="13" borderId="23" xfId="0" applyFont="1" applyFill="1" applyBorder="1"/>
    <xf numFmtId="0" fontId="40" fillId="13" borderId="24" xfId="0" applyFont="1" applyFill="1" applyBorder="1"/>
    <xf numFmtId="0" fontId="40" fillId="13" borderId="24" xfId="0" applyFont="1" applyFill="1" applyBorder="1" applyAlignment="1">
      <alignment horizontal="right"/>
    </xf>
    <xf numFmtId="164" fontId="40" fillId="13" borderId="24" xfId="0" applyNumberFormat="1" applyFont="1" applyFill="1" applyBorder="1" applyAlignment="1">
      <alignment horizontal="center"/>
    </xf>
    <xf numFmtId="0" fontId="40" fillId="13" borderId="25" xfId="0" applyFont="1" applyFill="1" applyBorder="1" applyAlignment="1">
      <alignment horizontal="center"/>
    </xf>
    <xf numFmtId="0" fontId="5" fillId="14" borderId="37" xfId="0" applyFont="1" applyFill="1" applyBorder="1"/>
    <xf numFmtId="0" fontId="0" fillId="14" borderId="38" xfId="0" applyFill="1" applyBorder="1"/>
    <xf numFmtId="0" fontId="5" fillId="14" borderId="38" xfId="0" applyFont="1" applyFill="1" applyBorder="1"/>
    <xf numFmtId="0" fontId="34" fillId="14" borderId="38" xfId="0" applyFont="1" applyFill="1" applyBorder="1"/>
    <xf numFmtId="164" fontId="34" fillId="14" borderId="38" xfId="0" applyNumberFormat="1" applyFont="1" applyFill="1" applyBorder="1" applyAlignment="1">
      <alignment horizontal="center"/>
    </xf>
    <xf numFmtId="0" fontId="40" fillId="14" borderId="40" xfId="0" applyFont="1" applyFill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12" fontId="5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7" fillId="14" borderId="23" xfId="0" applyFont="1" applyFill="1" applyBorder="1"/>
    <xf numFmtId="0" fontId="5" fillId="14" borderId="24" xfId="0" applyFont="1" applyFill="1" applyBorder="1" applyAlignment="1">
      <alignment horizontal="center"/>
    </xf>
    <xf numFmtId="0" fontId="41" fillId="14" borderId="24" xfId="0" applyFont="1" applyFill="1" applyBorder="1"/>
    <xf numFmtId="164" fontId="41" fillId="14" borderId="24" xfId="0" applyNumberFormat="1" applyFont="1" applyFill="1" applyBorder="1"/>
    <xf numFmtId="0" fontId="41" fillId="14" borderId="25" xfId="0" applyFont="1" applyFill="1" applyBorder="1"/>
    <xf numFmtId="0" fontId="5" fillId="14" borderId="31" xfId="0" applyFont="1" applyFill="1" applyBorder="1"/>
    <xf numFmtId="0" fontId="5" fillId="14" borderId="32" xfId="0" applyFont="1" applyFill="1" applyBorder="1" applyAlignment="1">
      <alignment horizontal="center"/>
    </xf>
    <xf numFmtId="0" fontId="0" fillId="14" borderId="32" xfId="0" applyFill="1" applyBorder="1"/>
    <xf numFmtId="0" fontId="5" fillId="14" borderId="32" xfId="0" applyFont="1" applyFill="1" applyBorder="1"/>
    <xf numFmtId="0" fontId="5" fillId="14" borderId="36" xfId="0" applyFont="1" applyFill="1" applyBorder="1"/>
    <xf numFmtId="166" fontId="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30" fillId="0" borderId="0" xfId="0" applyFont="1"/>
    <xf numFmtId="0" fontId="32" fillId="6" borderId="42" xfId="2" applyFill="1" applyBorder="1" applyAlignment="1">
      <alignment horizontal="center"/>
    </xf>
    <xf numFmtId="0" fontId="7" fillId="0" borderId="0" xfId="0" applyFont="1" applyAlignment="1">
      <alignment horizontal="center"/>
    </xf>
    <xf numFmtId="0" fontId="31" fillId="0" borderId="0" xfId="0" applyFont="1"/>
    <xf numFmtId="0" fontId="0" fillId="0" borderId="2" xfId="0" applyBorder="1" applyAlignment="1">
      <alignment horizontal="center"/>
    </xf>
    <xf numFmtId="0" fontId="32" fillId="0" borderId="0" xfId="2" applyAlignment="1">
      <alignment horizontal="center"/>
    </xf>
    <xf numFmtId="0" fontId="34" fillId="0" borderId="0" xfId="0" applyFont="1"/>
    <xf numFmtId="0" fontId="9" fillId="0" borderId="0" xfId="0" applyFont="1" applyAlignment="1">
      <alignment horizontal="left"/>
    </xf>
    <xf numFmtId="0" fontId="5" fillId="0" borderId="0" xfId="0" applyFont="1" applyAlignment="1">
      <alignment horizontal="right" vertical="top"/>
    </xf>
    <xf numFmtId="0" fontId="0" fillId="0" borderId="2" xfId="0" quotePrefix="1" applyBorder="1" applyAlignment="1">
      <alignment horizontal="right"/>
    </xf>
    <xf numFmtId="4" fontId="0" fillId="0" borderId="0" xfId="0" applyNumberFormat="1" applyAlignment="1">
      <alignment horizontal="right"/>
    </xf>
    <xf numFmtId="0" fontId="11" fillId="0" borderId="30" xfId="0" applyFont="1" applyBorder="1" applyAlignment="1">
      <alignment horizontal="left"/>
    </xf>
    <xf numFmtId="0" fontId="0" fillId="0" borderId="0" xfId="0" applyAlignment="1">
      <alignment horizontal="right" vertical="top"/>
    </xf>
    <xf numFmtId="4" fontId="27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164" fontId="5" fillId="0" borderId="0" xfId="0" applyNumberFormat="1" applyFont="1" applyAlignment="1">
      <alignment horizontal="left"/>
    </xf>
    <xf numFmtId="0" fontId="9" fillId="0" borderId="46" xfId="0" applyFont="1" applyBorder="1"/>
    <xf numFmtId="4" fontId="9" fillId="0" borderId="46" xfId="0" applyNumberFormat="1" applyFont="1" applyBorder="1"/>
    <xf numFmtId="164" fontId="9" fillId="0" borderId="46" xfId="0" applyNumberFormat="1" applyFont="1" applyBorder="1"/>
    <xf numFmtId="164" fontId="5" fillId="0" borderId="0" xfId="0" applyNumberFormat="1" applyFont="1"/>
    <xf numFmtId="0" fontId="0" fillId="0" borderId="9" xfId="0" applyBorder="1"/>
    <xf numFmtId="0" fontId="2" fillId="0" borderId="0" xfId="3"/>
    <xf numFmtId="49" fontId="33" fillId="5" borderId="0" xfId="3" applyNumberFormat="1" applyFont="1" applyFill="1"/>
    <xf numFmtId="49" fontId="2" fillId="0" borderId="0" xfId="3" applyNumberFormat="1"/>
    <xf numFmtId="49" fontId="2" fillId="5" borderId="0" xfId="3" applyNumberFormat="1" applyFill="1"/>
    <xf numFmtId="49" fontId="33" fillId="6" borderId="41" xfId="3" applyNumberFormat="1" applyFont="1" applyFill="1" applyBorder="1" applyAlignment="1">
      <alignment horizontal="center"/>
    </xf>
    <xf numFmtId="49" fontId="2" fillId="6" borderId="1" xfId="3" applyNumberFormat="1" applyFill="1" applyBorder="1" applyAlignment="1">
      <alignment horizontal="center"/>
    </xf>
    <xf numFmtId="4" fontId="2" fillId="5" borderId="0" xfId="3" applyNumberFormat="1" applyFill="1"/>
    <xf numFmtId="4" fontId="33" fillId="6" borderId="41" xfId="3" applyNumberFormat="1" applyFont="1" applyFill="1" applyBorder="1" applyAlignment="1">
      <alignment horizontal="center"/>
    </xf>
    <xf numFmtId="4" fontId="2" fillId="6" borderId="1" xfId="3" applyNumberFormat="1" applyFill="1" applyBorder="1" applyAlignment="1">
      <alignment horizontal="center"/>
    </xf>
    <xf numFmtId="4" fontId="2" fillId="0" borderId="0" xfId="3" applyNumberFormat="1"/>
    <xf numFmtId="49" fontId="0" fillId="0" borderId="2" xfId="0" applyNumberFormat="1" applyBorder="1"/>
    <xf numFmtId="0" fontId="35" fillId="15" borderId="2" xfId="0" applyFont="1" applyFill="1" applyBorder="1"/>
    <xf numFmtId="0" fontId="0" fillId="15" borderId="2" xfId="0" applyFill="1" applyBorder="1"/>
    <xf numFmtId="0" fontId="5" fillId="15" borderId="3" xfId="0" applyFont="1" applyFill="1" applyBorder="1"/>
    <xf numFmtId="12" fontId="35" fillId="15" borderId="0" xfId="0" applyNumberFormat="1" applyFont="1" applyFill="1" applyAlignment="1">
      <alignment horizontal="right" vertical="center"/>
    </xf>
    <xf numFmtId="0" fontId="5" fillId="15" borderId="6" xfId="0" applyFont="1" applyFill="1" applyBorder="1"/>
    <xf numFmtId="0" fontId="36" fillId="15" borderId="33" xfId="0" applyFont="1" applyFill="1" applyBorder="1" applyAlignment="1">
      <alignment horizontal="center"/>
    </xf>
    <xf numFmtId="4" fontId="42" fillId="15" borderId="10" xfId="0" applyNumberFormat="1" applyFont="1" applyFill="1" applyBorder="1" applyAlignment="1">
      <alignment horizontal="center"/>
    </xf>
    <xf numFmtId="3" fontId="7" fillId="0" borderId="0" xfId="0" applyNumberFormat="1" applyFont="1"/>
    <xf numFmtId="0" fontId="43" fillId="0" borderId="0" xfId="0" applyFont="1"/>
    <xf numFmtId="0" fontId="32" fillId="5" borderId="0" xfId="2" applyFill="1" applyAlignment="1">
      <alignment horizontal="center"/>
    </xf>
    <xf numFmtId="0" fontId="33" fillId="0" borderId="0" xfId="2" applyFont="1" applyAlignment="1">
      <alignment horizontal="center"/>
    </xf>
    <xf numFmtId="168" fontId="44" fillId="0" borderId="0" xfId="0" applyNumberFormat="1" applyFont="1"/>
    <xf numFmtId="0" fontId="45" fillId="0" borderId="0" xfId="0" applyFont="1"/>
    <xf numFmtId="0" fontId="10" fillId="0" borderId="37" xfId="0" applyFont="1" applyBorder="1"/>
    <xf numFmtId="0" fontId="31" fillId="0" borderId="40" xfId="0" applyFont="1" applyBorder="1"/>
    <xf numFmtId="0" fontId="29" fillId="0" borderId="43" xfId="0" applyFont="1" applyBorder="1"/>
    <xf numFmtId="0" fontId="29" fillId="0" borderId="17" xfId="0" applyFont="1" applyBorder="1"/>
    <xf numFmtId="0" fontId="29" fillId="0" borderId="12" xfId="0" applyFont="1" applyBorder="1"/>
    <xf numFmtId="0" fontId="29" fillId="0" borderId="44" xfId="0" applyFont="1" applyBorder="1"/>
    <xf numFmtId="0" fontId="29" fillId="0" borderId="2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5" xfId="0" applyFont="1" applyBorder="1"/>
    <xf numFmtId="0" fontId="29" fillId="0" borderId="18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0" fillId="0" borderId="44" xfId="0" applyBorder="1"/>
    <xf numFmtId="168" fontId="5" fillId="0" borderId="44" xfId="0" applyNumberFormat="1" applyFont="1" applyBorder="1" applyAlignment="1">
      <alignment horizontal="center"/>
    </xf>
    <xf numFmtId="166" fontId="5" fillId="0" borderId="44" xfId="0" applyNumberFormat="1" applyFont="1" applyBorder="1" applyAlignment="1">
      <alignment horizontal="center"/>
    </xf>
    <xf numFmtId="168" fontId="0" fillId="0" borderId="44" xfId="0" applyNumberFormat="1" applyBorder="1" applyAlignment="1">
      <alignment horizontal="center"/>
    </xf>
    <xf numFmtId="0" fontId="0" fillId="0" borderId="45" xfId="0" applyBorder="1"/>
    <xf numFmtId="164" fontId="0" fillId="0" borderId="45" xfId="0" applyNumberFormat="1" applyBorder="1" applyAlignment="1">
      <alignment horizontal="center"/>
    </xf>
    <xf numFmtId="4" fontId="5" fillId="0" borderId="45" xfId="0" applyNumberFormat="1" applyFont="1" applyBorder="1" applyAlignment="1">
      <alignment horizontal="center"/>
    </xf>
    <xf numFmtId="164" fontId="10" fillId="0" borderId="34" xfId="0" applyNumberFormat="1" applyFont="1" applyBorder="1" applyAlignment="1">
      <alignment horizontal="center"/>
    </xf>
    <xf numFmtId="166" fontId="10" fillId="0" borderId="35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11" fillId="0" borderId="0" xfId="0" applyFont="1"/>
    <xf numFmtId="0" fontId="5" fillId="2" borderId="0" xfId="0" applyFont="1" applyFill="1" applyAlignment="1">
      <alignment horizontal="right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</cellXfs>
  <cellStyles count="5">
    <cellStyle name="Hipervínculo" xfId="1" builtinId="8"/>
    <cellStyle name="Normal" xfId="0" builtinId="0"/>
    <cellStyle name="Normal 2" xfId="2"/>
    <cellStyle name="Normal 3" xfId="3"/>
    <cellStyle name="Normal 4" xfId="4"/>
  </cellStyles>
  <dxfs count="0"/>
  <tableStyles count="0" defaultTableStyle="TableStyleMedium9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221</xdr:row>
      <xdr:rowOff>107155</xdr:rowOff>
    </xdr:from>
    <xdr:to>
      <xdr:col>5</xdr:col>
      <xdr:colOff>1000895</xdr:colOff>
      <xdr:row>255</xdr:row>
      <xdr:rowOff>35718</xdr:rowOff>
    </xdr:to>
    <xdr:pic>
      <xdr:nvPicPr>
        <xdr:cNvPr id="28235" name="Picture 1">
          <a:extLst>
            <a:ext uri="{FF2B5EF4-FFF2-40B4-BE49-F238E27FC236}">
              <a16:creationId xmlns:a16="http://schemas.microsoft.com/office/drawing/2014/main" xmlns="" id="{30107D2F-418D-4367-89E1-C090742C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62124"/>
          <a:ext cx="8263708" cy="5595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132</xdr:row>
      <xdr:rowOff>47626</xdr:rowOff>
    </xdr:from>
    <xdr:to>
      <xdr:col>5</xdr:col>
      <xdr:colOff>818274</xdr:colOff>
      <xdr:row>180</xdr:row>
      <xdr:rowOff>71438</xdr:rowOff>
    </xdr:to>
    <xdr:pic>
      <xdr:nvPicPr>
        <xdr:cNvPr id="28236" name="Picture 2">
          <a:extLst>
            <a:ext uri="{FF2B5EF4-FFF2-40B4-BE49-F238E27FC236}">
              <a16:creationId xmlns:a16="http://schemas.microsoft.com/office/drawing/2014/main" xmlns="" id="{252151C3-43CC-47C5-900B-70F0C3065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22931439"/>
          <a:ext cx="7852486" cy="8024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247651</xdr:colOff>
      <xdr:row>182</xdr:row>
      <xdr:rowOff>47626</xdr:rowOff>
    </xdr:from>
    <xdr:to>
      <xdr:col>5</xdr:col>
      <xdr:colOff>787008</xdr:colOff>
      <xdr:row>219</xdr:row>
      <xdr:rowOff>23811</xdr:rowOff>
    </xdr:to>
    <xdr:pic>
      <xdr:nvPicPr>
        <xdr:cNvPr id="28237" name="Picture 3">
          <a:extLst>
            <a:ext uri="{FF2B5EF4-FFF2-40B4-BE49-F238E27FC236}">
              <a16:creationId xmlns:a16="http://schemas.microsoft.com/office/drawing/2014/main" xmlns="" id="{CBABBE6A-4D38-4F03-B61C-D4B5AF2E7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31265814"/>
          <a:ext cx="7802170" cy="614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16669</xdr:rowOff>
    </xdr:from>
    <xdr:to>
      <xdr:col>5</xdr:col>
      <xdr:colOff>773906</xdr:colOff>
      <xdr:row>131</xdr:row>
      <xdr:rowOff>23776</xdr:rowOff>
    </xdr:to>
    <xdr:pic>
      <xdr:nvPicPr>
        <xdr:cNvPr id="28238" name="3 Imagen">
          <a:extLst>
            <a:ext uri="{FF2B5EF4-FFF2-40B4-BE49-F238E27FC236}">
              <a16:creationId xmlns:a16="http://schemas.microsoft.com/office/drawing/2014/main" xmlns="" id="{485933F2-019D-44AD-8D69-15F4B9A4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3482"/>
          <a:ext cx="8036719" cy="250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545884</xdr:colOff>
      <xdr:row>61</xdr:row>
      <xdr:rowOff>151557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FB9DECA-E1DF-47E9-BD84-20832E608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0" y="0"/>
          <a:ext cx="18040134" cy="9835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9"/>
  <sheetViews>
    <sheetView topLeftCell="A4" workbookViewId="0">
      <selection activeCell="K5" sqref="K5"/>
    </sheetView>
  </sheetViews>
  <sheetFormatPr baseColWidth="10" defaultColWidth="9.140625" defaultRowHeight="12.75" x14ac:dyDescent="0.2"/>
  <cols>
    <col min="1" max="1" width="6.5703125" customWidth="1"/>
    <col min="8" max="8" width="8.42578125" customWidth="1"/>
    <col min="9" max="9" width="9.140625" customWidth="1"/>
  </cols>
  <sheetData>
    <row r="2" spans="1:9" ht="18" x14ac:dyDescent="0.25">
      <c r="A2" s="1"/>
      <c r="B2" s="1"/>
      <c r="C2" s="2"/>
      <c r="E2" s="3"/>
      <c r="G2" s="3"/>
      <c r="H2" s="3"/>
      <c r="I2" s="3"/>
    </row>
    <row r="3" spans="1:9" ht="15.75" x14ac:dyDescent="0.25">
      <c r="A3" s="3"/>
      <c r="B3" s="3"/>
      <c r="C3" s="419"/>
      <c r="D3" s="3"/>
      <c r="E3" s="3"/>
      <c r="F3" s="3"/>
      <c r="G3" s="3"/>
      <c r="H3" s="3"/>
      <c r="I3" s="3"/>
    </row>
    <row r="4" spans="1:9" x14ac:dyDescent="0.2">
      <c r="A4" s="3"/>
      <c r="B4" s="3"/>
      <c r="C4" s="3"/>
      <c r="D4" s="3"/>
      <c r="E4" s="3"/>
      <c r="F4" s="3"/>
      <c r="G4" s="3"/>
      <c r="H4" s="3"/>
      <c r="I4" s="3"/>
    </row>
    <row r="5" spans="1:9" x14ac:dyDescent="0.2">
      <c r="A5" s="3"/>
      <c r="B5" s="3"/>
      <c r="E5" s="4"/>
      <c r="F5" s="4"/>
      <c r="G5" s="4"/>
      <c r="H5" s="4"/>
      <c r="I5" s="4"/>
    </row>
    <row r="6" spans="1:9" x14ac:dyDescent="0.2">
      <c r="A6" s="4"/>
      <c r="B6" s="4"/>
      <c r="C6" s="4"/>
      <c r="D6" s="4"/>
      <c r="E6" s="4"/>
      <c r="F6" s="4"/>
      <c r="G6" s="4"/>
      <c r="H6" s="4"/>
      <c r="I6" s="4"/>
    </row>
    <row r="7" spans="1:9" x14ac:dyDescent="0.2">
      <c r="A7" s="4"/>
      <c r="B7" s="4"/>
      <c r="C7" s="3"/>
      <c r="D7" s="4"/>
      <c r="E7" s="4"/>
      <c r="F7" s="4"/>
      <c r="G7" s="4"/>
      <c r="H7" s="4"/>
      <c r="I7" s="4"/>
    </row>
    <row r="8" spans="1:9" x14ac:dyDescent="0.2">
      <c r="A8" s="4"/>
      <c r="B8" s="4"/>
      <c r="C8" s="4"/>
      <c r="D8" s="4"/>
      <c r="E8" s="4"/>
      <c r="F8" s="4"/>
      <c r="G8" s="4"/>
      <c r="H8" s="4"/>
      <c r="I8" s="4"/>
    </row>
    <row r="9" spans="1:9" x14ac:dyDescent="0.2">
      <c r="A9" s="4"/>
      <c r="B9" s="4"/>
      <c r="C9" s="4"/>
      <c r="D9" s="4"/>
      <c r="E9" s="4"/>
      <c r="F9" s="4"/>
      <c r="G9" s="4"/>
      <c r="H9" s="4"/>
      <c r="I9" s="4"/>
    </row>
    <row r="10" spans="1:9" x14ac:dyDescent="0.2">
      <c r="A10" s="4"/>
      <c r="B10" s="4"/>
      <c r="C10" s="4"/>
      <c r="D10" s="4"/>
      <c r="E10" s="4"/>
      <c r="F10" s="4"/>
      <c r="G10" s="4"/>
      <c r="H10" s="4"/>
      <c r="I10" s="4"/>
    </row>
    <row r="11" spans="1:9" x14ac:dyDescent="0.2">
      <c r="A11" s="420" t="s">
        <v>393</v>
      </c>
      <c r="B11" s="420"/>
      <c r="C11" s="420"/>
      <c r="D11" s="420"/>
      <c r="E11" s="420"/>
      <c r="F11" s="420"/>
      <c r="G11" s="420"/>
      <c r="H11" s="420"/>
      <c r="I11" s="420"/>
    </row>
    <row r="12" spans="1:9" x14ac:dyDescent="0.2">
      <c r="A12" s="421" t="s">
        <v>848</v>
      </c>
      <c r="B12" s="421"/>
      <c r="C12" s="421"/>
      <c r="D12" s="421"/>
      <c r="E12" s="421"/>
      <c r="F12" s="421"/>
      <c r="G12" s="421"/>
      <c r="H12" s="421"/>
      <c r="I12" s="421"/>
    </row>
    <row r="13" spans="1:9" x14ac:dyDescent="0.2">
      <c r="A13" s="420" t="s">
        <v>766</v>
      </c>
      <c r="B13" s="420"/>
      <c r="C13" s="420"/>
      <c r="D13" s="420"/>
      <c r="E13" s="420"/>
      <c r="F13" s="420"/>
      <c r="G13" s="420"/>
      <c r="H13" s="420"/>
      <c r="I13" s="420"/>
    </row>
    <row r="14" spans="1:9" x14ac:dyDescent="0.2">
      <c r="A14" s="6"/>
      <c r="B14" s="5"/>
      <c r="C14" s="6"/>
      <c r="D14" s="6"/>
      <c r="E14" s="6"/>
      <c r="F14" s="6"/>
      <c r="G14" s="6"/>
      <c r="H14" s="6"/>
      <c r="I14" s="6"/>
    </row>
    <row r="15" spans="1:9" x14ac:dyDescent="0.2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">
      <c r="A18" s="422" t="s">
        <v>12</v>
      </c>
      <c r="B18" s="422"/>
      <c r="C18" s="422"/>
      <c r="D18" s="422"/>
      <c r="E18" s="422"/>
      <c r="F18" s="422"/>
      <c r="G18" s="422"/>
      <c r="H18" s="422"/>
      <c r="I18" s="422"/>
    </row>
    <row r="19" spans="1:9" x14ac:dyDescent="0.2">
      <c r="A19" s="422" t="s">
        <v>394</v>
      </c>
      <c r="B19" s="422"/>
      <c r="C19" s="422"/>
      <c r="D19" s="422"/>
      <c r="E19" s="422"/>
      <c r="F19" s="422"/>
      <c r="G19" s="422"/>
      <c r="H19" s="422"/>
      <c r="I19" s="422"/>
    </row>
    <row r="20" spans="1:9" x14ac:dyDescent="0.2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">
      <c r="A25" s="6"/>
      <c r="B25" s="6"/>
      <c r="D25" s="418" t="s">
        <v>846</v>
      </c>
      <c r="E25" t="s">
        <v>847</v>
      </c>
      <c r="F25" s="6"/>
      <c r="G25" s="6"/>
      <c r="H25" s="6"/>
      <c r="I25" s="6"/>
    </row>
    <row r="26" spans="1:9" x14ac:dyDescent="0.2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">
      <c r="A33" s="6"/>
      <c r="B33" s="6"/>
      <c r="C33" s="6"/>
      <c r="D33" s="5"/>
      <c r="E33" s="6"/>
      <c r="F33" s="6"/>
      <c r="G33" s="6"/>
      <c r="H33" s="6"/>
      <c r="I33" s="6"/>
    </row>
    <row r="34" spans="1:9" x14ac:dyDescent="0.2">
      <c r="A34" s="6"/>
      <c r="B34" s="6"/>
      <c r="C34" s="6"/>
      <c r="D34" s="6"/>
      <c r="E34" s="6"/>
      <c r="F34" s="6"/>
      <c r="G34" s="6"/>
      <c r="H34" s="6"/>
      <c r="I34" s="6"/>
    </row>
    <row r="35" spans="1:9" x14ac:dyDescent="0.2">
      <c r="A35" s="6"/>
      <c r="B35" s="6"/>
      <c r="C35" s="6"/>
      <c r="D35" s="6"/>
      <c r="E35" s="6"/>
      <c r="F35" s="6"/>
      <c r="G35" s="6"/>
      <c r="H35" s="6"/>
      <c r="I35" s="6"/>
    </row>
    <row r="36" spans="1:9" x14ac:dyDescent="0.2">
      <c r="A36" s="6"/>
      <c r="B36" s="6"/>
      <c r="C36" s="6"/>
      <c r="D36" s="6"/>
      <c r="E36" s="6"/>
      <c r="F36" s="6"/>
      <c r="G36" s="6"/>
      <c r="H36" s="6"/>
      <c r="I36" s="6"/>
    </row>
    <row r="37" spans="1:9" x14ac:dyDescent="0.2">
      <c r="A37" s="6"/>
      <c r="B37" s="6"/>
      <c r="C37" s="6"/>
      <c r="D37" s="6"/>
      <c r="E37" s="6"/>
      <c r="F37" s="6"/>
      <c r="G37" s="6"/>
      <c r="H37" s="6"/>
      <c r="I37" s="6"/>
    </row>
    <row r="38" spans="1:9" x14ac:dyDescent="0.2">
      <c r="A38" s="6"/>
      <c r="B38" s="6"/>
      <c r="C38" s="6"/>
      <c r="D38" s="6"/>
      <c r="E38" s="6"/>
      <c r="F38" s="6"/>
      <c r="G38" s="6"/>
      <c r="H38" s="6"/>
      <c r="I38" s="6"/>
    </row>
    <row r="39" spans="1:9" x14ac:dyDescent="0.2">
      <c r="A39" s="6"/>
      <c r="B39" s="6"/>
      <c r="C39" s="6"/>
      <c r="D39" s="6"/>
      <c r="E39" s="6"/>
      <c r="F39" s="6"/>
      <c r="G39" s="6"/>
      <c r="H39" s="6"/>
      <c r="I39" s="6"/>
    </row>
  </sheetData>
  <mergeCells count="5">
    <mergeCell ref="A11:I11"/>
    <mergeCell ref="A12:I12"/>
    <mergeCell ref="A13:I13"/>
    <mergeCell ref="A18:I18"/>
    <mergeCell ref="A19:I19"/>
  </mergeCells>
  <phoneticPr fontId="11" type="noConversion"/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24"/>
  <sheetViews>
    <sheetView tabSelected="1" topLeftCell="A4" zoomScale="110" zoomScaleNormal="110" workbookViewId="0">
      <selection activeCell="D10" sqref="D10"/>
    </sheetView>
  </sheetViews>
  <sheetFormatPr baseColWidth="10" defaultColWidth="9.140625" defaultRowHeight="12.75" x14ac:dyDescent="0.2"/>
  <cols>
    <col min="1" max="1" width="10" customWidth="1"/>
    <col min="2" max="2" width="25.7109375" customWidth="1"/>
    <col min="3" max="3" width="20.28515625" customWidth="1"/>
    <col min="4" max="4" width="23.28515625" customWidth="1"/>
    <col min="5" max="5" width="29.5703125" customWidth="1"/>
    <col min="6" max="6" width="18" customWidth="1"/>
    <col min="7" max="7" width="13.5703125" customWidth="1"/>
    <col min="8" max="8" width="11.5703125" customWidth="1"/>
    <col min="9" max="12" width="8" customWidth="1"/>
    <col min="13" max="13" width="16.5703125" customWidth="1"/>
    <col min="14" max="14" width="16.140625" customWidth="1"/>
    <col min="15" max="15" width="20.28515625" customWidth="1"/>
    <col min="16" max="16" width="29" customWidth="1"/>
    <col min="17" max="17" width="15.7109375" customWidth="1"/>
    <col min="18" max="18" width="13.140625" customWidth="1"/>
    <col min="19" max="19" width="13.5703125" customWidth="1"/>
    <col min="20" max="21" width="8" customWidth="1"/>
    <col min="22" max="22" width="13.7109375" customWidth="1"/>
    <col min="23" max="24" width="9.140625" customWidth="1"/>
    <col min="25" max="25" width="13" bestFit="1" customWidth="1"/>
  </cols>
  <sheetData>
    <row r="1" spans="1:22" ht="18" x14ac:dyDescent="0.25">
      <c r="A1" s="7" t="s">
        <v>810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8" x14ac:dyDescent="0.25">
      <c r="A2" s="7" t="s">
        <v>811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</row>
    <row r="3" spans="1:22" ht="23.25" x14ac:dyDescent="0.35">
      <c r="A3" s="347" t="s">
        <v>759</v>
      </c>
    </row>
    <row r="4" spans="1:22" x14ac:dyDescent="0.2">
      <c r="A4" s="9" t="s">
        <v>845</v>
      </c>
      <c r="B4" s="8" t="str">
        <f>+Hoja1!E25</f>
        <v>MARZO 2023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2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x14ac:dyDescent="0.2">
      <c r="A6" s="9" t="s">
        <v>395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2" x14ac:dyDescent="0.2">
      <c r="A8" s="9" t="s">
        <v>832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x14ac:dyDescent="0.2">
      <c r="A9" s="9" t="s">
        <v>396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2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2" x14ac:dyDescent="0.2">
      <c r="A11" s="8" t="s">
        <v>833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x14ac:dyDescent="0.2">
      <c r="A12" s="8" t="s">
        <v>834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x14ac:dyDescent="0.2">
      <c r="A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x14ac:dyDescent="0.2">
      <c r="A14" s="8" t="s">
        <v>835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T14" s="10"/>
      <c r="U14" s="10"/>
      <c r="V14" s="10"/>
    </row>
    <row r="15" spans="1:22" x14ac:dyDescent="0.2">
      <c r="A15" s="132" t="s">
        <v>767</v>
      </c>
      <c r="B15" s="8" t="s">
        <v>836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T15" s="10"/>
      <c r="U15" s="10"/>
      <c r="V15" s="10"/>
    </row>
    <row r="16" spans="1:22" x14ac:dyDescent="0.2">
      <c r="A16" s="8" t="s">
        <v>837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x14ac:dyDescent="0.2">
      <c r="A17" s="8" t="s">
        <v>838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x14ac:dyDescent="0.2">
      <c r="A18" s="8" t="s">
        <v>839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x14ac:dyDescent="0.2">
      <c r="A19" s="8" t="s">
        <v>768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22" x14ac:dyDescent="0.2">
      <c r="A20" s="8" t="s">
        <v>769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x14ac:dyDescent="0.2">
      <c r="A21" s="8" t="s">
        <v>770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1:22" x14ac:dyDescent="0.2">
      <c r="A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1:22" x14ac:dyDescent="0.2">
      <c r="A23" s="9" t="s">
        <v>397</v>
      </c>
      <c r="B23" s="10"/>
      <c r="C23" s="10"/>
      <c r="D23" s="9" t="s">
        <v>771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1:22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1:22" x14ac:dyDescent="0.2">
      <c r="A25" s="10"/>
      <c r="B25" s="10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2" x14ac:dyDescent="0.2">
      <c r="A26" s="10"/>
      <c r="B26" s="10" t="s">
        <v>398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2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1:22" x14ac:dyDescent="0.2">
      <c r="A28" s="10"/>
      <c r="B28" s="9" t="s">
        <v>399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T28" s="10"/>
      <c r="U28" s="10"/>
      <c r="V28" s="10"/>
    </row>
    <row r="29" spans="1:22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T29" s="10"/>
      <c r="U29" s="10"/>
      <c r="V29" s="10"/>
    </row>
    <row r="30" spans="1:22" x14ac:dyDescent="0.2">
      <c r="A30" s="10">
        <v>1</v>
      </c>
      <c r="B30" s="8" t="s">
        <v>840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T30" s="10"/>
      <c r="U30" s="10"/>
      <c r="V30" s="10"/>
    </row>
    <row r="31" spans="1:22" x14ac:dyDescent="0.2">
      <c r="A31" s="10"/>
      <c r="B31" s="8" t="s">
        <v>841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1:22" x14ac:dyDescent="0.2">
      <c r="A32" s="10">
        <v>2</v>
      </c>
      <c r="B32" s="11" t="s">
        <v>333</v>
      </c>
      <c r="C32" s="11"/>
      <c r="D32" s="11"/>
      <c r="E32" s="11"/>
      <c r="F32" s="11"/>
      <c r="G32" s="11"/>
      <c r="H32" s="11"/>
      <c r="I32" s="10"/>
      <c r="J32" s="10"/>
      <c r="K32" s="10"/>
      <c r="L32" s="10"/>
      <c r="M32" s="10"/>
      <c r="N32" s="10"/>
      <c r="O32" s="10"/>
      <c r="P32" s="10"/>
      <c r="Q32" s="10"/>
      <c r="R32" s="10"/>
    </row>
    <row r="33" spans="1:32" x14ac:dyDescent="0.2">
      <c r="A33" s="10"/>
      <c r="B33" s="11"/>
      <c r="C33" s="11"/>
      <c r="D33" s="11"/>
      <c r="E33" s="11"/>
      <c r="F33" s="11"/>
      <c r="G33" s="11"/>
      <c r="H33" s="11"/>
      <c r="I33" s="10"/>
      <c r="J33" s="10"/>
      <c r="K33" s="10"/>
      <c r="L33" s="10"/>
      <c r="M33" s="10"/>
      <c r="N33" s="10"/>
      <c r="O33" s="10"/>
      <c r="P33" s="10"/>
      <c r="Q33" s="10"/>
      <c r="R33" s="10"/>
    </row>
    <row r="34" spans="1:32" x14ac:dyDescent="0.2">
      <c r="A34" s="9" t="s">
        <v>400</v>
      </c>
      <c r="B34" s="9" t="s">
        <v>401</v>
      </c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</row>
    <row r="35" spans="1:32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32" x14ac:dyDescent="0.2">
      <c r="A36" s="10"/>
      <c r="B36" s="10" t="s">
        <v>402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32" x14ac:dyDescent="0.2">
      <c r="A37" s="10"/>
      <c r="B37" s="10"/>
      <c r="C37" s="10"/>
      <c r="D37" s="10"/>
      <c r="E37" s="10"/>
      <c r="F37" s="10"/>
      <c r="G37" s="10"/>
      <c r="H37" s="10"/>
    </row>
    <row r="38" spans="1:32" x14ac:dyDescent="0.2">
      <c r="A38" s="354" t="s">
        <v>11</v>
      </c>
      <c r="B38" s="9" t="s">
        <v>775</v>
      </c>
      <c r="C38" s="10"/>
      <c r="D38" s="10"/>
      <c r="E38" s="10"/>
      <c r="F38" s="8" t="s">
        <v>773</v>
      </c>
      <c r="G38" s="8"/>
      <c r="K38" s="10"/>
      <c r="L38" s="10"/>
      <c r="M38" s="10"/>
      <c r="N38" s="10"/>
      <c r="O38" s="10"/>
      <c r="P38" s="10"/>
      <c r="Q38" s="10"/>
    </row>
    <row r="39" spans="1:32" x14ac:dyDescent="0.2">
      <c r="A39" s="15"/>
      <c r="B39" s="10"/>
      <c r="C39" s="8" t="s">
        <v>623</v>
      </c>
      <c r="D39" s="10"/>
      <c r="E39" s="115">
        <f>60/1000</f>
        <v>0.06</v>
      </c>
      <c r="F39" s="10"/>
      <c r="H39" s="120"/>
      <c r="I39" s="120"/>
      <c r="K39" s="10"/>
      <c r="L39" s="10"/>
      <c r="M39" s="10"/>
      <c r="N39" s="10"/>
      <c r="O39" s="10"/>
      <c r="P39" s="10"/>
      <c r="Q39" s="10"/>
      <c r="V39" s="8"/>
      <c r="W39" s="10"/>
      <c r="X39" s="10"/>
      <c r="Y39" s="115"/>
      <c r="AC39" s="8"/>
      <c r="AD39" s="10"/>
      <c r="AE39" s="10"/>
      <c r="AF39" s="115"/>
    </row>
    <row r="40" spans="1:32" x14ac:dyDescent="0.2">
      <c r="A40" s="9" t="s">
        <v>403</v>
      </c>
      <c r="B40" s="10"/>
      <c r="C40" s="8" t="s">
        <v>772</v>
      </c>
      <c r="D40" s="10"/>
      <c r="E40" s="115">
        <v>1.4999999999999999E-2</v>
      </c>
      <c r="F40" s="367">
        <f>+E46-E40-E42-E39-E41</f>
        <v>0.32800000000000001</v>
      </c>
      <c r="H40" s="45"/>
      <c r="I40" s="45"/>
      <c r="K40" s="10"/>
      <c r="L40" s="10"/>
      <c r="M40" s="10"/>
      <c r="N40" s="10"/>
      <c r="O40" s="10"/>
      <c r="P40" s="10"/>
      <c r="Q40" s="10"/>
      <c r="V40" s="8"/>
      <c r="W40" s="10"/>
      <c r="X40" s="10"/>
      <c r="Y40" s="115"/>
      <c r="AC40" s="8"/>
      <c r="AD40" s="10"/>
      <c r="AE40" s="10"/>
      <c r="AF40" s="115"/>
    </row>
    <row r="41" spans="1:32" x14ac:dyDescent="0.2">
      <c r="A41" s="9"/>
      <c r="B41" s="10"/>
      <c r="C41" s="8" t="s">
        <v>804</v>
      </c>
      <c r="D41" s="10"/>
      <c r="E41" s="115">
        <f>0.08*2.4</f>
        <v>0.192</v>
      </c>
      <c r="F41" s="10"/>
      <c r="H41" s="45"/>
      <c r="I41" s="45"/>
      <c r="K41" s="10"/>
      <c r="L41" s="10"/>
      <c r="M41" s="10"/>
      <c r="N41" s="10"/>
      <c r="O41" s="10"/>
      <c r="P41" s="10"/>
      <c r="Q41" s="10"/>
      <c r="V41" s="8"/>
      <c r="W41" s="10"/>
      <c r="X41" s="10"/>
      <c r="Y41" s="115"/>
      <c r="AC41" s="8"/>
      <c r="AD41" s="10"/>
      <c r="AE41" s="10"/>
      <c r="AF41" s="115"/>
    </row>
    <row r="42" spans="1:32" x14ac:dyDescent="0.2">
      <c r="A42" s="9"/>
      <c r="B42" s="10"/>
      <c r="C42" s="8" t="s">
        <v>622</v>
      </c>
      <c r="D42" s="10"/>
      <c r="E42" s="115">
        <f>12/1000</f>
        <v>1.2E-2</v>
      </c>
      <c r="F42" s="10"/>
      <c r="H42" s="45"/>
      <c r="I42" s="45"/>
      <c r="K42" s="10"/>
      <c r="L42" s="10"/>
      <c r="M42" s="10"/>
      <c r="N42" s="10"/>
      <c r="O42" s="10"/>
      <c r="P42" s="10"/>
      <c r="Q42" s="10"/>
      <c r="V42" s="8"/>
      <c r="W42" s="10"/>
      <c r="X42" s="10"/>
      <c r="Y42" s="115"/>
      <c r="AC42" s="8"/>
      <c r="AD42" s="10"/>
      <c r="AE42" s="10"/>
      <c r="AF42" s="115"/>
    </row>
    <row r="43" spans="1:32" x14ac:dyDescent="0.2">
      <c r="A43" s="9"/>
      <c r="B43" s="10"/>
      <c r="C43" s="10" t="s">
        <v>6</v>
      </c>
      <c r="D43" s="10"/>
      <c r="E43" s="115">
        <f>0.015+0.027</f>
        <v>4.1999999999999996E-2</v>
      </c>
      <c r="F43" s="10"/>
      <c r="H43" s="45"/>
      <c r="I43" s="45"/>
      <c r="K43" s="10"/>
      <c r="L43" s="10"/>
      <c r="M43" s="10"/>
      <c r="N43" s="10"/>
      <c r="O43" s="10"/>
      <c r="P43" s="10"/>
      <c r="Q43" s="10"/>
      <c r="V43" s="10"/>
      <c r="W43" s="10"/>
      <c r="X43" s="10"/>
      <c r="Y43" s="115"/>
      <c r="AC43" s="10"/>
      <c r="AD43" s="10"/>
      <c r="AE43" s="10"/>
      <c r="AF43" s="115"/>
    </row>
    <row r="44" spans="1:32" x14ac:dyDescent="0.2">
      <c r="A44" s="9"/>
      <c r="B44" s="10"/>
      <c r="C44" s="8" t="s">
        <v>796</v>
      </c>
      <c r="D44" s="8"/>
      <c r="E44" s="115">
        <v>0.25</v>
      </c>
      <c r="F44" s="10"/>
      <c r="H44" s="45"/>
      <c r="I44" s="45"/>
      <c r="K44" s="10"/>
      <c r="L44" s="10"/>
      <c r="M44" s="10"/>
      <c r="N44" s="10"/>
      <c r="O44" s="10"/>
      <c r="P44" s="10"/>
      <c r="Q44" s="10"/>
      <c r="V44" s="10"/>
      <c r="W44" s="10"/>
      <c r="X44" s="10"/>
      <c r="Y44" s="115"/>
      <c r="AC44" s="10"/>
      <c r="AD44" s="10"/>
      <c r="AE44" s="10"/>
      <c r="AF44" s="115"/>
    </row>
    <row r="45" spans="1:32" x14ac:dyDescent="0.2">
      <c r="A45" s="9"/>
      <c r="B45" s="10"/>
      <c r="C45" s="8" t="s">
        <v>774</v>
      </c>
      <c r="D45" s="10"/>
      <c r="E45" s="115">
        <f>0.02*1.8</f>
        <v>3.6000000000000004E-2</v>
      </c>
      <c r="F45" s="10"/>
      <c r="H45" s="45"/>
      <c r="I45" s="45"/>
      <c r="K45" s="10"/>
      <c r="L45" s="10"/>
      <c r="M45" s="10"/>
      <c r="N45" s="10"/>
      <c r="O45" s="10"/>
      <c r="P45" s="10"/>
      <c r="Q45" s="10"/>
      <c r="V45" s="10"/>
      <c r="W45" s="10"/>
      <c r="X45" s="10"/>
      <c r="Y45" s="115"/>
      <c r="AC45" s="10"/>
      <c r="AD45" s="10"/>
      <c r="AE45" s="10"/>
      <c r="AF45" s="115"/>
    </row>
    <row r="46" spans="1:32" ht="13.5" thickBot="1" x14ac:dyDescent="0.25">
      <c r="A46" s="9"/>
      <c r="B46" s="10"/>
      <c r="C46" s="364" t="s">
        <v>7</v>
      </c>
      <c r="D46" s="365" t="s">
        <v>8</v>
      </c>
      <c r="E46" s="366">
        <f>SUM(E39:E45)</f>
        <v>0.60699999999999998</v>
      </c>
      <c r="F46" s="364" t="s">
        <v>384</v>
      </c>
      <c r="H46" s="45"/>
      <c r="I46" s="45"/>
      <c r="K46" s="115"/>
      <c r="L46" s="115"/>
      <c r="M46" s="115"/>
      <c r="N46" s="115"/>
      <c r="O46" s="115"/>
      <c r="P46" s="115"/>
      <c r="Q46" s="115"/>
      <c r="V46" s="13"/>
      <c r="W46" s="13"/>
      <c r="X46" s="14"/>
      <c r="Y46" s="116"/>
      <c r="AC46" s="13"/>
      <c r="AD46" s="13"/>
      <c r="AE46" s="14"/>
      <c r="AF46" s="116"/>
    </row>
    <row r="47" spans="1:32" ht="13.5" thickTop="1" x14ac:dyDescent="0.2">
      <c r="A47" s="8"/>
      <c r="E47" s="189"/>
      <c r="H47" s="45"/>
      <c r="I47" s="45"/>
      <c r="K47" s="10"/>
      <c r="L47" s="10"/>
      <c r="M47" s="10"/>
      <c r="N47" s="10"/>
      <c r="O47" s="10"/>
      <c r="P47" s="10"/>
      <c r="Q47" s="10"/>
      <c r="U47" s="47"/>
      <c r="V47" s="121"/>
      <c r="AC47" s="121"/>
    </row>
    <row r="48" spans="1:32" x14ac:dyDescent="0.2">
      <c r="A48" s="9" t="s">
        <v>797</v>
      </c>
      <c r="B48" s="15"/>
      <c r="E48" s="189"/>
      <c r="H48" s="45"/>
      <c r="I48" s="45"/>
      <c r="K48" s="10"/>
      <c r="L48" s="10"/>
      <c r="M48" s="10"/>
      <c r="N48" s="10"/>
      <c r="O48" s="10"/>
      <c r="P48" s="10"/>
      <c r="Q48" s="10"/>
      <c r="U48" s="47"/>
      <c r="V48" s="121"/>
      <c r="AC48" s="121"/>
    </row>
    <row r="49" spans="1:32" x14ac:dyDescent="0.2">
      <c r="A49" s="10"/>
      <c r="B49" s="15"/>
      <c r="E49" s="189"/>
      <c r="H49" s="45"/>
      <c r="I49" s="45"/>
      <c r="K49" s="10"/>
      <c r="L49" s="10"/>
      <c r="M49" s="10"/>
      <c r="N49" s="10"/>
      <c r="O49" s="10"/>
      <c r="P49" s="10"/>
      <c r="Q49" s="10"/>
      <c r="U49" s="47"/>
      <c r="V49" s="121"/>
      <c r="AC49" s="121"/>
    </row>
    <row r="50" spans="1:32" x14ac:dyDescent="0.2">
      <c r="A50" s="13" t="s">
        <v>9</v>
      </c>
      <c r="B50" s="8" t="s">
        <v>812</v>
      </c>
      <c r="C50" s="10"/>
      <c r="D50" s="14" t="s">
        <v>10</v>
      </c>
      <c r="E50" s="194">
        <v>480</v>
      </c>
      <c r="F50" s="13" t="s">
        <v>5</v>
      </c>
      <c r="H50" s="45"/>
      <c r="I50" s="45"/>
      <c r="K50" s="10"/>
      <c r="L50" s="10"/>
      <c r="M50" s="10"/>
      <c r="N50" s="10"/>
      <c r="O50" s="10"/>
      <c r="P50" s="10"/>
      <c r="Q50" s="10"/>
      <c r="U50" s="47"/>
      <c r="V50" s="12"/>
      <c r="AC50" s="12"/>
    </row>
    <row r="51" spans="1:32" x14ac:dyDescent="0.2">
      <c r="A51" s="13"/>
      <c r="B51" s="8" t="s">
        <v>779</v>
      </c>
      <c r="C51" s="10"/>
      <c r="D51" s="14" t="s">
        <v>10</v>
      </c>
      <c r="E51" s="194">
        <v>480</v>
      </c>
      <c r="F51" s="13" t="s">
        <v>5</v>
      </c>
      <c r="H51" s="45"/>
      <c r="I51" s="45"/>
      <c r="K51" s="10"/>
      <c r="L51" s="10"/>
      <c r="M51" s="10"/>
      <c r="N51" s="10"/>
      <c r="O51" s="10"/>
      <c r="P51" s="10"/>
      <c r="Q51" s="10"/>
      <c r="U51" s="47"/>
      <c r="V51" s="12"/>
      <c r="AC51" s="12"/>
    </row>
    <row r="52" spans="1:32" x14ac:dyDescent="0.2">
      <c r="A52" s="13"/>
      <c r="B52" s="8" t="s">
        <v>780</v>
      </c>
      <c r="C52" s="10"/>
      <c r="D52" s="14" t="s">
        <v>10</v>
      </c>
      <c r="E52" s="194">
        <v>400</v>
      </c>
      <c r="F52" s="13" t="s">
        <v>5</v>
      </c>
      <c r="H52" s="45"/>
      <c r="I52" s="45"/>
      <c r="K52" s="10"/>
      <c r="L52" s="10"/>
      <c r="M52" s="10"/>
      <c r="N52" s="10"/>
      <c r="O52" s="10"/>
      <c r="P52" s="10"/>
      <c r="Q52" s="10"/>
      <c r="U52" s="47"/>
      <c r="V52" s="12"/>
      <c r="AC52" s="12"/>
    </row>
    <row r="53" spans="1:32" x14ac:dyDescent="0.2">
      <c r="A53" s="13"/>
      <c r="B53" s="8" t="s">
        <v>781</v>
      </c>
      <c r="C53" s="10"/>
      <c r="D53" s="14" t="s">
        <v>10</v>
      </c>
      <c r="E53" s="194">
        <v>204</v>
      </c>
      <c r="F53" s="9" t="s">
        <v>5</v>
      </c>
      <c r="H53" s="45"/>
      <c r="I53" s="45"/>
      <c r="K53" s="10"/>
      <c r="L53" s="10"/>
      <c r="M53" s="10"/>
      <c r="N53" s="10"/>
      <c r="O53" s="10"/>
      <c r="P53" s="10"/>
      <c r="Q53" s="10"/>
      <c r="U53" s="47"/>
      <c r="V53" s="12"/>
      <c r="AC53" s="12"/>
    </row>
    <row r="54" spans="1:32" x14ac:dyDescent="0.2">
      <c r="A54" s="13"/>
      <c r="B54" s="8" t="s">
        <v>813</v>
      </c>
      <c r="C54" s="10"/>
      <c r="D54" s="14" t="s">
        <v>10</v>
      </c>
      <c r="E54" s="194">
        <v>204</v>
      </c>
      <c r="F54" s="9" t="s">
        <v>5</v>
      </c>
      <c r="H54" s="45"/>
      <c r="I54" s="45"/>
      <c r="K54" s="10"/>
      <c r="L54" s="10"/>
      <c r="M54" s="10"/>
      <c r="N54" s="10"/>
      <c r="O54" s="10"/>
      <c r="P54" s="10"/>
      <c r="Q54" s="10"/>
      <c r="U54" s="47"/>
      <c r="V54" s="12"/>
      <c r="AC54" s="12"/>
    </row>
    <row r="55" spans="1:32" x14ac:dyDescent="0.2">
      <c r="A55" s="13"/>
      <c r="B55" s="8" t="s">
        <v>778</v>
      </c>
      <c r="C55" s="10"/>
      <c r="D55" s="10"/>
      <c r="E55" s="111"/>
      <c r="F55" s="194"/>
      <c r="H55" s="45"/>
      <c r="I55" s="45"/>
      <c r="K55" s="10"/>
      <c r="L55" s="10"/>
      <c r="M55" s="10"/>
      <c r="N55" s="10"/>
      <c r="O55" s="10"/>
      <c r="P55" s="10"/>
      <c r="Q55" s="10"/>
      <c r="U55" s="47"/>
      <c r="V55" s="12"/>
      <c r="Y55" s="189"/>
      <c r="AC55" s="12"/>
      <c r="AF55" s="189"/>
    </row>
    <row r="56" spans="1:32" x14ac:dyDescent="0.2">
      <c r="A56" s="8" t="s">
        <v>776</v>
      </c>
      <c r="C56" s="10"/>
      <c r="D56" s="111" t="s">
        <v>10</v>
      </c>
      <c r="E56" s="387">
        <v>150</v>
      </c>
      <c r="F56" s="9" t="s">
        <v>5</v>
      </c>
      <c r="H56" s="45"/>
      <c r="I56" s="45"/>
      <c r="K56" s="10"/>
      <c r="L56" s="10"/>
      <c r="M56" s="10"/>
      <c r="N56" s="10"/>
      <c r="O56" s="10"/>
      <c r="P56" s="10"/>
      <c r="Q56" s="10"/>
      <c r="U56" s="47"/>
      <c r="V56" s="10"/>
      <c r="AC56" s="10"/>
    </row>
    <row r="57" spans="1:32" x14ac:dyDescent="0.2">
      <c r="A57" s="8" t="s">
        <v>792</v>
      </c>
      <c r="D57" s="15"/>
      <c r="E57" s="14"/>
      <c r="H57" s="45"/>
      <c r="I57" s="45"/>
      <c r="U57" s="47"/>
    </row>
    <row r="58" spans="1:32" x14ac:dyDescent="0.2">
      <c r="A58" s="15"/>
      <c r="B58" s="8"/>
      <c r="D58" s="15"/>
      <c r="E58" s="14"/>
      <c r="H58" s="45"/>
      <c r="I58" s="45"/>
      <c r="U58" s="47"/>
    </row>
    <row r="59" spans="1:32" x14ac:dyDescent="0.2">
      <c r="A59" s="185" t="s">
        <v>334</v>
      </c>
      <c r="B59" s="9" t="s">
        <v>805</v>
      </c>
      <c r="C59" s="10"/>
      <c r="D59" s="10"/>
      <c r="E59" s="10"/>
      <c r="F59" s="8" t="s">
        <v>773</v>
      </c>
      <c r="G59" s="8"/>
      <c r="H59" s="45"/>
      <c r="I59" s="45"/>
      <c r="U59" s="47"/>
    </row>
    <row r="60" spans="1:32" x14ac:dyDescent="0.2">
      <c r="A60" s="9" t="s">
        <v>403</v>
      </c>
      <c r="B60" s="10"/>
      <c r="C60" s="8" t="s">
        <v>623</v>
      </c>
      <c r="D60" s="10"/>
      <c r="E60" s="115">
        <f>60/1000</f>
        <v>0.06</v>
      </c>
      <c r="F60" s="10"/>
      <c r="G60" s="367"/>
      <c r="U60" s="47"/>
    </row>
    <row r="61" spans="1:32" x14ac:dyDescent="0.2">
      <c r="B61" s="10"/>
      <c r="C61" s="8" t="s">
        <v>829</v>
      </c>
      <c r="D61" s="10"/>
      <c r="E61" s="115">
        <f>40/1000</f>
        <v>0.04</v>
      </c>
      <c r="F61" s="10"/>
      <c r="U61" s="47"/>
    </row>
    <row r="62" spans="1:32" x14ac:dyDescent="0.2">
      <c r="A62" s="9"/>
      <c r="B62" s="10"/>
      <c r="C62" s="8" t="s">
        <v>830</v>
      </c>
      <c r="D62" s="10"/>
      <c r="E62" s="115">
        <f>0.02*1.8</f>
        <v>3.6000000000000004E-2</v>
      </c>
      <c r="F62" s="115">
        <f>+E66-E60-E62</f>
        <v>5.5000000000000021E-2</v>
      </c>
      <c r="U62" s="47"/>
    </row>
    <row r="63" spans="1:32" x14ac:dyDescent="0.2">
      <c r="A63" s="9"/>
      <c r="B63" s="10"/>
      <c r="C63" s="10" t="s">
        <v>6</v>
      </c>
      <c r="D63" s="10"/>
      <c r="E63" s="115">
        <v>1.4999999999999999E-2</v>
      </c>
      <c r="F63" s="10"/>
      <c r="U63" s="47"/>
    </row>
    <row r="64" spans="1:32" x14ac:dyDescent="0.2">
      <c r="A64" s="9"/>
      <c r="B64" s="10"/>
      <c r="C64" s="8"/>
      <c r="D64" s="8"/>
      <c r="E64" s="115"/>
      <c r="F64" s="10"/>
      <c r="U64" s="47"/>
    </row>
    <row r="65" spans="1:25" x14ac:dyDescent="0.2">
      <c r="A65" s="9"/>
      <c r="B65" s="10"/>
      <c r="C65" s="8"/>
      <c r="D65" s="10"/>
      <c r="E65" s="115"/>
      <c r="F65" s="10"/>
      <c r="U65" s="47"/>
    </row>
    <row r="66" spans="1:25" ht="13.5" thickBot="1" x14ac:dyDescent="0.25">
      <c r="A66" s="9"/>
      <c r="B66" s="10"/>
      <c r="C66" s="364" t="s">
        <v>7</v>
      </c>
      <c r="D66" s="365" t="s">
        <v>8</v>
      </c>
      <c r="E66" s="366">
        <f>SUM(E60:E65)</f>
        <v>0.15100000000000002</v>
      </c>
      <c r="F66" s="364" t="s">
        <v>384</v>
      </c>
      <c r="U66" s="47"/>
    </row>
    <row r="67" spans="1:25" ht="13.5" thickTop="1" x14ac:dyDescent="0.2">
      <c r="A67" s="8" t="s">
        <v>798</v>
      </c>
      <c r="B67" s="15"/>
      <c r="E67" s="189"/>
      <c r="U67" s="47"/>
    </row>
    <row r="68" spans="1:25" x14ac:dyDescent="0.2">
      <c r="A68" s="10"/>
      <c r="B68" s="15"/>
      <c r="E68" s="189"/>
      <c r="U68" s="47"/>
    </row>
    <row r="69" spans="1:25" x14ac:dyDescent="0.2">
      <c r="A69" s="13" t="s">
        <v>9</v>
      </c>
      <c r="B69" s="8" t="s">
        <v>781</v>
      </c>
      <c r="C69" s="10"/>
      <c r="D69" s="14" t="s">
        <v>10</v>
      </c>
      <c r="E69" s="194">
        <v>100</v>
      </c>
      <c r="F69" s="9" t="s">
        <v>5</v>
      </c>
      <c r="U69" s="47"/>
    </row>
    <row r="70" spans="1:25" x14ac:dyDescent="0.2">
      <c r="A70" s="8" t="s">
        <v>778</v>
      </c>
      <c r="B70" s="10"/>
      <c r="C70" s="10"/>
      <c r="D70" s="111"/>
      <c r="E70" s="194"/>
      <c r="U70" s="47"/>
    </row>
    <row r="71" spans="1:25" x14ac:dyDescent="0.2">
      <c r="A71" s="8" t="s">
        <v>776</v>
      </c>
      <c r="B71" s="10"/>
      <c r="C71" s="10"/>
      <c r="D71" s="12"/>
      <c r="E71" s="195"/>
      <c r="U71" s="47"/>
    </row>
    <row r="72" spans="1:25" x14ac:dyDescent="0.2">
      <c r="A72" s="8" t="s">
        <v>777</v>
      </c>
      <c r="C72" s="15"/>
      <c r="D72" s="14"/>
      <c r="U72" s="47"/>
    </row>
    <row r="73" spans="1:25" x14ac:dyDescent="0.2">
      <c r="H73" s="45"/>
      <c r="I73" s="47"/>
      <c r="S73" s="45"/>
      <c r="T73" s="47"/>
      <c r="U73" s="47"/>
    </row>
    <row r="74" spans="1:25" x14ac:dyDescent="0.2">
      <c r="A74" s="185" t="s">
        <v>782</v>
      </c>
      <c r="B74" s="9" t="s">
        <v>404</v>
      </c>
      <c r="C74" s="10"/>
      <c r="D74" s="10"/>
      <c r="E74" s="10"/>
      <c r="F74" s="10"/>
      <c r="K74" s="10"/>
      <c r="L74" s="10"/>
      <c r="M74" s="10"/>
      <c r="N74" s="10"/>
      <c r="O74" s="10"/>
      <c r="P74" s="10"/>
      <c r="Q74" s="10"/>
      <c r="R74" s="8"/>
      <c r="S74" s="47"/>
      <c r="T74" s="47"/>
      <c r="U74" s="47"/>
      <c r="V74" s="47"/>
      <c r="W74" s="45"/>
      <c r="X74" s="45"/>
      <c r="Y74" s="45"/>
    </row>
    <row r="75" spans="1:25" x14ac:dyDescent="0.2">
      <c r="A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47"/>
      <c r="T75" s="47"/>
      <c r="U75" s="47"/>
      <c r="V75" s="47"/>
      <c r="W75" s="45"/>
      <c r="X75" s="45"/>
      <c r="Y75" s="45"/>
    </row>
    <row r="76" spans="1:25" x14ac:dyDescent="0.2">
      <c r="A76" s="9" t="s">
        <v>671</v>
      </c>
      <c r="B76" s="10"/>
      <c r="C76" s="10"/>
      <c r="D76" s="10"/>
      <c r="E76" s="10"/>
      <c r="F76" s="10"/>
      <c r="G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47"/>
      <c r="T76" s="131"/>
      <c r="U76" s="47"/>
      <c r="V76" s="131"/>
      <c r="W76" s="45"/>
      <c r="X76" s="45"/>
      <c r="Y76" s="45"/>
    </row>
    <row r="77" spans="1:25" x14ac:dyDescent="0.2">
      <c r="A77" t="s">
        <v>409</v>
      </c>
      <c r="B77" s="10"/>
      <c r="C77" s="10"/>
      <c r="D77" s="10"/>
      <c r="E77" s="10"/>
      <c r="F77" s="10"/>
      <c r="G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2"/>
      <c r="T77" s="12"/>
      <c r="U77" s="12"/>
      <c r="V77" s="10"/>
    </row>
    <row r="78" spans="1:25" x14ac:dyDescent="0.2">
      <c r="A78" t="s">
        <v>411</v>
      </c>
      <c r="B78" s="8"/>
      <c r="D78" s="8"/>
      <c r="E78" s="120" t="s">
        <v>620</v>
      </c>
      <c r="F78" s="120" t="s">
        <v>672</v>
      </c>
      <c r="G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2"/>
      <c r="T78" s="12"/>
      <c r="U78" s="12"/>
      <c r="V78" s="10"/>
    </row>
    <row r="79" spans="1:25" x14ac:dyDescent="0.2">
      <c r="A79" t="s">
        <v>410</v>
      </c>
      <c r="B79" s="8"/>
      <c r="D79" s="8"/>
      <c r="E79" s="120">
        <v>0.4</v>
      </c>
      <c r="F79" s="120" t="s">
        <v>673</v>
      </c>
      <c r="G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2"/>
      <c r="T79" s="12"/>
      <c r="U79" s="12"/>
      <c r="V79" s="10"/>
    </row>
    <row r="80" spans="1:25" x14ac:dyDescent="0.2">
      <c r="A80" t="s">
        <v>412</v>
      </c>
      <c r="B80" s="353"/>
      <c r="D80" s="8"/>
      <c r="E80" s="120" t="s">
        <v>408</v>
      </c>
      <c r="F80" s="120" t="s">
        <v>674</v>
      </c>
      <c r="G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2"/>
      <c r="T80" s="12"/>
      <c r="U80" s="12"/>
      <c r="V80" s="10"/>
    </row>
    <row r="81" spans="1:22" x14ac:dyDescent="0.2">
      <c r="B81" s="8"/>
      <c r="D81" s="8"/>
      <c r="E81" s="120"/>
      <c r="F81" s="120"/>
      <c r="G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2"/>
      <c r="T81" s="12"/>
      <c r="U81" s="12"/>
      <c r="V81" s="10"/>
    </row>
    <row r="82" spans="1:22" x14ac:dyDescent="0.2">
      <c r="A82" s="9" t="s">
        <v>675</v>
      </c>
      <c r="B82" s="8"/>
      <c r="D82" s="8"/>
      <c r="E82" s="120"/>
      <c r="F82" s="120"/>
      <c r="G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2"/>
      <c r="T82" s="12"/>
      <c r="U82" s="12"/>
      <c r="V82" s="10"/>
    </row>
    <row r="83" spans="1:22" x14ac:dyDescent="0.2">
      <c r="A83" s="117" t="s">
        <v>303</v>
      </c>
      <c r="B83" s="132" t="s">
        <v>379</v>
      </c>
      <c r="C83" s="8"/>
      <c r="D83" s="117"/>
      <c r="E83" s="44">
        <v>1.2</v>
      </c>
      <c r="F83" s="120" t="s">
        <v>676</v>
      </c>
      <c r="G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2"/>
      <c r="T83" s="12"/>
      <c r="U83" s="12"/>
      <c r="V83" s="10"/>
    </row>
    <row r="84" spans="1:22" x14ac:dyDescent="0.2">
      <c r="A84" s="117" t="s">
        <v>304</v>
      </c>
      <c r="B84" s="132" t="s">
        <v>379</v>
      </c>
      <c r="C84" s="8"/>
      <c r="D84" s="117"/>
      <c r="E84" s="44">
        <v>1.19</v>
      </c>
      <c r="F84" s="120" t="s">
        <v>677</v>
      </c>
      <c r="G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2"/>
      <c r="T84" s="12"/>
      <c r="U84" s="12"/>
      <c r="V84" s="10"/>
    </row>
    <row r="85" spans="1:22" x14ac:dyDescent="0.2">
      <c r="A85" s="117" t="s">
        <v>305</v>
      </c>
      <c r="B85" s="132" t="s">
        <v>379</v>
      </c>
      <c r="C85" s="8"/>
      <c r="D85" s="117"/>
      <c r="E85" s="44">
        <v>1.28</v>
      </c>
      <c r="F85" s="120" t="s">
        <v>678</v>
      </c>
      <c r="G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2"/>
      <c r="T85" s="12"/>
      <c r="U85" s="12"/>
      <c r="V85" s="10"/>
    </row>
    <row r="86" spans="1:22" x14ac:dyDescent="0.2">
      <c r="A86" s="117"/>
      <c r="B86" s="132"/>
      <c r="C86" s="8"/>
      <c r="D86" s="117"/>
      <c r="E86" s="44"/>
      <c r="F86" s="120"/>
      <c r="G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2"/>
      <c r="T86" s="12"/>
      <c r="U86" s="12"/>
      <c r="V86" s="10"/>
    </row>
    <row r="87" spans="1:22" x14ac:dyDescent="0.2">
      <c r="A87" s="117" t="s">
        <v>406</v>
      </c>
      <c r="B87" s="132" t="s">
        <v>379</v>
      </c>
      <c r="C87" s="8">
        <v>1</v>
      </c>
      <c r="D87" s="187" t="s">
        <v>554</v>
      </c>
      <c r="E87" s="44"/>
      <c r="F87" s="120" t="s">
        <v>382</v>
      </c>
      <c r="G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2"/>
      <c r="T87" s="12"/>
      <c r="U87" s="12"/>
      <c r="V87" s="10"/>
    </row>
    <row r="88" spans="1:22" x14ac:dyDescent="0.2">
      <c r="A88" s="132" t="s">
        <v>618</v>
      </c>
      <c r="B88" s="132" t="s">
        <v>379</v>
      </c>
      <c r="C88" s="8">
        <v>1</v>
      </c>
      <c r="D88" s="187" t="s">
        <v>611</v>
      </c>
      <c r="E88" s="44"/>
      <c r="F88" s="120" t="s">
        <v>612</v>
      </c>
      <c r="G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2"/>
      <c r="T88" s="12"/>
      <c r="U88" s="12"/>
      <c r="V88" s="10"/>
    </row>
    <row r="89" spans="1:22" x14ac:dyDescent="0.2">
      <c r="A89" s="132" t="s">
        <v>381</v>
      </c>
      <c r="B89" s="132" t="s">
        <v>379</v>
      </c>
      <c r="C89" s="8">
        <v>1</v>
      </c>
      <c r="D89" s="187" t="s">
        <v>613</v>
      </c>
      <c r="E89" s="44"/>
      <c r="F89" s="120" t="s">
        <v>612</v>
      </c>
      <c r="G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2"/>
      <c r="T89" s="12"/>
      <c r="U89" s="12"/>
      <c r="V89" s="10"/>
    </row>
    <row r="90" spans="1:22" x14ac:dyDescent="0.2">
      <c r="A90" s="132"/>
      <c r="B90" s="132"/>
      <c r="C90" s="8"/>
      <c r="D90" s="117"/>
      <c r="E90" s="44"/>
      <c r="F90" s="120"/>
      <c r="G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2"/>
      <c r="T90" s="12"/>
      <c r="U90" s="12"/>
      <c r="V90" s="10"/>
    </row>
    <row r="91" spans="1:22" x14ac:dyDescent="0.2">
      <c r="A91" s="132" t="s">
        <v>3</v>
      </c>
      <c r="B91" s="132" t="s">
        <v>379</v>
      </c>
      <c r="C91" s="187" t="s">
        <v>679</v>
      </c>
      <c r="E91" s="187" t="s">
        <v>614</v>
      </c>
      <c r="F91" s="120"/>
      <c r="G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2"/>
      <c r="T91" s="12"/>
      <c r="U91" s="12"/>
      <c r="V91" s="10"/>
    </row>
    <row r="92" spans="1:22" x14ac:dyDescent="0.2">
      <c r="A92" s="132"/>
      <c r="B92" s="132"/>
      <c r="C92" s="187"/>
      <c r="E92" s="187"/>
      <c r="F92" s="120"/>
      <c r="G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2"/>
      <c r="T92" s="12"/>
      <c r="U92" s="12"/>
      <c r="V92" s="10"/>
    </row>
    <row r="93" spans="1:22" x14ac:dyDescent="0.2">
      <c r="A93" s="132"/>
      <c r="B93" s="132"/>
      <c r="C93" s="187"/>
      <c r="E93" s="187"/>
      <c r="F93" s="120"/>
      <c r="G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2"/>
      <c r="T93" s="12"/>
      <c r="U93" s="12"/>
      <c r="V93" s="10"/>
    </row>
    <row r="94" spans="1:22" x14ac:dyDescent="0.2">
      <c r="A94" s="132"/>
      <c r="B94" s="132"/>
      <c r="C94" s="187"/>
      <c r="E94" s="187"/>
      <c r="F94" s="120"/>
      <c r="G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2"/>
      <c r="T94" s="12"/>
      <c r="U94" s="12"/>
      <c r="V94" s="10"/>
    </row>
    <row r="95" spans="1:22" ht="13.5" thickBot="1" x14ac:dyDescent="0.25">
      <c r="A95" s="10"/>
      <c r="B95" s="10"/>
      <c r="D95" s="117"/>
      <c r="E95" s="44"/>
      <c r="F95" s="118"/>
      <c r="G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2"/>
      <c r="T95" s="12"/>
      <c r="U95" s="12"/>
      <c r="V95" s="10"/>
    </row>
    <row r="96" spans="1:22" ht="13.5" thickBot="1" x14ac:dyDescent="0.25">
      <c r="A96" s="321" t="s">
        <v>680</v>
      </c>
      <c r="B96" s="322"/>
      <c r="C96" s="323" t="s">
        <v>391</v>
      </c>
      <c r="D96" s="323" t="s">
        <v>617</v>
      </c>
      <c r="E96" s="324">
        <f>+(C87*E108)/(E112*C88*C89)</f>
        <v>0.26453333333333329</v>
      </c>
      <c r="F96" s="325" t="s">
        <v>3</v>
      </c>
      <c r="G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2"/>
      <c r="T96" s="12"/>
      <c r="U96" s="12"/>
      <c r="V96" s="10"/>
    </row>
    <row r="97" spans="1:22" ht="13.5" thickBot="1" x14ac:dyDescent="0.25">
      <c r="A97" s="326" t="s">
        <v>681</v>
      </c>
      <c r="B97" s="327"/>
      <c r="C97" s="328"/>
      <c r="D97" s="329" t="s">
        <v>619</v>
      </c>
      <c r="E97" s="330">
        <f>+E96</f>
        <v>0.26453333333333329</v>
      </c>
      <c r="F97" s="331" t="s">
        <v>3</v>
      </c>
      <c r="G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2"/>
      <c r="T97" s="12"/>
      <c r="U97" s="12"/>
      <c r="V97" s="10"/>
    </row>
    <row r="98" spans="1:22" x14ac:dyDescent="0.2">
      <c r="B98" s="8"/>
      <c r="C98" s="8"/>
      <c r="D98" s="8"/>
      <c r="E98" s="120"/>
      <c r="F98" s="120"/>
      <c r="G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2"/>
      <c r="T98" s="12"/>
      <c r="U98" s="12"/>
      <c r="V98" s="10"/>
    </row>
    <row r="99" spans="1:22" x14ac:dyDescent="0.2">
      <c r="B99" s="8"/>
      <c r="C99" s="8"/>
      <c r="D99" s="8"/>
      <c r="E99" s="120"/>
      <c r="F99" s="120"/>
      <c r="G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2"/>
      <c r="T99" s="12"/>
      <c r="U99" s="12"/>
      <c r="V99" s="10"/>
    </row>
    <row r="100" spans="1:22" x14ac:dyDescent="0.2">
      <c r="B100" s="8"/>
      <c r="C100" s="8"/>
      <c r="D100" s="8"/>
      <c r="E100" s="120"/>
      <c r="F100" s="120"/>
      <c r="G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2"/>
      <c r="T100" s="12"/>
      <c r="U100" s="12"/>
      <c r="V100" s="10"/>
    </row>
    <row r="101" spans="1:22" x14ac:dyDescent="0.2">
      <c r="B101" s="8"/>
      <c r="C101" s="8"/>
      <c r="D101" s="8"/>
      <c r="E101" s="120"/>
      <c r="F101" s="120"/>
      <c r="G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2"/>
      <c r="T101" s="12"/>
      <c r="U101" s="12"/>
      <c r="V101" s="10"/>
    </row>
    <row r="102" spans="1:22" x14ac:dyDescent="0.2">
      <c r="B102" s="8"/>
      <c r="C102" s="8"/>
      <c r="D102" s="8"/>
      <c r="E102" s="120"/>
      <c r="F102" s="120"/>
      <c r="G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2"/>
      <c r="T102" s="12"/>
      <c r="U102" s="12"/>
      <c r="V102" s="10"/>
    </row>
    <row r="103" spans="1:22" x14ac:dyDescent="0.2">
      <c r="A103" s="9" t="s">
        <v>682</v>
      </c>
      <c r="B103" s="8"/>
      <c r="C103" s="8" t="s">
        <v>383</v>
      </c>
      <c r="D103" s="8"/>
      <c r="E103" s="120"/>
      <c r="F103" s="120"/>
      <c r="G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2"/>
      <c r="T103" s="12"/>
      <c r="U103" s="12"/>
      <c r="V103" s="10"/>
    </row>
    <row r="104" spans="1:22" x14ac:dyDescent="0.2">
      <c r="A104" s="8" t="s">
        <v>329</v>
      </c>
      <c r="B104" s="132" t="s">
        <v>330</v>
      </c>
      <c r="D104" s="120" t="s">
        <v>379</v>
      </c>
      <c r="E104" s="131">
        <f>+E106*(E105^E107)</f>
        <v>1.2149359450615005</v>
      </c>
      <c r="G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2"/>
      <c r="T104" s="12"/>
      <c r="U104" s="12"/>
      <c r="V104" s="10"/>
    </row>
    <row r="105" spans="1:22" x14ac:dyDescent="0.2">
      <c r="A105" s="8" t="s">
        <v>302</v>
      </c>
      <c r="C105" s="8"/>
      <c r="D105" s="120" t="s">
        <v>379</v>
      </c>
      <c r="E105" s="120">
        <f>3.42*10</f>
        <v>34.200000000000003</v>
      </c>
      <c r="G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2"/>
      <c r="T105" s="12"/>
      <c r="U105" s="12"/>
      <c r="V105" s="10"/>
    </row>
    <row r="106" spans="1:22" x14ac:dyDescent="0.2">
      <c r="A106" s="9" t="s">
        <v>683</v>
      </c>
      <c r="B106" s="132" t="s">
        <v>497</v>
      </c>
      <c r="D106" s="120" t="s">
        <v>379</v>
      </c>
      <c r="E106" s="120">
        <v>7.1999999999999995E-2</v>
      </c>
      <c r="G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2"/>
      <c r="T106" s="12"/>
      <c r="U106" s="12"/>
      <c r="V106" s="10"/>
    </row>
    <row r="107" spans="1:22" x14ac:dyDescent="0.2">
      <c r="A107" s="8"/>
      <c r="B107" s="355" t="s">
        <v>383</v>
      </c>
      <c r="D107" s="120" t="s">
        <v>379</v>
      </c>
      <c r="E107" s="120">
        <v>0.8</v>
      </c>
      <c r="G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2"/>
      <c r="T107" s="12"/>
      <c r="U107" s="12"/>
      <c r="V107" s="10"/>
    </row>
    <row r="108" spans="1:22" x14ac:dyDescent="0.2">
      <c r="B108" s="132" t="s">
        <v>306</v>
      </c>
      <c r="C108" s="8" t="s">
        <v>616</v>
      </c>
      <c r="D108" s="333" t="s">
        <v>379</v>
      </c>
      <c r="E108" s="332">
        <f>+E109*E79*E83</f>
        <v>1.1903999999999999</v>
      </c>
      <c r="G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2"/>
      <c r="T108" s="12"/>
      <c r="U108" s="12"/>
      <c r="V108" s="10"/>
    </row>
    <row r="109" spans="1:22" x14ac:dyDescent="0.2">
      <c r="B109" s="132" t="s">
        <v>783</v>
      </c>
      <c r="C109" s="8"/>
      <c r="D109" s="120" t="s">
        <v>379</v>
      </c>
      <c r="E109" s="332">
        <v>2.48</v>
      </c>
      <c r="G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2"/>
      <c r="T109" s="12"/>
      <c r="U109" s="12"/>
      <c r="V109" s="10"/>
    </row>
    <row r="110" spans="1:22" x14ac:dyDescent="0.2">
      <c r="G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2"/>
      <c r="T110" s="12"/>
      <c r="U110" s="12"/>
      <c r="V110" s="10"/>
    </row>
    <row r="111" spans="1:22" x14ac:dyDescent="0.2">
      <c r="A111" s="9" t="s">
        <v>684</v>
      </c>
      <c r="B111" s="8" t="s">
        <v>686</v>
      </c>
      <c r="E111" s="120"/>
      <c r="G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2"/>
      <c r="T111" s="12"/>
      <c r="U111" s="12"/>
      <c r="V111" s="10"/>
    </row>
    <row r="112" spans="1:22" x14ac:dyDescent="0.2">
      <c r="A112" s="8" t="s">
        <v>685</v>
      </c>
      <c r="B112" s="8"/>
      <c r="C112" s="8"/>
      <c r="D112" s="8" t="s">
        <v>615</v>
      </c>
      <c r="E112" s="44">
        <v>4.5</v>
      </c>
      <c r="F112" s="8"/>
      <c r="G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2"/>
      <c r="T112" s="12"/>
      <c r="U112" s="12"/>
      <c r="V112" s="10"/>
    </row>
    <row r="113" spans="1:22" x14ac:dyDescent="0.2">
      <c r="A113" s="8" t="s">
        <v>784</v>
      </c>
      <c r="B113" s="8"/>
      <c r="C113" s="8"/>
      <c r="D113" s="8"/>
      <c r="E113" s="120"/>
      <c r="F113" s="8"/>
      <c r="G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2"/>
      <c r="T113" s="12"/>
      <c r="U113" s="12"/>
      <c r="V113" s="10"/>
    </row>
    <row r="114" spans="1:22" x14ac:dyDescent="0.2">
      <c r="A114" s="8" t="s">
        <v>793</v>
      </c>
      <c r="B114" s="8"/>
      <c r="C114" s="8"/>
      <c r="D114" s="8"/>
      <c r="E114" s="120"/>
      <c r="F114" s="8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2"/>
      <c r="T114" s="12"/>
      <c r="U114" s="12"/>
      <c r="V114" s="10"/>
    </row>
    <row r="115" spans="1:22" x14ac:dyDescent="0.2">
      <c r="A115" s="8" t="s">
        <v>794</v>
      </c>
      <c r="C115" s="8"/>
      <c r="D115" s="8"/>
      <c r="E115" s="8"/>
      <c r="F115" s="120"/>
      <c r="G115" s="8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2"/>
      <c r="T115" s="12"/>
      <c r="U115" s="12"/>
      <c r="V115" s="10"/>
    </row>
    <row r="116" spans="1:22" x14ac:dyDescent="0.2">
      <c r="A116" s="8"/>
      <c r="C116" s="8"/>
      <c r="D116" s="8"/>
      <c r="E116" s="8"/>
      <c r="F116" s="120"/>
      <c r="G116" s="8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2"/>
      <c r="T116" s="12"/>
      <c r="U116" s="12"/>
      <c r="V116" s="10"/>
    </row>
    <row r="117" spans="1:22" x14ac:dyDescent="0.2">
      <c r="A117" s="8"/>
      <c r="C117" s="8"/>
      <c r="D117" s="8"/>
      <c r="E117" s="8"/>
      <c r="F117" s="120"/>
      <c r="G117" s="8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2"/>
      <c r="T117" s="12"/>
      <c r="U117" s="12"/>
      <c r="V117" s="10"/>
    </row>
    <row r="118" spans="1:22" x14ac:dyDescent="0.2">
      <c r="A118" s="8"/>
      <c r="C118" s="8"/>
      <c r="D118" s="8"/>
      <c r="E118" s="8"/>
      <c r="F118" s="120"/>
      <c r="G118" s="8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2"/>
      <c r="T118" s="12"/>
      <c r="U118" s="12"/>
      <c r="V118" s="10"/>
    </row>
    <row r="119" spans="1:22" x14ac:dyDescent="0.2">
      <c r="A119" s="8"/>
      <c r="C119" s="8"/>
      <c r="D119" s="8"/>
      <c r="E119" s="8"/>
      <c r="F119" s="120"/>
      <c r="G119" s="8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2"/>
      <c r="T119" s="12"/>
      <c r="U119" s="12"/>
      <c r="V119" s="10"/>
    </row>
    <row r="120" spans="1:22" x14ac:dyDescent="0.2">
      <c r="A120" s="8"/>
      <c r="C120" s="8"/>
      <c r="D120" s="8"/>
      <c r="E120" s="8"/>
      <c r="F120" s="120"/>
      <c r="G120" s="8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2"/>
      <c r="T120" s="12"/>
      <c r="U120" s="12"/>
      <c r="V120" s="10"/>
    </row>
    <row r="121" spans="1:22" x14ac:dyDescent="0.2">
      <c r="A121" s="8"/>
      <c r="C121" s="8"/>
      <c r="D121" s="8"/>
      <c r="E121" s="8"/>
      <c r="F121" s="120"/>
      <c r="G121" s="8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2"/>
      <c r="T121" s="12"/>
      <c r="U121" s="12"/>
      <c r="V121" s="10"/>
    </row>
    <row r="122" spans="1:22" x14ac:dyDescent="0.2">
      <c r="A122" s="8"/>
      <c r="C122" s="8"/>
      <c r="D122" s="8"/>
      <c r="E122" s="8"/>
      <c r="F122" s="120"/>
      <c r="G122" s="8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2"/>
      <c r="T122" s="12"/>
      <c r="U122" s="12"/>
      <c r="V122" s="10"/>
    </row>
    <row r="123" spans="1:22" x14ac:dyDescent="0.2">
      <c r="A123" s="8"/>
      <c r="C123" s="8"/>
      <c r="D123" s="8"/>
      <c r="E123" s="8"/>
      <c r="F123" s="120"/>
      <c r="G123" s="8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2"/>
      <c r="T123" s="12"/>
      <c r="U123" s="12"/>
      <c r="V123" s="10"/>
    </row>
    <row r="124" spans="1:22" x14ac:dyDescent="0.2">
      <c r="A124" s="8"/>
      <c r="C124" s="8"/>
      <c r="D124" s="8"/>
      <c r="E124" s="8"/>
      <c r="F124" s="120"/>
      <c r="G124" s="8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2"/>
      <c r="T124" s="12"/>
      <c r="U124" s="12"/>
      <c r="V124" s="10"/>
    </row>
    <row r="125" spans="1:22" x14ac:dyDescent="0.2">
      <c r="A125" s="8"/>
      <c r="C125" s="8"/>
      <c r="D125" s="8"/>
      <c r="E125" s="8"/>
      <c r="F125" s="120"/>
      <c r="G125" s="8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2"/>
      <c r="T125" s="12"/>
      <c r="U125" s="12"/>
      <c r="V125" s="10"/>
    </row>
    <row r="126" spans="1:22" x14ac:dyDescent="0.2">
      <c r="A126" s="8"/>
      <c r="C126" s="8"/>
      <c r="D126" s="8"/>
      <c r="E126" s="8"/>
      <c r="F126" s="120"/>
      <c r="G126" s="8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2"/>
      <c r="T126" s="12"/>
      <c r="U126" s="12"/>
      <c r="V126" s="10"/>
    </row>
    <row r="127" spans="1:22" x14ac:dyDescent="0.2">
      <c r="A127" s="8"/>
      <c r="C127" s="8"/>
      <c r="D127" s="8"/>
      <c r="E127" s="8"/>
      <c r="F127" s="120"/>
      <c r="G127" s="8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2"/>
      <c r="T127" s="12"/>
      <c r="U127" s="12"/>
      <c r="V127" s="10"/>
    </row>
    <row r="128" spans="1:22" x14ac:dyDescent="0.2">
      <c r="A128" s="8"/>
      <c r="C128" s="8"/>
      <c r="D128" s="8"/>
      <c r="E128" s="8"/>
      <c r="F128" s="120"/>
      <c r="G128" s="8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2"/>
      <c r="T128" s="12"/>
      <c r="U128" s="12"/>
      <c r="V128" s="10"/>
    </row>
    <row r="129" spans="1:22" x14ac:dyDescent="0.2">
      <c r="A129" s="8"/>
      <c r="C129" s="8"/>
      <c r="D129" s="8"/>
      <c r="E129" s="8"/>
      <c r="F129" s="120"/>
      <c r="G129" s="8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2"/>
      <c r="T129" s="12"/>
      <c r="U129" s="12"/>
      <c r="V129" s="10"/>
    </row>
    <row r="130" spans="1:22" x14ac:dyDescent="0.2">
      <c r="A130" s="8"/>
      <c r="C130" s="8"/>
      <c r="D130" s="8"/>
      <c r="E130" s="8"/>
      <c r="F130" s="120"/>
      <c r="G130" s="8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2"/>
      <c r="T130" s="12"/>
      <c r="U130" s="12"/>
      <c r="V130" s="10"/>
    </row>
    <row r="131" spans="1:22" x14ac:dyDescent="0.2">
      <c r="A131" s="8"/>
      <c r="C131" s="8"/>
      <c r="D131" s="8"/>
      <c r="E131" s="8"/>
      <c r="F131" s="120"/>
      <c r="G131" s="8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2"/>
      <c r="T131" s="12"/>
      <c r="U131" s="12"/>
      <c r="V131" s="10"/>
    </row>
    <row r="132" spans="1:22" x14ac:dyDescent="0.2">
      <c r="A132" s="8"/>
      <c r="C132" s="8"/>
      <c r="D132" s="8"/>
      <c r="E132" s="8"/>
      <c r="F132" s="120"/>
      <c r="G132" s="8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2"/>
      <c r="T132" s="12"/>
      <c r="U132" s="12"/>
      <c r="V132" s="10"/>
    </row>
    <row r="133" spans="1:22" x14ac:dyDescent="0.2">
      <c r="A133" s="8"/>
      <c r="C133" s="8"/>
      <c r="D133" s="8"/>
      <c r="E133" s="8"/>
      <c r="F133" s="120"/>
      <c r="G133" s="8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2"/>
      <c r="T133" s="12"/>
      <c r="U133" s="12"/>
      <c r="V133" s="10"/>
    </row>
    <row r="134" spans="1:22" x14ac:dyDescent="0.2">
      <c r="A134" s="8"/>
      <c r="C134" s="8"/>
      <c r="D134" s="8"/>
      <c r="E134" s="8"/>
      <c r="F134" s="120"/>
      <c r="G134" s="8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2"/>
      <c r="T134" s="12"/>
      <c r="U134" s="12"/>
      <c r="V134" s="10"/>
    </row>
    <row r="135" spans="1:22" x14ac:dyDescent="0.2">
      <c r="A135" s="8"/>
      <c r="C135" s="8"/>
      <c r="D135" s="8"/>
      <c r="E135" s="8"/>
      <c r="F135" s="120"/>
      <c r="G135" s="8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2"/>
      <c r="T135" s="12"/>
      <c r="U135" s="12"/>
      <c r="V135" s="10"/>
    </row>
    <row r="136" spans="1:22" x14ac:dyDescent="0.2">
      <c r="A136" s="8"/>
      <c r="C136" s="8"/>
      <c r="D136" s="8"/>
      <c r="E136" s="8"/>
      <c r="F136" s="120"/>
      <c r="G136" s="8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2"/>
      <c r="T136" s="12"/>
      <c r="U136" s="12"/>
      <c r="V136" s="10"/>
    </row>
    <row r="137" spans="1:22" x14ac:dyDescent="0.2">
      <c r="A137" s="8"/>
      <c r="C137" s="8"/>
      <c r="D137" s="8"/>
      <c r="E137" s="8"/>
      <c r="F137" s="120"/>
      <c r="G137" s="8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2"/>
      <c r="T137" s="12"/>
      <c r="U137" s="12"/>
      <c r="V137" s="10"/>
    </row>
    <row r="138" spans="1:22" x14ac:dyDescent="0.2">
      <c r="A138" s="8"/>
      <c r="C138" s="8"/>
      <c r="D138" s="8"/>
      <c r="E138" s="8"/>
      <c r="F138" s="120"/>
      <c r="G138" s="8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2"/>
      <c r="T138" s="12"/>
      <c r="U138" s="12"/>
      <c r="V138" s="10"/>
    </row>
    <row r="139" spans="1:22" x14ac:dyDescent="0.2">
      <c r="A139" s="8"/>
      <c r="C139" s="8"/>
      <c r="D139" s="8"/>
      <c r="E139" s="8"/>
      <c r="F139" s="120"/>
      <c r="G139" s="8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2"/>
      <c r="T139" s="12"/>
      <c r="U139" s="12"/>
      <c r="V139" s="10"/>
    </row>
    <row r="140" spans="1:22" x14ac:dyDescent="0.2">
      <c r="A140" s="8"/>
      <c r="C140" s="8"/>
      <c r="D140" s="8"/>
      <c r="E140" s="8"/>
      <c r="F140" s="120"/>
      <c r="G140" s="8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2"/>
      <c r="T140" s="12"/>
      <c r="U140" s="12"/>
      <c r="V140" s="10"/>
    </row>
    <row r="141" spans="1:22" x14ac:dyDescent="0.2">
      <c r="A141" s="8"/>
      <c r="C141" s="8"/>
      <c r="D141" s="8"/>
      <c r="E141" s="8"/>
      <c r="F141" s="120"/>
      <c r="G141" s="8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2"/>
      <c r="T141" s="12"/>
      <c r="U141" s="12"/>
      <c r="V141" s="10"/>
    </row>
    <row r="142" spans="1:22" x14ac:dyDescent="0.2">
      <c r="A142" s="8"/>
      <c r="C142" s="8"/>
      <c r="D142" s="8"/>
      <c r="E142" s="8"/>
      <c r="F142" s="120"/>
      <c r="G142" s="8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2"/>
      <c r="T142" s="12"/>
      <c r="U142" s="12"/>
      <c r="V142" s="10"/>
    </row>
    <row r="143" spans="1:22" x14ac:dyDescent="0.2">
      <c r="A143" s="8"/>
      <c r="C143" s="8"/>
      <c r="D143" s="8"/>
      <c r="E143" s="8"/>
      <c r="F143" s="120"/>
      <c r="G143" s="8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2"/>
      <c r="T143" s="12"/>
      <c r="U143" s="12"/>
      <c r="V143" s="10"/>
    </row>
    <row r="144" spans="1:22" x14ac:dyDescent="0.2">
      <c r="A144" s="8"/>
      <c r="C144" s="8"/>
      <c r="D144" s="8"/>
      <c r="E144" s="8"/>
      <c r="F144" s="120"/>
      <c r="G144" s="8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2"/>
      <c r="T144" s="12"/>
      <c r="U144" s="12"/>
      <c r="V144" s="10"/>
    </row>
    <row r="145" spans="1:22" x14ac:dyDescent="0.2">
      <c r="A145" s="8"/>
      <c r="C145" s="8"/>
      <c r="D145" s="8"/>
      <c r="E145" s="8"/>
      <c r="F145" s="120"/>
      <c r="G145" s="8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2"/>
      <c r="T145" s="12"/>
      <c r="U145" s="12"/>
      <c r="V145" s="10"/>
    </row>
    <row r="146" spans="1:22" x14ac:dyDescent="0.2">
      <c r="A146" s="8"/>
      <c r="C146" s="8"/>
      <c r="D146" s="8"/>
      <c r="E146" s="8"/>
      <c r="F146" s="120"/>
      <c r="G146" s="8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2"/>
      <c r="T146" s="12"/>
      <c r="U146" s="12"/>
      <c r="V146" s="10"/>
    </row>
    <row r="147" spans="1:22" x14ac:dyDescent="0.2">
      <c r="A147" s="8"/>
      <c r="C147" s="8"/>
      <c r="D147" s="8"/>
      <c r="E147" s="8"/>
      <c r="F147" s="120"/>
      <c r="G147" s="8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2"/>
      <c r="T147" s="12"/>
      <c r="U147" s="12"/>
      <c r="V147" s="10"/>
    </row>
    <row r="148" spans="1:22" x14ac:dyDescent="0.2">
      <c r="A148" s="8"/>
      <c r="C148" s="8"/>
      <c r="D148" s="8"/>
      <c r="E148" s="8"/>
      <c r="F148" s="120"/>
      <c r="G148" s="8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2"/>
      <c r="T148" s="12"/>
      <c r="U148" s="12"/>
      <c r="V148" s="10"/>
    </row>
    <row r="149" spans="1:22" x14ac:dyDescent="0.2">
      <c r="A149" s="8"/>
      <c r="C149" s="8"/>
      <c r="D149" s="8"/>
      <c r="E149" s="8"/>
      <c r="F149" s="120"/>
      <c r="G149" s="8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2"/>
      <c r="T149" s="12"/>
      <c r="U149" s="12"/>
      <c r="V149" s="10"/>
    </row>
    <row r="150" spans="1:22" x14ac:dyDescent="0.2">
      <c r="A150" s="8"/>
      <c r="C150" s="8"/>
      <c r="D150" s="8"/>
      <c r="E150" s="8"/>
      <c r="F150" s="120"/>
      <c r="G150" s="8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2"/>
      <c r="T150" s="12"/>
      <c r="U150" s="12"/>
      <c r="V150" s="10"/>
    </row>
    <row r="151" spans="1:22" x14ac:dyDescent="0.2">
      <c r="A151" s="8"/>
      <c r="C151" s="8"/>
      <c r="D151" s="8"/>
      <c r="E151" s="8"/>
      <c r="F151" s="120"/>
      <c r="G151" s="8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2"/>
      <c r="T151" s="12"/>
      <c r="U151" s="12"/>
      <c r="V151" s="10"/>
    </row>
    <row r="152" spans="1:22" x14ac:dyDescent="0.2">
      <c r="A152" s="8"/>
      <c r="C152" s="8"/>
      <c r="D152" s="8"/>
      <c r="E152" s="8"/>
      <c r="F152" s="120"/>
      <c r="G152" s="8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2"/>
      <c r="T152" s="12"/>
      <c r="U152" s="12"/>
      <c r="V152" s="10"/>
    </row>
    <row r="153" spans="1:22" x14ac:dyDescent="0.2">
      <c r="A153" s="8"/>
      <c r="C153" s="8"/>
      <c r="D153" s="8"/>
      <c r="E153" s="8"/>
      <c r="F153" s="120"/>
      <c r="G153" s="8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2"/>
      <c r="T153" s="12"/>
      <c r="U153" s="12"/>
      <c r="V153" s="10"/>
    </row>
    <row r="154" spans="1:22" x14ac:dyDescent="0.2">
      <c r="A154" s="8"/>
      <c r="C154" s="8"/>
      <c r="D154" s="8"/>
      <c r="E154" s="8"/>
      <c r="F154" s="120"/>
      <c r="G154" s="8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2"/>
      <c r="T154" s="12"/>
      <c r="U154" s="12"/>
      <c r="V154" s="10"/>
    </row>
    <row r="155" spans="1:22" x14ac:dyDescent="0.2">
      <c r="A155" s="8"/>
      <c r="C155" s="8"/>
      <c r="D155" s="8"/>
      <c r="E155" s="8"/>
      <c r="F155" s="120"/>
      <c r="G155" s="8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2"/>
      <c r="T155" s="12"/>
      <c r="U155" s="12"/>
      <c r="V155" s="10"/>
    </row>
    <row r="156" spans="1:22" x14ac:dyDescent="0.2">
      <c r="A156" s="8"/>
      <c r="C156" s="8"/>
      <c r="D156" s="8"/>
      <c r="E156" s="8"/>
      <c r="F156" s="120"/>
      <c r="G156" s="8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2"/>
      <c r="T156" s="12"/>
      <c r="U156" s="12"/>
      <c r="V156" s="10"/>
    </row>
    <row r="157" spans="1:22" x14ac:dyDescent="0.2">
      <c r="A157" s="8"/>
      <c r="C157" s="8"/>
      <c r="D157" s="8"/>
      <c r="E157" s="8"/>
      <c r="F157" s="120"/>
      <c r="G157" s="8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2"/>
      <c r="T157" s="12"/>
      <c r="U157" s="12"/>
      <c r="V157" s="10"/>
    </row>
    <row r="158" spans="1:22" x14ac:dyDescent="0.2">
      <c r="A158" s="8"/>
      <c r="C158" s="8"/>
      <c r="D158" s="8"/>
      <c r="E158" s="8"/>
      <c r="F158" s="120"/>
      <c r="G158" s="8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2"/>
      <c r="T158" s="12"/>
      <c r="U158" s="12"/>
      <c r="V158" s="10"/>
    </row>
    <row r="159" spans="1:22" x14ac:dyDescent="0.2">
      <c r="A159" s="8"/>
      <c r="C159" s="8"/>
      <c r="D159" s="8"/>
      <c r="E159" s="8"/>
      <c r="F159" s="120"/>
      <c r="G159" s="8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2"/>
      <c r="T159" s="12"/>
      <c r="U159" s="12"/>
      <c r="V159" s="10"/>
    </row>
    <row r="160" spans="1:22" x14ac:dyDescent="0.2">
      <c r="A160" s="8"/>
      <c r="C160" s="8"/>
      <c r="D160" s="8"/>
      <c r="E160" s="8"/>
      <c r="F160" s="120"/>
      <c r="G160" s="8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2"/>
      <c r="T160" s="12"/>
      <c r="U160" s="12"/>
      <c r="V160" s="10"/>
    </row>
    <row r="161" spans="1:22" x14ac:dyDescent="0.2">
      <c r="A161" s="8"/>
      <c r="C161" s="8"/>
      <c r="D161" s="8"/>
      <c r="E161" s="8"/>
      <c r="F161" s="120"/>
      <c r="G161" s="8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2"/>
      <c r="T161" s="12"/>
      <c r="U161" s="12"/>
      <c r="V161" s="10"/>
    </row>
    <row r="162" spans="1:22" x14ac:dyDescent="0.2">
      <c r="A162" s="8"/>
      <c r="C162" s="8"/>
      <c r="D162" s="8"/>
      <c r="E162" s="8"/>
      <c r="F162" s="120"/>
      <c r="G162" s="8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2"/>
      <c r="T162" s="12"/>
      <c r="U162" s="12"/>
      <c r="V162" s="10"/>
    </row>
    <row r="163" spans="1:22" x14ac:dyDescent="0.2">
      <c r="A163" s="8"/>
      <c r="C163" s="8"/>
      <c r="D163" s="8"/>
      <c r="E163" s="8"/>
      <c r="F163" s="120"/>
      <c r="G163" s="8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2"/>
      <c r="T163" s="12"/>
      <c r="U163" s="12"/>
      <c r="V163" s="10"/>
    </row>
    <row r="164" spans="1:22" x14ac:dyDescent="0.2">
      <c r="A164" s="8"/>
      <c r="C164" s="8"/>
      <c r="D164" s="8"/>
      <c r="E164" s="8"/>
      <c r="F164" s="120"/>
      <c r="G164" s="8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2"/>
      <c r="T164" s="12"/>
      <c r="U164" s="12"/>
      <c r="V164" s="10"/>
    </row>
    <row r="165" spans="1:22" x14ac:dyDescent="0.2">
      <c r="A165" s="8"/>
      <c r="B165" s="8"/>
      <c r="C165" s="8"/>
      <c r="D165" s="8"/>
      <c r="E165" s="8"/>
      <c r="F165" s="8"/>
      <c r="G165" s="8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2"/>
      <c r="T165" s="12"/>
      <c r="U165" s="12"/>
      <c r="V165" s="10"/>
    </row>
    <row r="166" spans="1:22" x14ac:dyDescent="0.2">
      <c r="A166" s="8"/>
      <c r="B166" s="8"/>
      <c r="C166" s="8"/>
      <c r="D166" s="8"/>
      <c r="E166" s="8"/>
      <c r="F166" s="8"/>
      <c r="G166" s="8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2"/>
      <c r="T166" s="12"/>
      <c r="U166" s="12"/>
      <c r="V166" s="10"/>
    </row>
    <row r="167" spans="1:22" x14ac:dyDescent="0.2">
      <c r="A167" s="8"/>
      <c r="B167" s="8"/>
      <c r="C167" s="8"/>
      <c r="D167" s="8"/>
      <c r="E167" s="8"/>
      <c r="F167" s="8"/>
      <c r="G167" s="8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2"/>
      <c r="T167" s="12"/>
      <c r="U167" s="12"/>
      <c r="V167" s="10"/>
    </row>
    <row r="168" spans="1:22" x14ac:dyDescent="0.2">
      <c r="A168" s="8"/>
      <c r="B168" s="8"/>
      <c r="C168" s="8"/>
      <c r="D168" s="8"/>
      <c r="E168" s="8"/>
      <c r="F168" s="8"/>
      <c r="G168" s="8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2"/>
      <c r="T168" s="12"/>
      <c r="U168" s="12"/>
      <c r="V168" s="10"/>
    </row>
    <row r="169" spans="1:22" x14ac:dyDescent="0.2">
      <c r="A169" s="8"/>
      <c r="B169" s="8"/>
      <c r="C169" s="8"/>
      <c r="D169" s="8"/>
      <c r="E169" s="8"/>
      <c r="F169" s="8"/>
      <c r="G169" s="8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2"/>
      <c r="T169" s="12"/>
      <c r="U169" s="12"/>
      <c r="V169" s="10"/>
    </row>
    <row r="170" spans="1:22" x14ac:dyDescent="0.2">
      <c r="A170" s="8"/>
      <c r="B170" s="8"/>
      <c r="C170" s="8"/>
      <c r="D170" s="8"/>
      <c r="E170" s="8"/>
      <c r="F170" s="8"/>
      <c r="G170" s="8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2"/>
      <c r="T170" s="12"/>
      <c r="U170" s="12"/>
      <c r="V170" s="10"/>
    </row>
    <row r="171" spans="1:22" x14ac:dyDescent="0.2">
      <c r="A171" s="8"/>
      <c r="B171" s="8"/>
      <c r="C171" s="8"/>
      <c r="D171" s="8"/>
      <c r="E171" s="8"/>
      <c r="F171" s="8"/>
      <c r="G171" s="8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2"/>
      <c r="T171" s="12"/>
      <c r="U171" s="12"/>
      <c r="V171" s="10"/>
    </row>
    <row r="172" spans="1:22" x14ac:dyDescent="0.2">
      <c r="A172" s="8"/>
      <c r="B172" s="8"/>
      <c r="C172" s="8"/>
      <c r="D172" s="8"/>
      <c r="E172" s="8"/>
      <c r="F172" s="8"/>
      <c r="G172" s="8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2"/>
      <c r="T172" s="12"/>
      <c r="U172" s="12"/>
      <c r="V172" s="10"/>
    </row>
    <row r="173" spans="1:22" x14ac:dyDescent="0.2">
      <c r="A173" s="8"/>
      <c r="B173" s="8"/>
      <c r="C173" s="8"/>
      <c r="D173" s="8"/>
      <c r="E173" s="8"/>
      <c r="F173" s="8"/>
      <c r="G173" s="8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2"/>
      <c r="T173" s="12"/>
      <c r="U173" s="12"/>
      <c r="V173" s="10"/>
    </row>
    <row r="174" spans="1:22" x14ac:dyDescent="0.2">
      <c r="A174" s="8"/>
      <c r="B174" s="8"/>
      <c r="C174" s="8"/>
      <c r="D174" s="8"/>
      <c r="E174" s="8"/>
      <c r="F174" s="8"/>
      <c r="G174" s="8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2"/>
      <c r="T174" s="12"/>
      <c r="U174" s="12"/>
      <c r="V174" s="10"/>
    </row>
    <row r="175" spans="1:22" x14ac:dyDescent="0.2">
      <c r="A175" s="8"/>
      <c r="B175" s="8"/>
      <c r="C175" s="8"/>
      <c r="D175" s="8"/>
      <c r="E175" s="8"/>
      <c r="F175" s="8"/>
      <c r="G175" s="8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2"/>
      <c r="T175" s="12"/>
      <c r="U175" s="12"/>
      <c r="V175" s="10"/>
    </row>
    <row r="176" spans="1:22" x14ac:dyDescent="0.2">
      <c r="A176" s="8"/>
      <c r="B176" s="8"/>
      <c r="C176" s="8"/>
      <c r="D176" s="8"/>
      <c r="E176" s="8"/>
      <c r="F176" s="8"/>
      <c r="G176" s="8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2"/>
      <c r="T176" s="12"/>
      <c r="U176" s="12"/>
      <c r="V176" s="10"/>
    </row>
    <row r="177" spans="1:22" x14ac:dyDescent="0.2">
      <c r="A177" s="8"/>
      <c r="B177" s="8"/>
      <c r="C177" s="8"/>
      <c r="D177" s="8"/>
      <c r="E177" s="8"/>
      <c r="F177" s="8"/>
      <c r="G177" s="8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2"/>
      <c r="T177" s="12"/>
      <c r="U177" s="12"/>
      <c r="V177" s="10"/>
    </row>
    <row r="178" spans="1:22" x14ac:dyDescent="0.2">
      <c r="A178" s="8"/>
      <c r="B178" s="8"/>
      <c r="C178" s="8"/>
      <c r="D178" s="8"/>
      <c r="E178" s="8"/>
      <c r="F178" s="8"/>
      <c r="G178" s="8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2"/>
      <c r="T178" s="12"/>
      <c r="U178" s="12"/>
      <c r="V178" s="10"/>
    </row>
    <row r="179" spans="1:22" x14ac:dyDescent="0.2">
      <c r="A179" s="8"/>
      <c r="B179" s="8"/>
      <c r="C179" s="8"/>
      <c r="D179" s="8"/>
      <c r="E179" s="8"/>
      <c r="F179" s="8"/>
      <c r="G179" s="8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2"/>
      <c r="T179" s="12"/>
      <c r="U179" s="12"/>
      <c r="V179" s="10"/>
    </row>
    <row r="180" spans="1:22" x14ac:dyDescent="0.2">
      <c r="A180" s="8"/>
      <c r="B180" s="8"/>
      <c r="C180" s="8"/>
      <c r="D180" s="8"/>
      <c r="E180" s="8"/>
      <c r="F180" s="8"/>
      <c r="G180" s="8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2"/>
      <c r="T180" s="12"/>
      <c r="U180" s="12"/>
      <c r="V180" s="10"/>
    </row>
    <row r="181" spans="1:22" x14ac:dyDescent="0.2">
      <c r="A181" s="8"/>
      <c r="B181" s="8"/>
      <c r="C181" s="8"/>
      <c r="D181" s="8"/>
      <c r="E181" s="8"/>
      <c r="F181" s="8"/>
      <c r="G181" s="8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2"/>
      <c r="T181" s="12"/>
      <c r="U181" s="12"/>
      <c r="V181" s="10"/>
    </row>
    <row r="182" spans="1:22" x14ac:dyDescent="0.2">
      <c r="A182" s="8"/>
      <c r="B182" s="8"/>
      <c r="C182" s="8"/>
      <c r="D182" s="8"/>
      <c r="E182" s="8"/>
      <c r="F182" s="8"/>
      <c r="G182" s="8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2"/>
      <c r="T182" s="12"/>
      <c r="U182" s="12"/>
      <c r="V182" s="10"/>
    </row>
    <row r="183" spans="1:22" x14ac:dyDescent="0.2">
      <c r="A183" s="8"/>
      <c r="B183" s="8"/>
      <c r="C183" s="8"/>
      <c r="D183" s="8"/>
      <c r="E183" s="8"/>
      <c r="F183" s="8"/>
      <c r="G183" s="8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2"/>
      <c r="T183" s="12"/>
      <c r="U183" s="12"/>
      <c r="V183" s="10"/>
    </row>
    <row r="184" spans="1:22" x14ac:dyDescent="0.2">
      <c r="A184" s="8"/>
      <c r="B184" s="8"/>
      <c r="C184" s="8"/>
      <c r="D184" s="8"/>
      <c r="E184" s="8"/>
      <c r="F184" s="8"/>
      <c r="G184" s="8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2"/>
      <c r="T184" s="12"/>
      <c r="U184" s="12"/>
      <c r="V184" s="10"/>
    </row>
    <row r="185" spans="1:22" x14ac:dyDescent="0.2">
      <c r="A185" s="8"/>
      <c r="B185" s="8"/>
      <c r="C185" s="8"/>
      <c r="D185" s="8"/>
      <c r="E185" s="8"/>
      <c r="F185" s="8"/>
      <c r="G185" s="8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2"/>
      <c r="T185" s="12"/>
      <c r="U185" s="12"/>
      <c r="V185" s="10"/>
    </row>
    <row r="186" spans="1:22" x14ac:dyDescent="0.2">
      <c r="A186" s="8"/>
      <c r="B186" s="8"/>
      <c r="C186" s="8"/>
      <c r="D186" s="8"/>
      <c r="E186" s="8"/>
      <c r="F186" s="8"/>
      <c r="G186" s="8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2"/>
      <c r="T186" s="12"/>
      <c r="U186" s="12"/>
      <c r="V186" s="10"/>
    </row>
    <row r="187" spans="1:22" x14ac:dyDescent="0.2">
      <c r="A187" s="8"/>
      <c r="B187" s="8"/>
      <c r="C187" s="8"/>
      <c r="D187" s="8"/>
      <c r="E187" s="8"/>
      <c r="F187" s="8"/>
      <c r="G187" s="8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2"/>
      <c r="T187" s="12"/>
      <c r="U187" s="12"/>
      <c r="V187" s="10"/>
    </row>
    <row r="188" spans="1:22" x14ac:dyDescent="0.2">
      <c r="A188" s="8"/>
      <c r="B188" s="8"/>
      <c r="C188" s="8"/>
      <c r="D188" s="8"/>
      <c r="E188" s="8"/>
      <c r="F188" s="8"/>
      <c r="G188" s="8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2"/>
      <c r="T188" s="12"/>
      <c r="U188" s="12"/>
      <c r="V188" s="10"/>
    </row>
    <row r="189" spans="1:22" x14ac:dyDescent="0.2">
      <c r="A189" s="8"/>
      <c r="B189" s="8"/>
      <c r="C189" s="8"/>
      <c r="D189" s="8"/>
      <c r="E189" s="8"/>
      <c r="F189" s="8"/>
      <c r="G189" s="8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2"/>
      <c r="T189" s="12"/>
      <c r="U189" s="12"/>
      <c r="V189" s="10"/>
    </row>
    <row r="190" spans="1:22" x14ac:dyDescent="0.2">
      <c r="A190" s="8"/>
      <c r="B190" s="8"/>
      <c r="C190" s="8"/>
      <c r="D190" s="8"/>
      <c r="E190" s="8"/>
      <c r="F190" s="8"/>
      <c r="G190" s="8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2"/>
      <c r="T190" s="12"/>
      <c r="U190" s="12"/>
      <c r="V190" s="10"/>
    </row>
    <row r="191" spans="1:22" x14ac:dyDescent="0.2">
      <c r="A191" s="8"/>
      <c r="B191" s="8"/>
      <c r="C191" s="8"/>
      <c r="D191" s="8"/>
      <c r="E191" s="8"/>
      <c r="F191" s="8"/>
      <c r="G191" s="8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2"/>
      <c r="T191" s="12"/>
      <c r="U191" s="12"/>
      <c r="V191" s="10"/>
    </row>
    <row r="192" spans="1:22" x14ac:dyDescent="0.2">
      <c r="A192" s="8"/>
      <c r="B192" s="8"/>
      <c r="C192" s="8"/>
      <c r="D192" s="8"/>
      <c r="E192" s="8"/>
      <c r="F192" s="8"/>
      <c r="G192" s="8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2"/>
      <c r="T192" s="12"/>
      <c r="U192" s="12"/>
      <c r="V192" s="10"/>
    </row>
    <row r="193" spans="1:22" x14ac:dyDescent="0.2">
      <c r="A193" s="8"/>
      <c r="B193" s="8"/>
      <c r="C193" s="8"/>
      <c r="D193" s="8"/>
      <c r="E193" s="8"/>
      <c r="F193" s="8"/>
      <c r="G193" s="8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2"/>
      <c r="T193" s="12"/>
      <c r="U193" s="12"/>
      <c r="V193" s="10"/>
    </row>
    <row r="194" spans="1:22" x14ac:dyDescent="0.2">
      <c r="A194" s="8"/>
      <c r="B194" s="8"/>
      <c r="C194" s="8"/>
      <c r="D194" s="8"/>
      <c r="E194" s="8"/>
      <c r="F194" s="8"/>
      <c r="G194" s="8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2"/>
      <c r="T194" s="12"/>
      <c r="U194" s="12"/>
      <c r="V194" s="10"/>
    </row>
    <row r="195" spans="1:22" x14ac:dyDescent="0.2">
      <c r="A195" s="8"/>
      <c r="B195" s="8"/>
      <c r="C195" s="8"/>
      <c r="D195" s="8"/>
      <c r="E195" s="8"/>
      <c r="F195" s="8"/>
      <c r="G195" s="8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2"/>
      <c r="T195" s="12"/>
      <c r="U195" s="12"/>
      <c r="V195" s="10"/>
    </row>
    <row r="196" spans="1:22" x14ac:dyDescent="0.2">
      <c r="A196" s="8"/>
      <c r="B196" s="8"/>
      <c r="C196" s="8"/>
      <c r="D196" s="8"/>
      <c r="E196" s="8"/>
      <c r="F196" s="8"/>
      <c r="G196" s="8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2"/>
      <c r="T196" s="12"/>
      <c r="U196" s="12"/>
      <c r="V196" s="10"/>
    </row>
    <row r="197" spans="1:22" x14ac:dyDescent="0.2">
      <c r="A197" s="8"/>
      <c r="B197" s="8"/>
      <c r="C197" s="8"/>
      <c r="D197" s="8"/>
      <c r="E197" s="8"/>
      <c r="F197" s="8"/>
      <c r="G197" s="8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2"/>
      <c r="T197" s="12"/>
      <c r="U197" s="12"/>
      <c r="V197" s="10"/>
    </row>
    <row r="198" spans="1:22" x14ac:dyDescent="0.2">
      <c r="A198" s="8"/>
      <c r="B198" s="8"/>
      <c r="C198" s="8"/>
      <c r="D198" s="8"/>
      <c r="E198" s="8"/>
      <c r="F198" s="8"/>
      <c r="G198" s="8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2"/>
      <c r="T198" s="12"/>
      <c r="U198" s="12"/>
      <c r="V198" s="10"/>
    </row>
    <row r="199" spans="1:22" x14ac:dyDescent="0.2">
      <c r="A199" s="8"/>
      <c r="B199" s="8"/>
      <c r="C199" s="8"/>
      <c r="D199" s="8"/>
      <c r="E199" s="8"/>
      <c r="F199" s="8"/>
      <c r="G199" s="8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2"/>
      <c r="T199" s="12"/>
      <c r="U199" s="12"/>
      <c r="V199" s="10"/>
    </row>
    <row r="200" spans="1:22" x14ac:dyDescent="0.2">
      <c r="A200" s="8"/>
      <c r="B200" s="8"/>
      <c r="C200" s="8"/>
      <c r="D200" s="8"/>
      <c r="E200" s="8"/>
      <c r="F200" s="8"/>
      <c r="G200" s="8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2"/>
      <c r="T200" s="12"/>
      <c r="U200" s="12"/>
      <c r="V200" s="10"/>
    </row>
    <row r="201" spans="1:22" x14ac:dyDescent="0.2">
      <c r="A201" s="8"/>
      <c r="B201" s="8"/>
      <c r="C201" s="8"/>
      <c r="D201" s="8"/>
      <c r="E201" s="8"/>
      <c r="F201" s="8"/>
      <c r="G201" s="8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2"/>
      <c r="T201" s="12"/>
      <c r="U201" s="12"/>
      <c r="V201" s="10"/>
    </row>
    <row r="202" spans="1:22" x14ac:dyDescent="0.2">
      <c r="A202" s="8"/>
      <c r="B202" s="8"/>
      <c r="C202" s="8"/>
      <c r="D202" s="8"/>
      <c r="E202" s="8"/>
      <c r="F202" s="8"/>
      <c r="G202" s="8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2"/>
      <c r="T202" s="12"/>
      <c r="U202" s="12"/>
      <c r="V202" s="10"/>
    </row>
    <row r="203" spans="1:22" x14ac:dyDescent="0.2">
      <c r="A203" s="8"/>
      <c r="B203" s="8"/>
      <c r="C203" s="8"/>
      <c r="D203" s="8"/>
      <c r="E203" s="8"/>
      <c r="F203" s="8"/>
      <c r="G203" s="8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2"/>
      <c r="T203" s="12"/>
      <c r="U203" s="12"/>
      <c r="V203" s="10"/>
    </row>
    <row r="204" spans="1:22" x14ac:dyDescent="0.2">
      <c r="A204" s="8"/>
      <c r="B204" s="8"/>
      <c r="C204" s="8"/>
      <c r="D204" s="8"/>
      <c r="E204" s="8"/>
      <c r="F204" s="8"/>
      <c r="G204" s="8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2"/>
      <c r="T204" s="12"/>
      <c r="U204" s="12"/>
      <c r="V204" s="10"/>
    </row>
    <row r="205" spans="1:22" x14ac:dyDescent="0.2">
      <c r="A205" s="8"/>
      <c r="B205" s="8"/>
      <c r="C205" s="8"/>
      <c r="D205" s="8"/>
      <c r="E205" s="8"/>
      <c r="F205" s="8"/>
      <c r="G205" s="8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2"/>
      <c r="T205" s="12"/>
      <c r="U205" s="12"/>
      <c r="V205" s="10"/>
    </row>
    <row r="206" spans="1:22" x14ac:dyDescent="0.2">
      <c r="A206" s="8"/>
      <c r="B206" s="8"/>
      <c r="C206" s="8"/>
      <c r="D206" s="8"/>
      <c r="E206" s="8"/>
      <c r="F206" s="8"/>
      <c r="G206" s="8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2"/>
      <c r="T206" s="12"/>
      <c r="U206" s="12"/>
      <c r="V206" s="10"/>
    </row>
    <row r="207" spans="1:22" x14ac:dyDescent="0.2">
      <c r="A207" s="8"/>
      <c r="B207" s="8"/>
      <c r="C207" s="8"/>
      <c r="D207" s="8"/>
      <c r="E207" s="8"/>
      <c r="F207" s="8"/>
      <c r="G207" s="8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2"/>
      <c r="T207" s="12"/>
      <c r="U207" s="12"/>
      <c r="V207" s="10"/>
    </row>
    <row r="208" spans="1:22" x14ac:dyDescent="0.2">
      <c r="A208" s="8"/>
      <c r="B208" s="8"/>
      <c r="C208" s="8"/>
      <c r="D208" s="8"/>
      <c r="E208" s="8"/>
      <c r="F208" s="8"/>
      <c r="G208" s="8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2"/>
      <c r="T208" s="12"/>
      <c r="U208" s="12"/>
      <c r="V208" s="10"/>
    </row>
    <row r="209" spans="1:22" x14ac:dyDescent="0.2">
      <c r="A209" s="8"/>
      <c r="B209" s="8"/>
      <c r="C209" s="8"/>
      <c r="D209" s="8"/>
      <c r="E209" s="8"/>
      <c r="F209" s="8"/>
      <c r="G209" s="8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2"/>
      <c r="T209" s="12"/>
      <c r="U209" s="12"/>
      <c r="V209" s="10"/>
    </row>
    <row r="210" spans="1:22" x14ac:dyDescent="0.2">
      <c r="A210" s="8"/>
      <c r="B210" s="8"/>
      <c r="C210" s="8"/>
      <c r="D210" s="8"/>
      <c r="E210" s="8"/>
      <c r="F210" s="8"/>
      <c r="G210" s="8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2"/>
      <c r="T210" s="12"/>
      <c r="U210" s="12"/>
      <c r="V210" s="10"/>
    </row>
    <row r="211" spans="1:22" x14ac:dyDescent="0.2">
      <c r="A211" s="8"/>
      <c r="B211" s="8"/>
      <c r="C211" s="8"/>
      <c r="D211" s="8"/>
      <c r="E211" s="8"/>
      <c r="F211" s="8"/>
      <c r="G211" s="8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2"/>
      <c r="T211" s="12"/>
      <c r="U211" s="12"/>
      <c r="V211" s="10"/>
    </row>
    <row r="212" spans="1:22" x14ac:dyDescent="0.2">
      <c r="A212" s="8"/>
      <c r="B212" s="8"/>
      <c r="C212" s="8"/>
      <c r="D212" s="8"/>
      <c r="E212" s="8"/>
      <c r="F212" s="8"/>
      <c r="G212" s="8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2"/>
      <c r="T212" s="12"/>
      <c r="U212" s="12"/>
      <c r="V212" s="10"/>
    </row>
    <row r="213" spans="1:22" x14ac:dyDescent="0.2">
      <c r="A213" s="8"/>
      <c r="B213" s="8"/>
      <c r="C213" s="8"/>
      <c r="D213" s="8"/>
      <c r="E213" s="8"/>
      <c r="F213" s="8"/>
      <c r="G213" s="8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2"/>
      <c r="T213" s="12"/>
      <c r="U213" s="12"/>
      <c r="V213" s="10"/>
    </row>
    <row r="214" spans="1:22" x14ac:dyDescent="0.2">
      <c r="A214" s="8"/>
      <c r="B214" s="8"/>
      <c r="C214" s="8"/>
      <c r="D214" s="8"/>
      <c r="E214" s="8"/>
      <c r="F214" s="8"/>
      <c r="G214" s="8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2"/>
      <c r="T214" s="12"/>
      <c r="U214" s="12"/>
      <c r="V214" s="10"/>
    </row>
    <row r="215" spans="1:22" x14ac:dyDescent="0.2">
      <c r="A215" s="8"/>
      <c r="B215" s="8"/>
      <c r="C215" s="8"/>
      <c r="D215" s="8"/>
      <c r="E215" s="8"/>
      <c r="F215" s="8"/>
      <c r="G215" s="8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2"/>
      <c r="T215" s="12"/>
      <c r="U215" s="12"/>
      <c r="V215" s="10"/>
    </row>
    <row r="216" spans="1:22" x14ac:dyDescent="0.2">
      <c r="A216" s="8"/>
      <c r="B216" s="8"/>
      <c r="C216" s="8"/>
      <c r="D216" s="8"/>
      <c r="E216" s="8"/>
      <c r="F216" s="8"/>
      <c r="G216" s="8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2"/>
      <c r="T216" s="12"/>
      <c r="U216" s="12"/>
      <c r="V216" s="10"/>
    </row>
    <row r="217" spans="1:22" x14ac:dyDescent="0.2">
      <c r="A217" s="8"/>
      <c r="B217" s="8"/>
      <c r="C217" s="8"/>
      <c r="D217" s="8"/>
      <c r="E217" s="8"/>
      <c r="F217" s="8"/>
      <c r="G217" s="8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2"/>
      <c r="T217" s="12"/>
      <c r="U217" s="12"/>
      <c r="V217" s="10"/>
    </row>
    <row r="218" spans="1:22" x14ac:dyDescent="0.2">
      <c r="A218" s="8"/>
      <c r="B218" s="8"/>
      <c r="C218" s="8"/>
      <c r="D218" s="8"/>
      <c r="E218" s="8"/>
      <c r="F218" s="8"/>
      <c r="G218" s="8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2"/>
      <c r="T218" s="12"/>
      <c r="U218" s="12"/>
      <c r="V218" s="10"/>
    </row>
    <row r="219" spans="1:22" x14ac:dyDescent="0.2">
      <c r="A219" s="8"/>
      <c r="B219" s="8"/>
      <c r="C219" s="8"/>
      <c r="D219" s="8"/>
      <c r="E219" s="8"/>
      <c r="F219" s="8"/>
      <c r="G219" s="8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2"/>
      <c r="T219" s="12"/>
      <c r="U219" s="12"/>
      <c r="V219" s="10"/>
    </row>
    <row r="220" spans="1:22" x14ac:dyDescent="0.2">
      <c r="A220" s="8"/>
      <c r="B220" s="8"/>
      <c r="C220" s="8"/>
      <c r="D220" s="8"/>
      <c r="E220" s="8"/>
      <c r="F220" s="8"/>
      <c r="G220" s="8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2"/>
      <c r="T220" s="12"/>
      <c r="U220" s="12"/>
      <c r="V220" s="10"/>
    </row>
    <row r="221" spans="1:22" x14ac:dyDescent="0.2">
      <c r="A221" s="8"/>
      <c r="B221" s="8"/>
      <c r="C221" s="8"/>
      <c r="D221" s="8"/>
      <c r="E221" s="8"/>
      <c r="F221" s="8"/>
      <c r="G221" s="8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2"/>
      <c r="T221" s="12"/>
      <c r="U221" s="12"/>
      <c r="V221" s="10"/>
    </row>
    <row r="222" spans="1:22" x14ac:dyDescent="0.2">
      <c r="A222" s="8"/>
      <c r="B222" s="8"/>
      <c r="C222" s="8"/>
      <c r="D222" s="8"/>
      <c r="E222" s="8"/>
      <c r="F222" s="8"/>
      <c r="G222" s="8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2"/>
      <c r="T222" s="12"/>
      <c r="U222" s="12"/>
      <c r="V222" s="10"/>
    </row>
    <row r="223" spans="1:22" x14ac:dyDescent="0.2">
      <c r="A223" s="8"/>
      <c r="B223" s="8"/>
      <c r="C223" s="8"/>
      <c r="D223" s="8"/>
      <c r="E223" s="8"/>
      <c r="F223" s="8"/>
      <c r="G223" s="8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2"/>
      <c r="T223" s="12"/>
      <c r="U223" s="12"/>
      <c r="V223" s="10"/>
    </row>
    <row r="224" spans="1:22" x14ac:dyDescent="0.2">
      <c r="A224" s="8"/>
      <c r="B224" s="8"/>
      <c r="C224" s="8"/>
      <c r="D224" s="8"/>
      <c r="E224" s="8"/>
      <c r="F224" s="8"/>
      <c r="G224" s="8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2"/>
      <c r="T224" s="12"/>
      <c r="U224" s="12"/>
      <c r="V224" s="10"/>
    </row>
    <row r="225" spans="1:22" x14ac:dyDescent="0.2">
      <c r="A225" s="8"/>
      <c r="B225" s="8"/>
      <c r="C225" s="8"/>
      <c r="D225" s="8"/>
      <c r="E225" s="8"/>
      <c r="F225" s="8"/>
      <c r="G225" s="8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2"/>
      <c r="T225" s="12"/>
      <c r="U225" s="12"/>
      <c r="V225" s="10"/>
    </row>
    <row r="226" spans="1:22" x14ac:dyDescent="0.2">
      <c r="A226" s="8"/>
      <c r="B226" s="8"/>
      <c r="C226" s="8"/>
      <c r="D226" s="8"/>
      <c r="E226" s="8"/>
      <c r="F226" s="8"/>
      <c r="G226" s="8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2"/>
      <c r="T226" s="12"/>
      <c r="U226" s="12"/>
      <c r="V226" s="10"/>
    </row>
    <row r="227" spans="1:22" x14ac:dyDescent="0.2">
      <c r="A227" s="8"/>
      <c r="B227" s="8"/>
      <c r="C227" s="8"/>
      <c r="D227" s="8"/>
      <c r="E227" s="8"/>
      <c r="F227" s="8"/>
      <c r="G227" s="8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2"/>
      <c r="T227" s="12"/>
      <c r="U227" s="12"/>
      <c r="V227" s="10"/>
    </row>
    <row r="228" spans="1:22" x14ac:dyDescent="0.2">
      <c r="A228" s="8"/>
      <c r="B228" s="8"/>
      <c r="C228" s="8"/>
      <c r="D228" s="8"/>
      <c r="E228" s="8"/>
      <c r="F228" s="8"/>
      <c r="G228" s="8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2"/>
      <c r="T228" s="12"/>
      <c r="U228" s="12"/>
      <c r="V228" s="10"/>
    </row>
    <row r="229" spans="1:22" x14ac:dyDescent="0.2">
      <c r="A229" s="8"/>
      <c r="B229" s="8"/>
      <c r="C229" s="8"/>
      <c r="D229" s="8"/>
      <c r="E229" s="8"/>
      <c r="F229" s="8"/>
      <c r="G229" s="8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2"/>
      <c r="T229" s="12"/>
      <c r="U229" s="12"/>
      <c r="V229" s="10"/>
    </row>
    <row r="230" spans="1:22" x14ac:dyDescent="0.2">
      <c r="A230" s="8"/>
      <c r="B230" s="8"/>
      <c r="C230" s="8"/>
      <c r="D230" s="8"/>
      <c r="E230" s="8"/>
      <c r="F230" s="8"/>
      <c r="G230" s="8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2"/>
      <c r="T230" s="12"/>
      <c r="U230" s="12"/>
      <c r="V230" s="10"/>
    </row>
    <row r="231" spans="1:22" x14ac:dyDescent="0.2">
      <c r="A231" s="8"/>
      <c r="B231" s="8"/>
      <c r="C231" s="8"/>
      <c r="D231" s="8"/>
      <c r="E231" s="8"/>
      <c r="F231" s="8"/>
      <c r="G231" s="8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2"/>
      <c r="T231" s="12"/>
      <c r="U231" s="12"/>
      <c r="V231" s="10"/>
    </row>
    <row r="232" spans="1:22" x14ac:dyDescent="0.2">
      <c r="A232" s="8"/>
      <c r="B232" s="8"/>
      <c r="C232" s="8"/>
      <c r="D232" s="8"/>
      <c r="E232" s="8"/>
      <c r="F232" s="8"/>
      <c r="G232" s="8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2"/>
      <c r="T232" s="12"/>
      <c r="U232" s="12"/>
      <c r="V232" s="10"/>
    </row>
    <row r="233" spans="1:22" x14ac:dyDescent="0.2">
      <c r="A233" s="8"/>
      <c r="B233" s="8"/>
      <c r="C233" s="8"/>
      <c r="D233" s="8"/>
      <c r="E233" s="8"/>
      <c r="F233" s="8"/>
      <c r="G233" s="8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2"/>
      <c r="T233" s="12"/>
      <c r="U233" s="12"/>
      <c r="V233" s="10"/>
    </row>
    <row r="234" spans="1:22" x14ac:dyDescent="0.2">
      <c r="A234" s="8"/>
      <c r="B234" s="8"/>
      <c r="C234" s="8"/>
      <c r="D234" s="8"/>
      <c r="E234" s="8"/>
      <c r="F234" s="8"/>
      <c r="G234" s="8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2"/>
      <c r="T234" s="12"/>
      <c r="U234" s="12"/>
      <c r="V234" s="10"/>
    </row>
    <row r="235" spans="1:22" x14ac:dyDescent="0.2">
      <c r="A235" s="8"/>
      <c r="B235" s="8"/>
      <c r="C235" s="8"/>
      <c r="D235" s="8"/>
      <c r="E235" s="8"/>
      <c r="F235" s="8"/>
      <c r="G235" s="8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2"/>
      <c r="T235" s="12"/>
      <c r="U235" s="12"/>
      <c r="V235" s="10"/>
    </row>
    <row r="236" spans="1:22" x14ac:dyDescent="0.2">
      <c r="A236" s="8"/>
      <c r="B236" s="8"/>
      <c r="C236" s="8"/>
      <c r="D236" s="8"/>
      <c r="E236" s="8"/>
      <c r="F236" s="8"/>
      <c r="G236" s="8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2"/>
      <c r="T236" s="12"/>
      <c r="U236" s="12"/>
      <c r="V236" s="10"/>
    </row>
    <row r="237" spans="1:22" x14ac:dyDescent="0.2">
      <c r="A237" s="8"/>
      <c r="B237" s="8"/>
      <c r="C237" s="8"/>
      <c r="D237" s="8"/>
      <c r="E237" s="8"/>
      <c r="F237" s="8"/>
      <c r="G237" s="8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2"/>
      <c r="T237" s="12"/>
      <c r="U237" s="12"/>
      <c r="V237" s="10"/>
    </row>
    <row r="238" spans="1:22" x14ac:dyDescent="0.2">
      <c r="A238" s="8"/>
      <c r="B238" s="8"/>
      <c r="C238" s="8"/>
      <c r="D238" s="8"/>
      <c r="E238" s="8"/>
      <c r="F238" s="8"/>
      <c r="G238" s="8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2"/>
      <c r="T238" s="12"/>
      <c r="U238" s="12"/>
      <c r="V238" s="10"/>
    </row>
    <row r="239" spans="1:22" x14ac:dyDescent="0.2">
      <c r="A239" s="8"/>
      <c r="B239" s="8"/>
      <c r="C239" s="8"/>
      <c r="D239" s="8"/>
      <c r="E239" s="8"/>
      <c r="F239" s="8"/>
      <c r="G239" s="8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2"/>
      <c r="T239" s="12"/>
      <c r="U239" s="12"/>
      <c r="V239" s="10"/>
    </row>
    <row r="240" spans="1:22" x14ac:dyDescent="0.2">
      <c r="A240" s="8"/>
      <c r="B240" s="8"/>
      <c r="C240" s="8"/>
      <c r="D240" s="8"/>
      <c r="E240" s="8"/>
      <c r="F240" s="8"/>
      <c r="G240" s="8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2"/>
      <c r="T240" s="12"/>
      <c r="U240" s="12"/>
      <c r="V240" s="10"/>
    </row>
    <row r="241" spans="1:22" x14ac:dyDescent="0.2">
      <c r="A241" s="8"/>
      <c r="B241" s="131"/>
      <c r="C241" s="131"/>
      <c r="D241" s="131"/>
      <c r="E241" s="131"/>
      <c r="F241" s="45"/>
      <c r="G241" s="4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2"/>
      <c r="T241" s="12"/>
      <c r="U241" s="12"/>
      <c r="V241" s="10"/>
    </row>
    <row r="242" spans="1:22" x14ac:dyDescent="0.2">
      <c r="A242" s="8"/>
      <c r="B242" s="131"/>
      <c r="C242" s="131"/>
      <c r="D242" s="131"/>
      <c r="E242" s="131"/>
      <c r="F242" s="45"/>
      <c r="G242" s="4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2"/>
      <c r="T242" s="12"/>
      <c r="U242" s="12"/>
      <c r="V242" s="10"/>
    </row>
    <row r="243" spans="1:22" x14ac:dyDescent="0.2">
      <c r="A243" s="8"/>
      <c r="B243" s="131"/>
      <c r="C243" s="131"/>
      <c r="D243" s="131"/>
      <c r="E243" s="131"/>
      <c r="F243" s="45"/>
      <c r="G243" s="4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2"/>
      <c r="T243" s="12"/>
      <c r="U243" s="12"/>
      <c r="V243" s="10"/>
    </row>
    <row r="244" spans="1:22" x14ac:dyDescent="0.2">
      <c r="A244" s="8"/>
      <c r="B244" s="131"/>
      <c r="C244" s="131"/>
      <c r="D244" s="131"/>
      <c r="E244" s="131"/>
      <c r="F244" s="45"/>
      <c r="G244" s="4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2"/>
      <c r="T244" s="12"/>
      <c r="U244" s="12"/>
      <c r="V244" s="10"/>
    </row>
    <row r="245" spans="1:22" x14ac:dyDescent="0.2">
      <c r="A245" s="8"/>
      <c r="B245" s="131"/>
      <c r="C245" s="131"/>
      <c r="D245" s="131"/>
      <c r="E245" s="131"/>
      <c r="F245" s="45"/>
      <c r="G245" s="4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2"/>
      <c r="T245" s="12"/>
      <c r="U245" s="12"/>
      <c r="V245" s="10"/>
    </row>
    <row r="246" spans="1:22" x14ac:dyDescent="0.2">
      <c r="A246" s="8"/>
      <c r="B246" s="131"/>
      <c r="C246" s="131"/>
      <c r="D246" s="131"/>
      <c r="E246" s="131"/>
      <c r="F246" s="45"/>
      <c r="G246" s="4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2"/>
      <c r="T246" s="12"/>
      <c r="U246" s="12"/>
      <c r="V246" s="10"/>
    </row>
    <row r="247" spans="1:22" x14ac:dyDescent="0.2">
      <c r="A247" s="8"/>
      <c r="B247" s="131"/>
      <c r="C247" s="131"/>
      <c r="D247" s="131"/>
      <c r="E247" s="131"/>
      <c r="F247" s="45"/>
      <c r="G247" s="4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2"/>
      <c r="T247" s="12"/>
      <c r="U247" s="12"/>
      <c r="V247" s="10"/>
    </row>
    <row r="248" spans="1:22" x14ac:dyDescent="0.2">
      <c r="A248" s="8"/>
      <c r="B248" s="131"/>
      <c r="C248" s="131"/>
      <c r="D248" s="131"/>
      <c r="E248" s="131"/>
      <c r="F248" s="45"/>
      <c r="G248" s="4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2"/>
      <c r="T248" s="12"/>
      <c r="U248" s="12"/>
      <c r="V248" s="10"/>
    </row>
    <row r="249" spans="1:22" x14ac:dyDescent="0.2">
      <c r="A249" s="8"/>
      <c r="B249" s="131"/>
      <c r="C249" s="131"/>
      <c r="D249" s="131"/>
      <c r="E249" s="131"/>
      <c r="F249" s="45"/>
      <c r="G249" s="4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2"/>
      <c r="T249" s="12"/>
      <c r="U249" s="12"/>
      <c r="V249" s="10"/>
    </row>
    <row r="250" spans="1:22" x14ac:dyDescent="0.2">
      <c r="A250" s="8"/>
      <c r="B250" s="131"/>
      <c r="C250" s="131"/>
      <c r="D250" s="131"/>
      <c r="E250" s="131"/>
      <c r="F250" s="45"/>
      <c r="G250" s="4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2"/>
      <c r="T250" s="12"/>
      <c r="U250" s="12"/>
      <c r="V250" s="10"/>
    </row>
    <row r="251" spans="1:22" x14ac:dyDescent="0.2">
      <c r="A251" s="8"/>
      <c r="B251" s="131"/>
      <c r="C251" s="131"/>
      <c r="D251" s="131"/>
      <c r="E251" s="131"/>
      <c r="F251" s="45"/>
      <c r="G251" s="4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2"/>
      <c r="T251" s="12"/>
      <c r="U251" s="12"/>
      <c r="V251" s="10"/>
    </row>
    <row r="252" spans="1:22" x14ac:dyDescent="0.2">
      <c r="A252" s="8"/>
      <c r="B252" s="131"/>
      <c r="C252" s="131"/>
      <c r="D252" s="131"/>
      <c r="E252" s="131"/>
      <c r="F252" s="45"/>
      <c r="G252" s="4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2"/>
      <c r="T252" s="12"/>
      <c r="U252" s="12"/>
      <c r="V252" s="10"/>
    </row>
    <row r="253" spans="1:22" x14ac:dyDescent="0.2">
      <c r="A253" s="8"/>
      <c r="B253" s="131"/>
      <c r="C253" s="131"/>
      <c r="D253" s="131"/>
      <c r="E253" s="131"/>
      <c r="F253" s="45"/>
      <c r="G253" s="4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2"/>
      <c r="T253" s="12"/>
      <c r="U253" s="12"/>
      <c r="V253" s="10"/>
    </row>
    <row r="254" spans="1:22" x14ac:dyDescent="0.2">
      <c r="A254" s="8"/>
      <c r="B254" s="131"/>
      <c r="C254" s="131"/>
      <c r="D254" s="131"/>
      <c r="E254" s="131"/>
      <c r="F254" s="45"/>
      <c r="G254" s="4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2"/>
      <c r="T254" s="12"/>
      <c r="U254" s="12"/>
      <c r="V254" s="10"/>
    </row>
    <row r="255" spans="1:22" x14ac:dyDescent="0.2">
      <c r="A255" s="8"/>
      <c r="B255" s="131"/>
      <c r="C255" s="131"/>
      <c r="D255" s="131"/>
      <c r="E255" s="131"/>
      <c r="F255" s="45"/>
      <c r="G255" s="4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2"/>
      <c r="T255" s="12"/>
      <c r="U255" s="12"/>
      <c r="V255" s="10"/>
    </row>
    <row r="256" spans="1:22" x14ac:dyDescent="0.2">
      <c r="A256" s="8"/>
      <c r="B256" s="131"/>
      <c r="C256" s="131"/>
      <c r="D256" s="131"/>
      <c r="E256" s="131"/>
      <c r="F256" s="45"/>
      <c r="G256" s="4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2"/>
      <c r="T256" s="12"/>
      <c r="U256" s="12"/>
      <c r="V256" s="10"/>
    </row>
    <row r="257" spans="1:22" x14ac:dyDescent="0.2">
      <c r="A257" s="185" t="s">
        <v>541</v>
      </c>
      <c r="B257" s="9" t="s">
        <v>543</v>
      </c>
      <c r="C257" s="8"/>
      <c r="D257" s="8"/>
      <c r="E257" s="8"/>
      <c r="F257" s="8"/>
      <c r="G257" s="8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2"/>
      <c r="T257" s="12"/>
      <c r="U257" s="12"/>
      <c r="V257" s="10"/>
    </row>
    <row r="258" spans="1:22" x14ac:dyDescent="0.2">
      <c r="A258" s="185" t="s">
        <v>542</v>
      </c>
      <c r="B258" s="9"/>
      <c r="C258" s="8"/>
      <c r="D258" s="8"/>
      <c r="E258" s="8"/>
      <c r="F258" s="8"/>
      <c r="G258" s="8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2"/>
      <c r="T258" s="12"/>
      <c r="U258" s="12"/>
      <c r="V258" s="10"/>
    </row>
    <row r="259" spans="1:22" x14ac:dyDescent="0.2">
      <c r="A259" s="185"/>
      <c r="B259" s="9"/>
      <c r="C259" s="8"/>
      <c r="D259" s="8"/>
      <c r="E259" s="8"/>
      <c r="F259" s="8"/>
      <c r="G259" s="8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2"/>
      <c r="T259" s="12"/>
      <c r="U259" s="12"/>
      <c r="V259" s="10"/>
    </row>
    <row r="260" spans="1:22" x14ac:dyDescent="0.2">
      <c r="A260" s="185" t="s">
        <v>687</v>
      </c>
      <c r="B260" s="9"/>
      <c r="C260" s="8"/>
      <c r="D260" s="8"/>
      <c r="E260" s="8"/>
      <c r="F260" s="8"/>
      <c r="G260" s="8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2"/>
      <c r="T260" s="12"/>
      <c r="U260" s="12"/>
      <c r="V260" s="10"/>
    </row>
    <row r="261" spans="1:22" x14ac:dyDescent="0.2">
      <c r="A261" s="8" t="s">
        <v>688</v>
      </c>
      <c r="B261" s="8"/>
      <c r="C261" s="8"/>
      <c r="E261" s="8"/>
      <c r="F261" s="8"/>
      <c r="G261" s="8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2"/>
      <c r="T261" s="12"/>
      <c r="U261" s="12"/>
      <c r="V261" s="10"/>
    </row>
    <row r="262" spans="1:22" x14ac:dyDescent="0.2">
      <c r="A262" s="186"/>
      <c r="B262" s="9"/>
      <c r="C262" s="8"/>
      <c r="D262" s="8"/>
      <c r="E262" s="8" t="s">
        <v>689</v>
      </c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2"/>
      <c r="T262" s="12"/>
      <c r="U262" s="12"/>
      <c r="V262" s="10"/>
    </row>
    <row r="263" spans="1:22" x14ac:dyDescent="0.2">
      <c r="A263" s="361" t="s">
        <v>690</v>
      </c>
      <c r="B263" s="8"/>
      <c r="C263" s="120" t="str">
        <f>+E78</f>
        <v>V</v>
      </c>
      <c r="D263" s="120">
        <f>+E79</f>
        <v>0.4</v>
      </c>
      <c r="E263" s="120" t="s">
        <v>691</v>
      </c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2"/>
      <c r="T263" s="12"/>
      <c r="U263" s="12"/>
      <c r="V263" s="10"/>
    </row>
    <row r="264" spans="1:22" x14ac:dyDescent="0.2">
      <c r="A264" s="361" t="s">
        <v>692</v>
      </c>
      <c r="B264" s="8"/>
      <c r="C264" s="120" t="str">
        <f>+E80</f>
        <v>D</v>
      </c>
      <c r="D264" s="120"/>
      <c r="E264" s="44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2"/>
      <c r="T264" s="12"/>
      <c r="U264" s="12"/>
      <c r="V264" s="10"/>
    </row>
    <row r="265" spans="1:22" x14ac:dyDescent="0.2">
      <c r="A265" s="361" t="s">
        <v>693</v>
      </c>
      <c r="B265" s="8"/>
      <c r="C265" s="44" t="s">
        <v>694</v>
      </c>
      <c r="D265" s="120">
        <f>+E83</f>
        <v>1.2</v>
      </c>
      <c r="E265" s="120" t="s">
        <v>695</v>
      </c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2"/>
      <c r="T265" s="12"/>
      <c r="U265" s="12"/>
      <c r="V265" s="10"/>
    </row>
    <row r="266" spans="1:22" x14ac:dyDescent="0.2">
      <c r="A266" s="361" t="s">
        <v>696</v>
      </c>
      <c r="B266" s="8"/>
      <c r="C266" s="44" t="s">
        <v>697</v>
      </c>
      <c r="D266" s="120">
        <f>+E84</f>
        <v>1.19</v>
      </c>
      <c r="E266" s="120" t="s">
        <v>698</v>
      </c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2"/>
      <c r="T266" s="12"/>
      <c r="U266" s="12"/>
      <c r="V266" s="10"/>
    </row>
    <row r="267" spans="1:22" x14ac:dyDescent="0.2">
      <c r="A267" s="361" t="s">
        <v>699</v>
      </c>
      <c r="B267" s="8"/>
      <c r="C267" s="44" t="s">
        <v>700</v>
      </c>
      <c r="D267" s="120">
        <f>+E85</f>
        <v>1.28</v>
      </c>
      <c r="E267" s="120" t="s">
        <v>701</v>
      </c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2"/>
      <c r="T267" s="12"/>
      <c r="U267" s="12"/>
      <c r="V267" s="10"/>
    </row>
    <row r="268" spans="1:22" x14ac:dyDescent="0.2">
      <c r="A268" s="361" t="s">
        <v>702</v>
      </c>
      <c r="B268" s="8"/>
      <c r="C268" s="120" t="s">
        <v>703</v>
      </c>
      <c r="D268" s="120">
        <v>2.48</v>
      </c>
      <c r="E268" s="12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2"/>
      <c r="T268" s="12"/>
      <c r="U268" s="12"/>
      <c r="V268" s="10"/>
    </row>
    <row r="269" spans="1:22" x14ac:dyDescent="0.2">
      <c r="A269" s="361" t="s">
        <v>704</v>
      </c>
      <c r="B269" s="186"/>
      <c r="C269" s="120">
        <v>1</v>
      </c>
      <c r="D269" s="44" t="s">
        <v>705</v>
      </c>
      <c r="F269" s="120" t="s">
        <v>706</v>
      </c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2"/>
      <c r="T269" s="12"/>
      <c r="U269" s="12"/>
      <c r="V269" s="10"/>
    </row>
    <row r="270" spans="1:22" x14ac:dyDescent="0.2">
      <c r="A270" s="186"/>
      <c r="B270" s="120" t="s">
        <v>707</v>
      </c>
      <c r="D270" s="44">
        <v>9.81</v>
      </c>
      <c r="G270" s="44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2"/>
      <c r="T270" s="12"/>
      <c r="U270" s="12"/>
      <c r="V270" s="10"/>
    </row>
    <row r="271" spans="1:22" x14ac:dyDescent="0.2">
      <c r="A271" s="187"/>
      <c r="B271" s="120" t="s">
        <v>722</v>
      </c>
      <c r="C271" s="132" t="s">
        <v>786</v>
      </c>
      <c r="D271" s="332">
        <f>0.1*D267*D266/D265</f>
        <v>0.12693333333333331</v>
      </c>
      <c r="E271" s="44"/>
      <c r="F271" s="44"/>
      <c r="G271" s="12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2"/>
      <c r="T271" s="12"/>
      <c r="U271" s="12"/>
      <c r="V271" s="10"/>
    </row>
    <row r="272" spans="1:22" x14ac:dyDescent="0.2">
      <c r="B272" s="120" t="s">
        <v>708</v>
      </c>
      <c r="C272" s="117" t="s">
        <v>709</v>
      </c>
      <c r="D272" s="332">
        <f>0.55*D267*D266/D265</f>
        <v>0.69813333333333338</v>
      </c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2"/>
      <c r="T272" s="12"/>
      <c r="U272" s="12"/>
      <c r="V272" s="10"/>
    </row>
    <row r="273" spans="1:22" x14ac:dyDescent="0.2">
      <c r="A273" s="187"/>
      <c r="B273" s="120" t="s">
        <v>710</v>
      </c>
      <c r="C273" s="132" t="s">
        <v>711</v>
      </c>
      <c r="D273" s="332">
        <f>2.4*D272</f>
        <v>1.6755200000000001</v>
      </c>
      <c r="E273" s="44"/>
      <c r="F273" s="120"/>
      <c r="G273" s="12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2"/>
      <c r="T273" s="12"/>
      <c r="U273" s="12"/>
      <c r="V273" s="10"/>
    </row>
    <row r="274" spans="1:22" x14ac:dyDescent="0.2">
      <c r="A274" s="187"/>
      <c r="B274" s="120" t="s">
        <v>734</v>
      </c>
      <c r="C274" s="132" t="s">
        <v>712</v>
      </c>
      <c r="D274" s="334">
        <f>+D268*D263*D265</f>
        <v>1.1903999999999999</v>
      </c>
      <c r="F274" s="120"/>
      <c r="G274" s="12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2"/>
      <c r="T274" s="12"/>
      <c r="U274" s="12"/>
      <c r="V274" s="10"/>
    </row>
    <row r="275" spans="1:22" x14ac:dyDescent="0.2">
      <c r="A275" s="186"/>
      <c r="B275" s="120" t="s">
        <v>713</v>
      </c>
      <c r="C275" s="132" t="s">
        <v>714</v>
      </c>
      <c r="D275" s="334">
        <f>+D274*(D272/C289)^C278</f>
        <v>1.8293583888179059</v>
      </c>
      <c r="F275" s="44"/>
      <c r="G275" s="44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2"/>
      <c r="T275" s="12"/>
      <c r="U275" s="12"/>
      <c r="V275" s="10"/>
    </row>
    <row r="276" spans="1:22" x14ac:dyDescent="0.2">
      <c r="A276" s="186"/>
      <c r="B276" s="120" t="s">
        <v>735</v>
      </c>
      <c r="C276" s="117" t="s">
        <v>736</v>
      </c>
      <c r="D276" s="334">
        <f>+(1-(D268-1)*C289/C290)*D265*D263</f>
        <v>-2.0624929901272471</v>
      </c>
      <c r="F276" s="44"/>
      <c r="G276" s="44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2"/>
      <c r="T276" s="12"/>
      <c r="U276" s="12"/>
      <c r="V276" s="10"/>
    </row>
    <row r="277" spans="1:22" x14ac:dyDescent="0.2">
      <c r="A277" s="186"/>
      <c r="B277" s="8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2"/>
      <c r="T277" s="12"/>
      <c r="U277" s="12"/>
      <c r="V277" s="10"/>
    </row>
    <row r="278" spans="1:22" x14ac:dyDescent="0.2">
      <c r="A278" s="187" t="s">
        <v>715</v>
      </c>
      <c r="C278" s="120">
        <v>1</v>
      </c>
      <c r="D278" t="s">
        <v>716</v>
      </c>
      <c r="E278" s="8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2"/>
      <c r="T278" s="12"/>
      <c r="U278" s="12"/>
      <c r="V278" s="10"/>
    </row>
    <row r="279" spans="1:22" x14ac:dyDescent="0.2">
      <c r="A279" s="8"/>
      <c r="B279" s="44"/>
      <c r="C279" s="8"/>
      <c r="E279" s="8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2"/>
      <c r="T279" s="12"/>
      <c r="U279" s="12"/>
      <c r="V279" s="10"/>
    </row>
    <row r="280" spans="1:22" x14ac:dyDescent="0.2">
      <c r="A280" s="8"/>
      <c r="B280" s="44"/>
      <c r="C280" s="8"/>
      <c r="E280" s="8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2"/>
      <c r="T280" s="12"/>
      <c r="U280" s="12"/>
      <c r="V280" s="10"/>
    </row>
    <row r="281" spans="1:22" x14ac:dyDescent="0.2">
      <c r="A281" s="8"/>
      <c r="B281" s="44"/>
      <c r="C281" s="8"/>
      <c r="E281" s="8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2"/>
      <c r="T281" s="12"/>
      <c r="U281" s="12"/>
      <c r="V281" s="10"/>
    </row>
    <row r="282" spans="1:22" x14ac:dyDescent="0.2">
      <c r="A282" s="8"/>
      <c r="B282" s="44"/>
      <c r="C282" s="8"/>
      <c r="E282" s="8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2"/>
      <c r="T282" s="12"/>
      <c r="U282" s="12"/>
      <c r="V282" s="10"/>
    </row>
    <row r="283" spans="1:22" x14ac:dyDescent="0.2">
      <c r="A283" s="9" t="s">
        <v>785</v>
      </c>
      <c r="B283" s="44"/>
      <c r="C283" s="8"/>
      <c r="E283" s="8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2"/>
      <c r="T283" s="12"/>
      <c r="U283" s="12"/>
      <c r="V283" s="10"/>
    </row>
    <row r="284" spans="1:22" x14ac:dyDescent="0.2">
      <c r="A284" s="8"/>
      <c r="B284" s="187" t="s">
        <v>717</v>
      </c>
      <c r="D284" s="16">
        <f>+E104</f>
        <v>1.2149359450615005</v>
      </c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2"/>
      <c r="T284" s="12"/>
      <c r="U284" s="12"/>
      <c r="V284" s="10"/>
    </row>
    <row r="285" spans="1:22" x14ac:dyDescent="0.2">
      <c r="A285" s="8" t="s">
        <v>615</v>
      </c>
      <c r="B285" s="186">
        <v>4.5</v>
      </c>
      <c r="C285" s="8" t="s">
        <v>765</v>
      </c>
      <c r="D285" s="8"/>
      <c r="E285" s="8"/>
      <c r="F285" s="44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2"/>
      <c r="T285" s="12"/>
      <c r="U285" s="12"/>
      <c r="V285" s="10"/>
    </row>
    <row r="286" spans="1:22" x14ac:dyDescent="0.2">
      <c r="A286" s="8"/>
      <c r="B286" s="44" t="s">
        <v>718</v>
      </c>
      <c r="C286" s="334">
        <f>+E106</f>
        <v>7.1999999999999995E-2</v>
      </c>
      <c r="D286" s="44"/>
      <c r="E286" s="44"/>
      <c r="F286" s="44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2"/>
      <c r="T286" s="12"/>
      <c r="U286" s="12"/>
      <c r="V286" s="10"/>
    </row>
    <row r="287" spans="1:22" x14ac:dyDescent="0.2">
      <c r="A287" s="8"/>
      <c r="B287" s="120" t="s">
        <v>719</v>
      </c>
      <c r="C287" s="334">
        <f>+E107</f>
        <v>0.8</v>
      </c>
      <c r="D287" s="120"/>
      <c r="E287" s="120"/>
      <c r="F287" s="44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2"/>
      <c r="T287" s="12"/>
      <c r="U287" s="12"/>
      <c r="V287" s="10"/>
    </row>
    <row r="288" spans="1:22" x14ac:dyDescent="0.2">
      <c r="A288" s="8"/>
      <c r="B288" s="120" t="s">
        <v>302</v>
      </c>
      <c r="C288" s="334">
        <v>10</v>
      </c>
      <c r="D288" s="120" t="s">
        <v>720</v>
      </c>
      <c r="E288" s="120"/>
      <c r="F288" s="44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2"/>
      <c r="T288" s="12"/>
      <c r="U288" s="12"/>
      <c r="V288" s="10"/>
    </row>
    <row r="289" spans="1:22" x14ac:dyDescent="0.2">
      <c r="A289" s="8"/>
      <c r="B289" s="120" t="s">
        <v>721</v>
      </c>
      <c r="C289" s="334">
        <f>+C286*C288^C287</f>
        <v>0.45428928802573926</v>
      </c>
      <c r="D289" s="120"/>
      <c r="E289" s="120"/>
      <c r="F289" s="44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2"/>
      <c r="T289" s="12"/>
      <c r="U289" s="12"/>
      <c r="V289" s="10"/>
    </row>
    <row r="290" spans="1:22" x14ac:dyDescent="0.2">
      <c r="A290" s="8"/>
      <c r="B290" s="120" t="s">
        <v>722</v>
      </c>
      <c r="C290" s="334">
        <f>+D271</f>
        <v>0.12693333333333331</v>
      </c>
      <c r="D290" s="120"/>
      <c r="E290" s="120"/>
      <c r="F290" s="44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2"/>
      <c r="T290" s="12"/>
      <c r="U290" s="12"/>
      <c r="V290" s="10"/>
    </row>
    <row r="291" spans="1:22" x14ac:dyDescent="0.2">
      <c r="A291" s="8"/>
      <c r="B291" s="120" t="s">
        <v>708</v>
      </c>
      <c r="C291" s="334">
        <f>+D272</f>
        <v>0.69813333333333338</v>
      </c>
      <c r="D291" s="120"/>
      <c r="E291" s="120"/>
      <c r="F291" s="44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2"/>
      <c r="T291" s="12"/>
      <c r="U291" s="12"/>
      <c r="V291" s="10"/>
    </row>
    <row r="292" spans="1:22" x14ac:dyDescent="0.2">
      <c r="A292" s="8"/>
      <c r="B292" s="120"/>
      <c r="C292" s="334"/>
      <c r="D292" s="120"/>
      <c r="E292" s="120"/>
      <c r="F292" s="44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2"/>
      <c r="T292" s="12"/>
      <c r="U292" s="12"/>
      <c r="V292" s="10"/>
    </row>
    <row r="293" spans="1:22" x14ac:dyDescent="0.2">
      <c r="A293" s="8"/>
      <c r="B293" s="120" t="s">
        <v>723</v>
      </c>
      <c r="C293" s="334">
        <f>+D275</f>
        <v>1.8293583888179059</v>
      </c>
      <c r="D293" s="120" t="s">
        <v>724</v>
      </c>
      <c r="E293" s="44"/>
      <c r="F293" s="44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2"/>
      <c r="T293" s="12"/>
      <c r="U293" s="12"/>
      <c r="V293" s="10"/>
    </row>
    <row r="294" spans="1:22" x14ac:dyDescent="0.2">
      <c r="A294" s="8"/>
      <c r="B294" s="120" t="s">
        <v>723</v>
      </c>
      <c r="C294" s="334">
        <f>+D274</f>
        <v>1.1903999999999999</v>
      </c>
      <c r="D294" s="120" t="s">
        <v>725</v>
      </c>
      <c r="E294" s="44"/>
      <c r="F294" s="44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2"/>
      <c r="T294" s="12"/>
      <c r="U294" s="12"/>
      <c r="V294" s="10"/>
    </row>
    <row r="295" spans="1:22" x14ac:dyDescent="0.2">
      <c r="A295" s="8"/>
      <c r="B295" s="120" t="s">
        <v>723</v>
      </c>
      <c r="C295" s="334">
        <f>+D276</f>
        <v>-2.0624929901272471</v>
      </c>
      <c r="D295" s="120" t="s">
        <v>726</v>
      </c>
      <c r="E295" s="120"/>
      <c r="F295" s="44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2"/>
      <c r="T295" s="12"/>
      <c r="U295" s="12"/>
      <c r="V295" s="10"/>
    </row>
    <row r="296" spans="1:22" x14ac:dyDescent="0.2">
      <c r="A296" s="8"/>
      <c r="B296" s="120"/>
      <c r="C296" s="334"/>
      <c r="D296" s="120"/>
      <c r="E296" s="120"/>
      <c r="F296" s="44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2"/>
      <c r="T296" s="12"/>
      <c r="U296" s="12"/>
      <c r="V296" s="10"/>
    </row>
    <row r="297" spans="1:22" x14ac:dyDescent="0.2">
      <c r="A297" s="8"/>
      <c r="B297" s="120" t="s">
        <v>727</v>
      </c>
      <c r="C297" s="334">
        <f>+C294</f>
        <v>1.1903999999999999</v>
      </c>
      <c r="D297" s="120"/>
      <c r="E297" s="120"/>
      <c r="F297" s="44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2"/>
      <c r="T297" s="12"/>
      <c r="U297" s="12"/>
      <c r="V297" s="10"/>
    </row>
    <row r="298" spans="1:22" x14ac:dyDescent="0.2">
      <c r="A298" s="8"/>
      <c r="B298" s="120"/>
      <c r="D298" s="8"/>
      <c r="E298" s="8"/>
      <c r="F298" s="44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2"/>
      <c r="T298" s="12"/>
      <c r="U298" s="12"/>
      <c r="V298" s="10"/>
    </row>
    <row r="299" spans="1:22" x14ac:dyDescent="0.2">
      <c r="A299" s="8" t="s">
        <v>728</v>
      </c>
      <c r="B299" s="120"/>
      <c r="D299" s="8"/>
      <c r="E299" s="8"/>
      <c r="F299" s="44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2"/>
      <c r="T299" s="12"/>
      <c r="U299" s="12"/>
      <c r="V299" s="10"/>
    </row>
    <row r="300" spans="1:22" ht="13.5" thickBot="1" x14ac:dyDescent="0.25">
      <c r="A300" s="8"/>
      <c r="B300" s="120"/>
      <c r="D300" s="8"/>
      <c r="E300" s="8"/>
      <c r="F300" s="44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2"/>
      <c r="T300" s="12"/>
      <c r="U300" s="12"/>
      <c r="V300" s="10"/>
    </row>
    <row r="301" spans="1:22" ht="18" x14ac:dyDescent="0.25">
      <c r="A301" s="335" t="s">
        <v>733</v>
      </c>
      <c r="B301" s="336"/>
      <c r="C301" s="337" t="s">
        <v>391</v>
      </c>
      <c r="D301" s="338">
        <f>+C269*C297/(B285*C88*C89)</f>
        <v>0.26453333333333329</v>
      </c>
      <c r="E301" s="339" t="s">
        <v>3</v>
      </c>
      <c r="F301" s="44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2"/>
      <c r="T301" s="12"/>
      <c r="U301" s="12"/>
      <c r="V301" s="10"/>
    </row>
    <row r="302" spans="1:22" ht="13.5" thickBot="1" x14ac:dyDescent="0.25">
      <c r="A302" s="340"/>
      <c r="B302" s="341"/>
      <c r="C302" s="342"/>
      <c r="D302" s="343"/>
      <c r="E302" s="344"/>
      <c r="F302" s="44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2"/>
      <c r="T302" s="12"/>
      <c r="U302" s="12"/>
      <c r="V302" s="10"/>
    </row>
    <row r="303" spans="1:22" x14ac:dyDescent="0.2">
      <c r="A303" s="8"/>
      <c r="B303" s="8" t="s">
        <v>764</v>
      </c>
      <c r="D303">
        <f>+D301/E96</f>
        <v>1</v>
      </c>
      <c r="E303" s="8"/>
      <c r="F303" s="44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2"/>
      <c r="T303" s="12"/>
      <c r="U303" s="12"/>
      <c r="V303" s="10"/>
    </row>
    <row r="304" spans="1:22" x14ac:dyDescent="0.2">
      <c r="A304" s="120"/>
      <c r="B304" t="s">
        <v>615</v>
      </c>
      <c r="D304" s="8">
        <v>4.5</v>
      </c>
      <c r="F304" s="44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2"/>
      <c r="T304" s="12"/>
      <c r="U304" s="12"/>
      <c r="V304" s="10"/>
    </row>
    <row r="305" spans="1:22" x14ac:dyDescent="0.2">
      <c r="A305" s="186"/>
      <c r="B305" s="120"/>
      <c r="E305" s="8"/>
      <c r="G305" s="44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2"/>
      <c r="T305" s="12"/>
      <c r="U305" s="12"/>
      <c r="V305" s="10"/>
    </row>
    <row r="306" spans="1:22" x14ac:dyDescent="0.2">
      <c r="A306" s="186"/>
      <c r="B306" s="8"/>
      <c r="C306" s="8" t="s">
        <v>739</v>
      </c>
      <c r="E306" s="8"/>
      <c r="F306" s="8"/>
      <c r="G306" s="44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2"/>
      <c r="T306" s="12"/>
      <c r="U306" s="12"/>
      <c r="V306" s="10"/>
    </row>
    <row r="307" spans="1:22" x14ac:dyDescent="0.2">
      <c r="A307" s="186"/>
      <c r="B307" s="8"/>
      <c r="C307" s="120"/>
      <c r="D307" t="s">
        <v>729</v>
      </c>
      <c r="E307" s="8">
        <f>+C88</f>
        <v>1</v>
      </c>
      <c r="F307" s="8"/>
      <c r="G307" s="44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2"/>
      <c r="T307" s="12"/>
      <c r="U307" s="12"/>
      <c r="V307" s="10"/>
    </row>
    <row r="308" spans="1:22" x14ac:dyDescent="0.2">
      <c r="A308" s="186"/>
      <c r="B308" s="8"/>
      <c r="C308" s="120"/>
      <c r="D308" t="s">
        <v>730</v>
      </c>
      <c r="E308" s="8">
        <f>+C89</f>
        <v>1</v>
      </c>
      <c r="F308" s="8"/>
      <c r="G308" s="44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2"/>
      <c r="T308" s="12"/>
      <c r="U308" s="12"/>
      <c r="V308" s="10"/>
    </row>
    <row r="309" spans="1:22" x14ac:dyDescent="0.2">
      <c r="A309" s="186"/>
      <c r="B309" s="8"/>
      <c r="C309" s="120"/>
      <c r="E309" s="8"/>
      <c r="F309" s="8"/>
      <c r="G309" s="44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2"/>
      <c r="T309" s="12"/>
      <c r="U309" s="12"/>
      <c r="V309" s="10"/>
    </row>
    <row r="310" spans="1:22" x14ac:dyDescent="0.2">
      <c r="A310" s="186"/>
      <c r="B310" s="120" t="s">
        <v>540</v>
      </c>
      <c r="C310" s="44" t="s">
        <v>553</v>
      </c>
      <c r="D310" s="120" t="s">
        <v>732</v>
      </c>
      <c r="E310" s="120" t="s">
        <v>731</v>
      </c>
      <c r="G310" s="44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2"/>
      <c r="T310" s="12"/>
      <c r="U310" s="12"/>
      <c r="V310" s="10"/>
    </row>
    <row r="311" spans="1:22" x14ac:dyDescent="0.2">
      <c r="A311" s="186"/>
      <c r="B311" s="120">
        <v>0</v>
      </c>
      <c r="C311" s="346">
        <v>1.1903999999999999</v>
      </c>
      <c r="D311" s="345">
        <f>+C311*9.81</f>
        <v>11.677823999999999</v>
      </c>
      <c r="E311" s="345">
        <f t="shared" ref="E311:E337" si="0">+D311/$D$304</f>
        <v>2.595072</v>
      </c>
      <c r="G311" s="44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2"/>
      <c r="T311" s="12"/>
      <c r="U311" s="12"/>
      <c r="V311" s="10"/>
    </row>
    <row r="312" spans="1:22" x14ac:dyDescent="0.2">
      <c r="A312" s="186"/>
      <c r="B312" s="120">
        <v>0.1</v>
      </c>
      <c r="C312" s="346">
        <v>1.1903999999999999</v>
      </c>
      <c r="D312" s="345">
        <f t="shared" ref="D312:D337" si="1">+C312*9.81</f>
        <v>11.677823999999999</v>
      </c>
      <c r="E312" s="345">
        <f t="shared" si="0"/>
        <v>2.595072</v>
      </c>
      <c r="G312" s="44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2"/>
      <c r="T312" s="12"/>
      <c r="U312" s="12"/>
      <c r="V312" s="10"/>
    </row>
    <row r="313" spans="1:22" x14ac:dyDescent="0.2">
      <c r="A313" s="186"/>
      <c r="B313" s="120">
        <v>0.2</v>
      </c>
      <c r="C313" s="346">
        <v>1.1903999999999999</v>
      </c>
      <c r="D313" s="345">
        <f t="shared" si="1"/>
        <v>11.677823999999999</v>
      </c>
      <c r="E313" s="345">
        <f t="shared" si="0"/>
        <v>2.595072</v>
      </c>
      <c r="G313" s="44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2"/>
      <c r="T313" s="12"/>
      <c r="U313" s="12"/>
      <c r="V313" s="10"/>
    </row>
    <row r="314" spans="1:22" x14ac:dyDescent="0.2">
      <c r="A314" s="186"/>
      <c r="B314" s="120">
        <v>0.3</v>
      </c>
      <c r="C314" s="346">
        <v>1.1903999999999999</v>
      </c>
      <c r="D314" s="345">
        <f t="shared" si="1"/>
        <v>11.677823999999999</v>
      </c>
      <c r="E314" s="345">
        <f t="shared" si="0"/>
        <v>2.595072</v>
      </c>
      <c r="G314" s="44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2"/>
      <c r="T314" s="12"/>
      <c r="U314" s="12"/>
      <c r="V314" s="10"/>
    </row>
    <row r="315" spans="1:22" x14ac:dyDescent="0.2">
      <c r="A315" s="186"/>
      <c r="B315" s="120">
        <v>0.4</v>
      </c>
      <c r="C315" s="346">
        <v>1.1903999999999999</v>
      </c>
      <c r="D315" s="345">
        <f t="shared" si="1"/>
        <v>11.677823999999999</v>
      </c>
      <c r="E315" s="345">
        <f t="shared" si="0"/>
        <v>2.595072</v>
      </c>
      <c r="G315" s="12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2"/>
      <c r="T315" s="12"/>
      <c r="U315" s="12"/>
      <c r="V315" s="10"/>
    </row>
    <row r="316" spans="1:22" x14ac:dyDescent="0.2">
      <c r="A316" s="186"/>
      <c r="B316" s="120">
        <v>0.5</v>
      </c>
      <c r="C316" s="345">
        <v>1.1903999999999999</v>
      </c>
      <c r="D316" s="345">
        <f t="shared" si="1"/>
        <v>11.677823999999999</v>
      </c>
      <c r="E316" s="345">
        <f t="shared" si="0"/>
        <v>2.595072</v>
      </c>
      <c r="G316" s="12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2"/>
      <c r="T316" s="12"/>
      <c r="U316" s="12"/>
      <c r="V316" s="10"/>
    </row>
    <row r="317" spans="1:22" x14ac:dyDescent="0.2">
      <c r="A317" s="186"/>
      <c r="B317" s="120">
        <v>0.6</v>
      </c>
      <c r="C317" s="345">
        <v>1.1903999999999999</v>
      </c>
      <c r="D317" s="345">
        <f t="shared" si="1"/>
        <v>11.677823999999999</v>
      </c>
      <c r="E317" s="345">
        <f t="shared" si="0"/>
        <v>2.595072</v>
      </c>
      <c r="G317" s="12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2"/>
      <c r="T317" s="12"/>
      <c r="U317" s="12"/>
      <c r="V317" s="10"/>
    </row>
    <row r="318" spans="1:22" x14ac:dyDescent="0.2">
      <c r="A318" s="186"/>
      <c r="B318" s="120">
        <v>0.7</v>
      </c>
      <c r="C318" s="345">
        <f>+C317</f>
        <v>1.1903999999999999</v>
      </c>
      <c r="D318" s="345">
        <f t="shared" si="1"/>
        <v>11.677823999999999</v>
      </c>
      <c r="E318" s="345">
        <f t="shared" si="0"/>
        <v>2.595072</v>
      </c>
      <c r="G318" s="12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2"/>
      <c r="T318" s="12"/>
      <c r="U318" s="12"/>
      <c r="V318" s="10"/>
    </row>
    <row r="319" spans="1:22" x14ac:dyDescent="0.2">
      <c r="A319" s="186"/>
      <c r="B319" s="120">
        <v>0.8</v>
      </c>
      <c r="C319" s="345">
        <f t="shared" ref="C319:C337" si="2">+$C$297*($C$291/B319)^$C$278</f>
        <v>1.0388223999999999</v>
      </c>
      <c r="D319" s="345">
        <f t="shared" si="1"/>
        <v>10.190847743999999</v>
      </c>
      <c r="E319" s="345">
        <f t="shared" si="0"/>
        <v>2.2646328319999998</v>
      </c>
      <c r="G319" s="12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2"/>
      <c r="T319" s="12"/>
      <c r="U319" s="12"/>
      <c r="V319" s="10"/>
    </row>
    <row r="320" spans="1:22" x14ac:dyDescent="0.2">
      <c r="A320" s="186"/>
      <c r="B320" s="120">
        <v>0.9</v>
      </c>
      <c r="C320" s="345">
        <f t="shared" si="2"/>
        <v>0.92339768888888896</v>
      </c>
      <c r="D320" s="345">
        <f t="shared" si="1"/>
        <v>9.0585313280000008</v>
      </c>
      <c r="E320" s="345">
        <f t="shared" si="0"/>
        <v>2.0130069617777782</v>
      </c>
      <c r="G320" s="12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2"/>
      <c r="T320" s="12"/>
      <c r="U320" s="12"/>
      <c r="V320" s="10"/>
    </row>
    <row r="321" spans="1:22" x14ac:dyDescent="0.2">
      <c r="A321" s="186"/>
      <c r="B321" s="120">
        <v>1</v>
      </c>
      <c r="C321" s="345">
        <f t="shared" si="2"/>
        <v>0.83105792000000001</v>
      </c>
      <c r="D321" s="345">
        <f t="shared" si="1"/>
        <v>8.1526781952</v>
      </c>
      <c r="E321" s="345">
        <f t="shared" si="0"/>
        <v>1.8117062656</v>
      </c>
      <c r="G321" s="12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2"/>
      <c r="T321" s="12"/>
      <c r="U321" s="12"/>
      <c r="V321" s="10"/>
    </row>
    <row r="322" spans="1:22" x14ac:dyDescent="0.2">
      <c r="A322" s="186"/>
      <c r="B322" s="120">
        <v>1.1000000000000001</v>
      </c>
      <c r="C322" s="345">
        <f t="shared" si="2"/>
        <v>0.75550720000000005</v>
      </c>
      <c r="D322" s="345">
        <f t="shared" si="1"/>
        <v>7.4115256320000009</v>
      </c>
      <c r="E322" s="345">
        <f t="shared" si="0"/>
        <v>1.6470056960000001</v>
      </c>
      <c r="G322" s="12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2"/>
      <c r="T322" s="12"/>
      <c r="U322" s="12"/>
      <c r="V322" s="10"/>
    </row>
    <row r="323" spans="1:22" x14ac:dyDescent="0.2">
      <c r="A323" s="186"/>
      <c r="B323" s="120">
        <v>1.2</v>
      </c>
      <c r="C323" s="345">
        <f t="shared" si="2"/>
        <v>0.69254826666666669</v>
      </c>
      <c r="D323" s="345">
        <f t="shared" si="1"/>
        <v>6.7938984960000006</v>
      </c>
      <c r="E323" s="345">
        <f t="shared" si="0"/>
        <v>1.5097552213333334</v>
      </c>
      <c r="G323" s="12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2"/>
      <c r="T323" s="12"/>
      <c r="U323" s="12"/>
      <c r="V323" s="10"/>
    </row>
    <row r="324" spans="1:22" x14ac:dyDescent="0.2">
      <c r="A324" s="186"/>
      <c r="B324" s="120">
        <v>1.3</v>
      </c>
      <c r="C324" s="345">
        <f t="shared" si="2"/>
        <v>0.63927532307692314</v>
      </c>
      <c r="D324" s="345">
        <f t="shared" si="1"/>
        <v>6.271290919384616</v>
      </c>
      <c r="E324" s="345">
        <f t="shared" si="0"/>
        <v>1.3936202043076924</v>
      </c>
      <c r="G324" s="8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2"/>
      <c r="T324" s="12"/>
      <c r="U324" s="12"/>
      <c r="V324" s="10"/>
    </row>
    <row r="325" spans="1:22" x14ac:dyDescent="0.2">
      <c r="A325" s="186"/>
      <c r="B325" s="44">
        <v>1.4</v>
      </c>
      <c r="C325" s="345">
        <f t="shared" si="2"/>
        <v>0.59361280000000005</v>
      </c>
      <c r="D325" s="345">
        <f t="shared" si="1"/>
        <v>5.8233415680000009</v>
      </c>
      <c r="E325" s="345">
        <f t="shared" si="0"/>
        <v>1.2940759040000003</v>
      </c>
      <c r="G325" s="8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2"/>
      <c r="T325" s="12"/>
      <c r="U325" s="12"/>
      <c r="V325" s="10"/>
    </row>
    <row r="326" spans="1:22" x14ac:dyDescent="0.2">
      <c r="A326" s="188"/>
      <c r="B326" s="44">
        <v>1.5</v>
      </c>
      <c r="C326" s="345">
        <f t="shared" si="2"/>
        <v>0.55403861333333326</v>
      </c>
      <c r="D326" s="345">
        <f t="shared" si="1"/>
        <v>5.4351187967999994</v>
      </c>
      <c r="E326" s="345">
        <f t="shared" si="0"/>
        <v>1.2078041770666665</v>
      </c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2"/>
      <c r="T326" s="12"/>
      <c r="U326" s="12"/>
      <c r="V326" s="10"/>
    </row>
    <row r="327" spans="1:22" x14ac:dyDescent="0.2">
      <c r="A327" s="188"/>
      <c r="B327" s="44">
        <v>1.6</v>
      </c>
      <c r="C327" s="345">
        <f t="shared" si="2"/>
        <v>0.51941119999999996</v>
      </c>
      <c r="D327" s="345">
        <f t="shared" si="1"/>
        <v>5.0954238719999996</v>
      </c>
      <c r="E327" s="345">
        <f t="shared" si="0"/>
        <v>1.1323164159999999</v>
      </c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2"/>
      <c r="T327" s="12"/>
      <c r="U327" s="12"/>
      <c r="V327" s="10"/>
    </row>
    <row r="328" spans="1:22" x14ac:dyDescent="0.2">
      <c r="A328" s="188"/>
      <c r="B328" s="349">
        <v>1.7</v>
      </c>
      <c r="C328" s="345">
        <f t="shared" si="2"/>
        <v>0.4888576</v>
      </c>
      <c r="D328" s="345">
        <f t="shared" si="1"/>
        <v>4.7956930560000002</v>
      </c>
      <c r="E328" s="345">
        <f t="shared" si="0"/>
        <v>1.0657095679999999</v>
      </c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2"/>
      <c r="T328" s="12"/>
      <c r="U328" s="12"/>
      <c r="V328" s="10"/>
    </row>
    <row r="329" spans="1:22" x14ac:dyDescent="0.2">
      <c r="A329" s="187"/>
      <c r="B329" s="120">
        <v>1.8</v>
      </c>
      <c r="C329" s="345">
        <f t="shared" si="2"/>
        <v>0.46169884444444448</v>
      </c>
      <c r="D329" s="345">
        <f t="shared" si="1"/>
        <v>4.5292656640000004</v>
      </c>
      <c r="E329" s="345">
        <f t="shared" si="0"/>
        <v>1.0065034808888891</v>
      </c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2"/>
      <c r="T329" s="12"/>
      <c r="U329" s="12"/>
      <c r="V329" s="10"/>
    </row>
    <row r="330" spans="1:22" x14ac:dyDescent="0.2">
      <c r="A330" s="187"/>
      <c r="B330" s="120">
        <v>1.9</v>
      </c>
      <c r="C330" s="345">
        <f t="shared" si="2"/>
        <v>0.43739890526315794</v>
      </c>
      <c r="D330" s="345">
        <f t="shared" si="1"/>
        <v>4.2908832606315794</v>
      </c>
      <c r="E330" s="345">
        <f t="shared" si="0"/>
        <v>0.95352961347368437</v>
      </c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2"/>
      <c r="T330" s="12"/>
      <c r="U330" s="12"/>
      <c r="V330" s="10"/>
    </row>
    <row r="331" spans="1:22" x14ac:dyDescent="0.2">
      <c r="A331" s="187"/>
      <c r="B331" s="120">
        <v>2</v>
      </c>
      <c r="C331" s="345">
        <f t="shared" si="2"/>
        <v>0.41552896</v>
      </c>
      <c r="D331" s="345">
        <f t="shared" si="1"/>
        <v>4.0763390976</v>
      </c>
      <c r="E331" s="345">
        <f t="shared" si="0"/>
        <v>0.90585313280000002</v>
      </c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2"/>
      <c r="T331" s="12"/>
      <c r="U331" s="12"/>
      <c r="V331" s="10"/>
    </row>
    <row r="332" spans="1:22" x14ac:dyDescent="0.2">
      <c r="A332" s="187"/>
      <c r="B332" s="120">
        <v>2.5</v>
      </c>
      <c r="C332" s="345">
        <f t="shared" si="2"/>
        <v>0.33242316799999999</v>
      </c>
      <c r="D332" s="345">
        <f t="shared" si="1"/>
        <v>3.2610712780800002</v>
      </c>
      <c r="E332" s="345">
        <f t="shared" si="0"/>
        <v>0.72468250624000008</v>
      </c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2"/>
      <c r="T332" s="12"/>
      <c r="U332" s="12"/>
      <c r="V332" s="10"/>
    </row>
    <row r="333" spans="1:22" x14ac:dyDescent="0.2">
      <c r="A333" s="187"/>
      <c r="B333" s="349">
        <v>3</v>
      </c>
      <c r="C333" s="345">
        <f t="shared" si="2"/>
        <v>0.27701930666666663</v>
      </c>
      <c r="D333" s="345">
        <f t="shared" si="1"/>
        <v>2.7175593983999997</v>
      </c>
      <c r="E333" s="345">
        <f t="shared" si="0"/>
        <v>0.60390208853333327</v>
      </c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2"/>
      <c r="T333" s="12"/>
      <c r="U333" s="12"/>
      <c r="V333" s="10"/>
    </row>
    <row r="334" spans="1:22" x14ac:dyDescent="0.2">
      <c r="A334" s="187"/>
      <c r="B334" s="349">
        <v>3.5</v>
      </c>
      <c r="C334" s="345">
        <f t="shared" si="2"/>
        <v>0.23744512000000001</v>
      </c>
      <c r="D334" s="345">
        <f t="shared" si="1"/>
        <v>2.3293366272</v>
      </c>
      <c r="E334" s="345">
        <f t="shared" si="0"/>
        <v>0.51763036159999998</v>
      </c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2"/>
      <c r="T334" s="12"/>
      <c r="U334" s="12"/>
      <c r="V334" s="10"/>
    </row>
    <row r="335" spans="1:22" x14ac:dyDescent="0.2">
      <c r="A335" s="187"/>
      <c r="B335" s="120">
        <v>4</v>
      </c>
      <c r="C335" s="345">
        <f t="shared" si="2"/>
        <v>0.20776448</v>
      </c>
      <c r="D335" s="345">
        <f t="shared" si="1"/>
        <v>2.0381695488</v>
      </c>
      <c r="E335" s="345">
        <f t="shared" si="0"/>
        <v>0.45292656640000001</v>
      </c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2"/>
      <c r="T335" s="12"/>
      <c r="U335" s="12"/>
      <c r="V335" s="10"/>
    </row>
    <row r="336" spans="1:22" x14ac:dyDescent="0.2">
      <c r="A336" s="187"/>
      <c r="B336" s="120">
        <v>4.5</v>
      </c>
      <c r="C336" s="345">
        <f t="shared" si="2"/>
        <v>0.18467953777777776</v>
      </c>
      <c r="D336" s="345">
        <f t="shared" si="1"/>
        <v>1.8117062656</v>
      </c>
      <c r="E336" s="345">
        <f t="shared" si="0"/>
        <v>0.40260139235555559</v>
      </c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2"/>
      <c r="T336" s="12"/>
      <c r="U336" s="12"/>
      <c r="V336" s="10"/>
    </row>
    <row r="337" spans="1:22" x14ac:dyDescent="0.2">
      <c r="A337" s="187"/>
      <c r="B337" s="120">
        <v>5</v>
      </c>
      <c r="C337" s="345">
        <f t="shared" si="2"/>
        <v>0.166211584</v>
      </c>
      <c r="D337" s="345">
        <f t="shared" si="1"/>
        <v>1.6305356390400001</v>
      </c>
      <c r="E337" s="345">
        <f t="shared" si="0"/>
        <v>0.36234125312000004</v>
      </c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2"/>
      <c r="T337" s="12"/>
      <c r="U337" s="12"/>
      <c r="V337" s="10"/>
    </row>
    <row r="338" spans="1:22" x14ac:dyDescent="0.2">
      <c r="A338" s="187"/>
      <c r="B338" s="8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2"/>
      <c r="T338" s="12"/>
      <c r="U338" s="12"/>
      <c r="V338" s="10"/>
    </row>
    <row r="339" spans="1:22" x14ac:dyDescent="0.2">
      <c r="A339" s="187"/>
      <c r="D339" s="16"/>
      <c r="E339" s="16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2"/>
      <c r="T339" s="12"/>
      <c r="U339" s="12"/>
      <c r="V339" s="10"/>
    </row>
    <row r="340" spans="1:22" x14ac:dyDescent="0.2">
      <c r="A340" s="185" t="s">
        <v>555</v>
      </c>
      <c r="B340" s="9" t="s">
        <v>544</v>
      </c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2"/>
      <c r="T340" s="12"/>
      <c r="U340" s="12"/>
      <c r="V340" s="10"/>
    </row>
    <row r="341" spans="1:22" x14ac:dyDescent="0.2">
      <c r="A341" s="185"/>
    </row>
    <row r="342" spans="1:22" x14ac:dyDescent="0.2">
      <c r="A342" s="9" t="s">
        <v>556</v>
      </c>
      <c r="B342" s="9" t="s">
        <v>557</v>
      </c>
    </row>
    <row r="343" spans="1:22" x14ac:dyDescent="0.2">
      <c r="B343" t="s">
        <v>558</v>
      </c>
      <c r="E343" t="s">
        <v>559</v>
      </c>
    </row>
    <row r="344" spans="1:22" x14ac:dyDescent="0.2">
      <c r="A344" s="185"/>
      <c r="B344" t="s">
        <v>761</v>
      </c>
    </row>
    <row r="345" spans="1:22" x14ac:dyDescent="0.2">
      <c r="A345" s="185"/>
    </row>
    <row r="346" spans="1:22" x14ac:dyDescent="0.2">
      <c r="A346" s="185"/>
      <c r="B346" t="s">
        <v>560</v>
      </c>
      <c r="C346" t="s">
        <v>561</v>
      </c>
      <c r="E346" t="s">
        <v>562</v>
      </c>
    </row>
    <row r="347" spans="1:22" x14ac:dyDescent="0.2">
      <c r="A347" s="185"/>
      <c r="B347" t="s">
        <v>438</v>
      </c>
      <c r="C347" t="s">
        <v>563</v>
      </c>
      <c r="E347" t="s">
        <v>564</v>
      </c>
    </row>
    <row r="348" spans="1:22" x14ac:dyDescent="0.2">
      <c r="A348" s="185"/>
      <c r="B348" t="s">
        <v>440</v>
      </c>
      <c r="C348">
        <v>808500</v>
      </c>
      <c r="E348" t="s">
        <v>565</v>
      </c>
    </row>
    <row r="349" spans="1:22" x14ac:dyDescent="0.2">
      <c r="A349" s="185"/>
      <c r="B349" t="s">
        <v>566</v>
      </c>
      <c r="C349" t="s">
        <v>567</v>
      </c>
      <c r="E349" t="s">
        <v>568</v>
      </c>
    </row>
    <row r="350" spans="1:22" x14ac:dyDescent="0.2">
      <c r="A350" s="185"/>
      <c r="B350" s="9"/>
    </row>
    <row r="351" spans="1:22" x14ac:dyDescent="0.2">
      <c r="A351" s="9" t="s">
        <v>569</v>
      </c>
      <c r="B351" s="9" t="s">
        <v>570</v>
      </c>
    </row>
    <row r="352" spans="1:22" x14ac:dyDescent="0.2">
      <c r="B352" t="s">
        <v>761</v>
      </c>
    </row>
    <row r="353" spans="1:5" x14ac:dyDescent="0.2">
      <c r="A353" s="9"/>
      <c r="B353" s="9"/>
    </row>
    <row r="354" spans="1:5" x14ac:dyDescent="0.2">
      <c r="A354" s="9"/>
      <c r="B354" t="s">
        <v>570</v>
      </c>
      <c r="E354" t="s">
        <v>559</v>
      </c>
    </row>
    <row r="355" spans="1:5" x14ac:dyDescent="0.2">
      <c r="A355" s="185"/>
      <c r="B355" t="s">
        <v>571</v>
      </c>
    </row>
    <row r="356" spans="1:5" x14ac:dyDescent="0.2">
      <c r="A356" s="185"/>
      <c r="B356" t="s">
        <v>436</v>
      </c>
      <c r="C356" t="s">
        <v>437</v>
      </c>
      <c r="E356" t="s">
        <v>572</v>
      </c>
    </row>
    <row r="357" spans="1:5" x14ac:dyDescent="0.2">
      <c r="A357" s="185"/>
      <c r="B357" t="s">
        <v>438</v>
      </c>
      <c r="C357" t="s">
        <v>439</v>
      </c>
      <c r="E357" t="s">
        <v>572</v>
      </c>
    </row>
    <row r="358" spans="1:5" x14ac:dyDescent="0.2">
      <c r="A358" s="185"/>
      <c r="B358" t="s">
        <v>440</v>
      </c>
      <c r="C358" t="s">
        <v>441</v>
      </c>
      <c r="E358" t="s">
        <v>572</v>
      </c>
    </row>
    <row r="359" spans="1:5" x14ac:dyDescent="0.2">
      <c r="A359" s="185"/>
      <c r="B359" t="s">
        <v>433</v>
      </c>
      <c r="C359" t="s">
        <v>573</v>
      </c>
      <c r="E359" t="s">
        <v>572</v>
      </c>
    </row>
    <row r="360" spans="1:5" x14ac:dyDescent="0.2">
      <c r="A360" s="185"/>
      <c r="B360" t="s">
        <v>443</v>
      </c>
      <c r="C360" t="s">
        <v>574</v>
      </c>
      <c r="E360" t="s">
        <v>572</v>
      </c>
    </row>
    <row r="361" spans="1:5" x14ac:dyDescent="0.2">
      <c r="A361" s="185"/>
    </row>
    <row r="362" spans="1:5" x14ac:dyDescent="0.2">
      <c r="A362" s="9" t="s">
        <v>575</v>
      </c>
      <c r="B362" s="9" t="s">
        <v>576</v>
      </c>
    </row>
    <row r="363" spans="1:5" x14ac:dyDescent="0.2">
      <c r="B363" t="s">
        <v>576</v>
      </c>
      <c r="E363" t="s">
        <v>559</v>
      </c>
    </row>
    <row r="364" spans="1:5" x14ac:dyDescent="0.2">
      <c r="A364" s="185"/>
      <c r="B364" t="s">
        <v>762</v>
      </c>
    </row>
    <row r="365" spans="1:5" x14ac:dyDescent="0.2">
      <c r="A365" s="185"/>
    </row>
    <row r="366" spans="1:5" x14ac:dyDescent="0.2">
      <c r="A366" s="185"/>
      <c r="B366" t="s">
        <v>607</v>
      </c>
    </row>
    <row r="367" spans="1:5" x14ac:dyDescent="0.2">
      <c r="A367" s="187"/>
      <c r="B367" t="s">
        <v>433</v>
      </c>
      <c r="C367" t="s">
        <v>608</v>
      </c>
      <c r="E367" t="s">
        <v>610</v>
      </c>
    </row>
    <row r="368" spans="1:5" x14ac:dyDescent="0.2">
      <c r="A368" s="187"/>
      <c r="B368" t="s">
        <v>436</v>
      </c>
      <c r="C368" t="s">
        <v>437</v>
      </c>
      <c r="E368" t="s">
        <v>610</v>
      </c>
    </row>
    <row r="369" spans="1:5" x14ac:dyDescent="0.2">
      <c r="A369" s="187"/>
      <c r="B369" t="s">
        <v>438</v>
      </c>
      <c r="C369" t="s">
        <v>439</v>
      </c>
      <c r="E369" t="s">
        <v>610</v>
      </c>
    </row>
    <row r="370" spans="1:5" x14ac:dyDescent="0.2">
      <c r="A370" s="187"/>
      <c r="B370" t="s">
        <v>440</v>
      </c>
      <c r="C370" t="s">
        <v>441</v>
      </c>
      <c r="E370" t="s">
        <v>610</v>
      </c>
    </row>
    <row r="371" spans="1:5" x14ac:dyDescent="0.2">
      <c r="A371" s="187"/>
      <c r="B371" t="s">
        <v>433</v>
      </c>
      <c r="C371" t="s">
        <v>608</v>
      </c>
      <c r="E371" t="s">
        <v>610</v>
      </c>
    </row>
    <row r="372" spans="1:5" x14ac:dyDescent="0.2">
      <c r="A372" s="187"/>
      <c r="B372" t="s">
        <v>443</v>
      </c>
      <c r="C372" t="s">
        <v>609</v>
      </c>
      <c r="E372" t="s">
        <v>610</v>
      </c>
    </row>
    <row r="373" spans="1:5" x14ac:dyDescent="0.2">
      <c r="A373" s="187"/>
    </row>
    <row r="374" spans="1:5" x14ac:dyDescent="0.2">
      <c r="A374" s="8" t="s">
        <v>577</v>
      </c>
    </row>
    <row r="375" spans="1:5" x14ac:dyDescent="0.2">
      <c r="B375" s="16"/>
      <c r="C375" s="16"/>
      <c r="D375" s="16"/>
      <c r="E375" s="16"/>
    </row>
    <row r="376" spans="1:5" x14ac:dyDescent="0.2">
      <c r="A376" s="9" t="s">
        <v>578</v>
      </c>
    </row>
    <row r="377" spans="1:5" x14ac:dyDescent="0.2">
      <c r="A377" s="9" t="s">
        <v>579</v>
      </c>
    </row>
    <row r="378" spans="1:5" x14ac:dyDescent="0.2">
      <c r="A378" s="8" t="s">
        <v>580</v>
      </c>
      <c r="D378" t="s">
        <v>559</v>
      </c>
    </row>
    <row r="379" spans="1:5" x14ac:dyDescent="0.2">
      <c r="A379" s="8"/>
    </row>
    <row r="380" spans="1:5" x14ac:dyDescent="0.2">
      <c r="A380" s="8" t="s">
        <v>581</v>
      </c>
      <c r="D380" s="8" t="s">
        <v>582</v>
      </c>
    </row>
    <row r="381" spans="1:5" x14ac:dyDescent="0.2">
      <c r="A381" s="8" t="s">
        <v>583</v>
      </c>
      <c r="D381" s="8" t="s">
        <v>582</v>
      </c>
      <c r="E381" t="s">
        <v>584</v>
      </c>
    </row>
    <row r="382" spans="1:5" x14ac:dyDescent="0.2">
      <c r="A382" s="8"/>
      <c r="D382" s="8"/>
    </row>
    <row r="383" spans="1:5" x14ac:dyDescent="0.2">
      <c r="A383" s="8"/>
      <c r="D383" s="8"/>
    </row>
    <row r="384" spans="1:5" x14ac:dyDescent="0.2">
      <c r="A384" s="111" t="s">
        <v>737</v>
      </c>
      <c r="B384" s="16"/>
      <c r="C384" s="16"/>
      <c r="D384" s="16"/>
      <c r="E384" s="16"/>
    </row>
    <row r="385" spans="1:5" x14ac:dyDescent="0.2">
      <c r="A385" t="s">
        <v>413</v>
      </c>
      <c r="D385" s="16"/>
      <c r="E385" s="16"/>
    </row>
    <row r="386" spans="1:5" x14ac:dyDescent="0.2">
      <c r="A386" s="8" t="s">
        <v>422</v>
      </c>
      <c r="C386" s="16"/>
      <c r="D386" s="16"/>
    </row>
    <row r="387" spans="1:5" x14ac:dyDescent="0.2">
      <c r="A387" s="48" t="s">
        <v>414</v>
      </c>
      <c r="B387" s="48" t="s">
        <v>416</v>
      </c>
      <c r="C387" s="46" t="s">
        <v>415</v>
      </c>
      <c r="D387" s="46" t="s">
        <v>418</v>
      </c>
      <c r="E387" s="157" t="s">
        <v>420</v>
      </c>
    </row>
    <row r="388" spans="1:5" x14ac:dyDescent="0.2">
      <c r="A388" s="48"/>
      <c r="B388" s="48" t="s">
        <v>417</v>
      </c>
      <c r="C388" s="46" t="s">
        <v>405</v>
      </c>
      <c r="D388" s="360" t="s">
        <v>419</v>
      </c>
      <c r="E388" s="157" t="s">
        <v>421</v>
      </c>
    </row>
    <row r="389" spans="1:5" x14ac:dyDescent="0.2">
      <c r="A389" s="48"/>
      <c r="B389" s="48"/>
      <c r="C389" s="46"/>
      <c r="D389" s="46"/>
      <c r="E389" s="351"/>
    </row>
    <row r="390" spans="1:5" x14ac:dyDescent="0.2">
      <c r="A390" s="147" t="s">
        <v>788</v>
      </c>
      <c r="B390" s="356" t="s">
        <v>808</v>
      </c>
      <c r="C390" s="46">
        <v>0</v>
      </c>
      <c r="D390" s="46">
        <v>22</v>
      </c>
      <c r="E390" s="351">
        <v>2</v>
      </c>
    </row>
    <row r="391" spans="1:5" x14ac:dyDescent="0.2">
      <c r="A391" s="8"/>
      <c r="C391" s="16"/>
      <c r="D391" s="358"/>
    </row>
    <row r="392" spans="1:5" x14ac:dyDescent="0.2">
      <c r="A392" t="s">
        <v>493</v>
      </c>
      <c r="C392" s="357"/>
      <c r="D392" s="359" t="s">
        <v>789</v>
      </c>
      <c r="E392" s="8" t="s">
        <v>790</v>
      </c>
    </row>
    <row r="393" spans="1:5" x14ac:dyDescent="0.2">
      <c r="A393" t="s">
        <v>495</v>
      </c>
      <c r="C393" s="357" t="s">
        <v>494</v>
      </c>
      <c r="D393" s="16">
        <v>0.62529999999999997</v>
      </c>
    </row>
    <row r="394" spans="1:5" x14ac:dyDescent="0.2">
      <c r="C394" s="357" t="s">
        <v>791</v>
      </c>
      <c r="D394" s="16">
        <f>1/D393</f>
        <v>1.5992323684631378</v>
      </c>
    </row>
    <row r="395" spans="1:5" x14ac:dyDescent="0.2">
      <c r="A395" t="s">
        <v>635</v>
      </c>
      <c r="B395" t="s">
        <v>636</v>
      </c>
    </row>
    <row r="396" spans="1:5" x14ac:dyDescent="0.2">
      <c r="B396" t="s">
        <v>629</v>
      </c>
      <c r="C396" t="s">
        <v>633</v>
      </c>
      <c r="D396">
        <v>2380</v>
      </c>
      <c r="E396" t="s">
        <v>787</v>
      </c>
    </row>
    <row r="397" spans="1:5" x14ac:dyDescent="0.2">
      <c r="A397" s="48"/>
      <c r="B397" s="48" t="s">
        <v>621</v>
      </c>
      <c r="C397" s="351" t="s">
        <v>634</v>
      </c>
      <c r="D397" s="351" t="s">
        <v>809</v>
      </c>
      <c r="E397" s="351" t="s">
        <v>628</v>
      </c>
    </row>
    <row r="398" spans="1:5" x14ac:dyDescent="0.2">
      <c r="A398" s="48" t="s">
        <v>632</v>
      </c>
      <c r="B398" s="24">
        <f>0.5*0.5</f>
        <v>0.25</v>
      </c>
      <c r="C398" s="46">
        <f>SIN($D$390*2*3.1416/360)</f>
        <v>0.3746074259291195</v>
      </c>
      <c r="D398" s="46">
        <f>+B398*C398*$D$396</f>
        <v>222.8914184278261</v>
      </c>
      <c r="E398" s="46">
        <f>+B398*$D$396</f>
        <v>595</v>
      </c>
    </row>
    <row r="399" spans="1:5" x14ac:dyDescent="0.2">
      <c r="A399" s="48" t="s">
        <v>631</v>
      </c>
      <c r="B399" s="24">
        <f>+B398/2</f>
        <v>0.125</v>
      </c>
      <c r="C399" s="46">
        <f>SIN($D$390*2*3.1416/360)</f>
        <v>0.3746074259291195</v>
      </c>
      <c r="D399" s="46">
        <f>+B399*C399*$D$396</f>
        <v>111.44570921391305</v>
      </c>
      <c r="E399" s="46">
        <f>+B399*$D$396</f>
        <v>297.5</v>
      </c>
    </row>
    <row r="400" spans="1:5" x14ac:dyDescent="0.2">
      <c r="A400" s="48" t="s">
        <v>630</v>
      </c>
      <c r="B400" s="24">
        <f>+B399/2</f>
        <v>6.25E-2</v>
      </c>
      <c r="C400" s="46">
        <f>SIN($D$390*2*3.1416/360)</f>
        <v>0.3746074259291195</v>
      </c>
      <c r="D400" s="46">
        <f>+B400*C400*$D$396</f>
        <v>55.722854606956524</v>
      </c>
      <c r="E400" s="46">
        <f>+B400*$D$396</f>
        <v>148.75</v>
      </c>
    </row>
    <row r="401" spans="1:14" x14ac:dyDescent="0.2">
      <c r="B401" s="16"/>
    </row>
    <row r="402" spans="1:14" x14ac:dyDescent="0.2">
      <c r="A402" s="9" t="s">
        <v>795</v>
      </c>
    </row>
    <row r="403" spans="1:14" x14ac:dyDescent="0.2">
      <c r="A403" s="8"/>
    </row>
    <row r="404" spans="1:14" x14ac:dyDescent="0.2">
      <c r="A404" s="185" t="s">
        <v>738</v>
      </c>
      <c r="B404" s="9" t="s">
        <v>545</v>
      </c>
      <c r="D404" s="16"/>
      <c r="E404" s="16"/>
      <c r="G404" s="45"/>
    </row>
    <row r="405" spans="1:14" x14ac:dyDescent="0.2">
      <c r="B405" s="8"/>
      <c r="C405" s="8"/>
      <c r="D405" s="8"/>
      <c r="E405" s="8"/>
    </row>
    <row r="406" spans="1:14" x14ac:dyDescent="0.2">
      <c r="A406" s="186">
        <v>1</v>
      </c>
      <c r="B406" s="8" t="s">
        <v>585</v>
      </c>
      <c r="C406" s="8"/>
      <c r="D406" s="8"/>
      <c r="E406" s="8"/>
    </row>
    <row r="407" spans="1:14" x14ac:dyDescent="0.2">
      <c r="A407" s="186"/>
      <c r="B407" s="8"/>
      <c r="C407" s="8"/>
      <c r="D407" s="8"/>
      <c r="E407" s="8"/>
    </row>
    <row r="408" spans="1:14" x14ac:dyDescent="0.2">
      <c r="A408" s="186">
        <v>2</v>
      </c>
      <c r="B408" s="8" t="s">
        <v>586</v>
      </c>
      <c r="C408" s="8"/>
      <c r="D408" s="8"/>
      <c r="E408" s="8"/>
    </row>
    <row r="409" spans="1:14" x14ac:dyDescent="0.2">
      <c r="A409" s="186"/>
      <c r="B409" s="8" t="s">
        <v>763</v>
      </c>
      <c r="C409" s="8"/>
      <c r="D409" s="8"/>
      <c r="E409" s="8"/>
    </row>
    <row r="410" spans="1:14" x14ac:dyDescent="0.2">
      <c r="A410" s="186"/>
      <c r="B410" s="8" t="s">
        <v>546</v>
      </c>
      <c r="C410" s="8"/>
      <c r="D410" s="8"/>
      <c r="E410" s="8"/>
    </row>
    <row r="411" spans="1:14" x14ac:dyDescent="0.2">
      <c r="A411" s="186"/>
      <c r="B411" s="8" t="s">
        <v>547</v>
      </c>
      <c r="C411" s="8"/>
      <c r="D411" s="8"/>
      <c r="E411" s="8"/>
    </row>
    <row r="412" spans="1:14" x14ac:dyDescent="0.2">
      <c r="A412" s="186"/>
      <c r="B412" s="8" t="s">
        <v>842</v>
      </c>
      <c r="C412" s="8"/>
      <c r="D412" s="8"/>
      <c r="E412" s="8"/>
      <c r="L412" s="44"/>
      <c r="M412" s="44"/>
      <c r="N412" s="44"/>
    </row>
    <row r="413" spans="1:14" x14ac:dyDescent="0.2">
      <c r="A413" s="186"/>
      <c r="B413" s="8"/>
      <c r="C413" s="8"/>
      <c r="D413" s="8"/>
      <c r="E413" s="8"/>
      <c r="L413" s="44"/>
      <c r="M413" s="44"/>
      <c r="N413" s="44"/>
    </row>
    <row r="414" spans="1:14" x14ac:dyDescent="0.2">
      <c r="A414" s="186">
        <v>3</v>
      </c>
      <c r="B414" s="8" t="s">
        <v>548</v>
      </c>
      <c r="C414" s="8"/>
      <c r="D414" s="8"/>
      <c r="E414" s="8"/>
      <c r="L414" s="44"/>
      <c r="M414" s="44"/>
      <c r="N414" s="44"/>
    </row>
    <row r="415" spans="1:14" x14ac:dyDescent="0.2">
      <c r="A415" s="186"/>
      <c r="B415" s="8" t="s">
        <v>549</v>
      </c>
      <c r="C415" s="8"/>
      <c r="D415" s="8"/>
      <c r="E415" s="8"/>
      <c r="L415" s="44"/>
      <c r="M415" s="44"/>
      <c r="N415" s="44"/>
    </row>
    <row r="416" spans="1:14" x14ac:dyDescent="0.2">
      <c r="A416" s="186"/>
      <c r="B416" s="8" t="s">
        <v>550</v>
      </c>
      <c r="C416" s="8"/>
      <c r="D416" s="8"/>
      <c r="E416" s="8"/>
      <c r="L416" s="44"/>
      <c r="M416" s="44"/>
      <c r="N416" s="44"/>
    </row>
    <row r="417" spans="1:14" x14ac:dyDescent="0.2">
      <c r="A417" s="186"/>
      <c r="B417" s="8"/>
      <c r="C417" s="8"/>
      <c r="D417" s="8"/>
      <c r="E417" s="8"/>
      <c r="L417" s="44"/>
      <c r="M417" s="44"/>
      <c r="N417" s="44"/>
    </row>
    <row r="418" spans="1:14" x14ac:dyDescent="0.2">
      <c r="A418" s="186">
        <v>4</v>
      </c>
      <c r="B418" s="8" t="s">
        <v>587</v>
      </c>
      <c r="C418" s="8"/>
      <c r="D418" s="8"/>
      <c r="E418" s="8"/>
      <c r="L418" s="44"/>
      <c r="M418" s="44"/>
      <c r="N418" s="44"/>
    </row>
    <row r="419" spans="1:14" x14ac:dyDescent="0.2">
      <c r="A419" s="186"/>
      <c r="B419" s="8" t="s">
        <v>551</v>
      </c>
      <c r="C419" s="8"/>
      <c r="D419" s="8"/>
      <c r="E419" s="8"/>
      <c r="L419" s="44"/>
      <c r="M419" s="44"/>
      <c r="N419" s="44"/>
    </row>
    <row r="420" spans="1:14" x14ac:dyDescent="0.2">
      <c r="A420" s="186"/>
      <c r="B420" s="8"/>
      <c r="C420" s="8"/>
      <c r="D420" s="8"/>
      <c r="E420" s="8"/>
      <c r="L420" s="44"/>
      <c r="M420" s="44"/>
      <c r="N420" s="44"/>
    </row>
    <row r="421" spans="1:14" x14ac:dyDescent="0.2">
      <c r="A421" s="186"/>
      <c r="B421" s="8" t="s">
        <v>552</v>
      </c>
      <c r="C421" s="8" t="s">
        <v>588</v>
      </c>
      <c r="D421" s="8"/>
      <c r="E421" s="8"/>
      <c r="L421" s="44"/>
      <c r="M421" s="44"/>
      <c r="N421" s="44"/>
    </row>
    <row r="422" spans="1:14" x14ac:dyDescent="0.2">
      <c r="A422" s="186"/>
      <c r="B422" s="8" t="s">
        <v>589</v>
      </c>
      <c r="C422" s="8" t="s">
        <v>590</v>
      </c>
      <c r="D422" s="8"/>
      <c r="E422" s="8"/>
      <c r="L422" s="44"/>
      <c r="M422" s="44"/>
      <c r="N422" s="44"/>
    </row>
    <row r="423" spans="1:14" x14ac:dyDescent="0.2">
      <c r="A423" s="186"/>
      <c r="B423" s="8" t="s">
        <v>591</v>
      </c>
      <c r="C423" s="8" t="s">
        <v>592</v>
      </c>
      <c r="D423" s="8"/>
      <c r="E423" s="8"/>
      <c r="L423" s="44"/>
      <c r="M423" s="44"/>
      <c r="N423" s="44"/>
    </row>
    <row r="424" spans="1:14" x14ac:dyDescent="0.2">
      <c r="A424" s="186"/>
      <c r="B424" s="8" t="s">
        <v>593</v>
      </c>
      <c r="C424" s="8" t="s">
        <v>594</v>
      </c>
      <c r="D424" s="8"/>
      <c r="E424" s="8"/>
      <c r="L424" s="44"/>
      <c r="M424" s="44"/>
      <c r="N424" s="44"/>
    </row>
    <row r="425" spans="1:14" x14ac:dyDescent="0.2">
      <c r="A425" s="186"/>
      <c r="B425" s="8" t="s">
        <v>595</v>
      </c>
      <c r="C425" s="8" t="s">
        <v>596</v>
      </c>
      <c r="D425" s="8"/>
      <c r="E425" s="8"/>
      <c r="L425" s="44"/>
      <c r="M425" s="44"/>
      <c r="N425" s="44"/>
    </row>
    <row r="426" spans="1:14" x14ac:dyDescent="0.2">
      <c r="A426" s="186"/>
      <c r="B426" s="8" t="s">
        <v>597</v>
      </c>
      <c r="C426" s="8"/>
      <c r="D426" s="8"/>
      <c r="E426" s="8"/>
    </row>
    <row r="427" spans="1:14" x14ac:dyDescent="0.2">
      <c r="A427" s="186"/>
      <c r="B427" s="8" t="s">
        <v>598</v>
      </c>
      <c r="C427" s="8"/>
      <c r="D427" s="8"/>
      <c r="E427" s="8"/>
    </row>
    <row r="428" spans="1:14" x14ac:dyDescent="0.2">
      <c r="A428" s="186"/>
      <c r="B428" s="8"/>
      <c r="C428" s="8"/>
      <c r="D428" s="8"/>
      <c r="E428" s="8"/>
    </row>
    <row r="429" spans="1:14" x14ac:dyDescent="0.2">
      <c r="A429" s="186">
        <v>5</v>
      </c>
      <c r="B429" s="8" t="s">
        <v>599</v>
      </c>
      <c r="C429" s="8"/>
      <c r="D429" s="8"/>
      <c r="E429" s="8"/>
    </row>
    <row r="430" spans="1:14" x14ac:dyDescent="0.2">
      <c r="B430" s="8" t="s">
        <v>843</v>
      </c>
      <c r="C430" s="8"/>
      <c r="D430" s="8"/>
      <c r="E430" s="8"/>
    </row>
    <row r="431" spans="1:14" x14ac:dyDescent="0.2">
      <c r="A431" s="186"/>
      <c r="B431" s="8" t="s">
        <v>600</v>
      </c>
      <c r="C431" s="8"/>
      <c r="D431" s="8"/>
      <c r="E431" s="8"/>
    </row>
    <row r="432" spans="1:14" x14ac:dyDescent="0.2">
      <c r="A432" s="186"/>
      <c r="B432" s="8" t="s">
        <v>601</v>
      </c>
      <c r="C432" s="8"/>
      <c r="D432" s="8"/>
      <c r="E432" s="8"/>
    </row>
    <row r="436" spans="1:7" x14ac:dyDescent="0.2">
      <c r="A436" s="188" t="s">
        <v>12</v>
      </c>
    </row>
    <row r="437" spans="1:7" x14ac:dyDescent="0.2">
      <c r="A437" s="188" t="s">
        <v>331</v>
      </c>
      <c r="B437" s="8"/>
    </row>
    <row r="438" spans="1:7" x14ac:dyDescent="0.2">
      <c r="A438" s="188" t="s">
        <v>844</v>
      </c>
    </row>
    <row r="442" spans="1:7" x14ac:dyDescent="0.2">
      <c r="A442" s="9"/>
    </row>
    <row r="444" spans="1:7" x14ac:dyDescent="0.2">
      <c r="A444" s="9"/>
    </row>
    <row r="446" spans="1:7" x14ac:dyDescent="0.2">
      <c r="C446" s="44"/>
      <c r="D446" s="44"/>
      <c r="E446" s="44"/>
      <c r="F446" s="44"/>
      <c r="G446" s="44"/>
    </row>
    <row r="447" spans="1:7" x14ac:dyDescent="0.2">
      <c r="B447" s="9"/>
      <c r="C447" s="9"/>
      <c r="D447" s="9"/>
      <c r="E447" s="349"/>
    </row>
    <row r="448" spans="1:7" x14ac:dyDescent="0.2">
      <c r="B448" s="9"/>
      <c r="C448" s="9"/>
      <c r="D448" s="9"/>
      <c r="E448" s="349"/>
      <c r="F448" s="349"/>
    </row>
    <row r="449" spans="1:7" x14ac:dyDescent="0.2">
      <c r="E449" s="44"/>
      <c r="F449" s="44"/>
    </row>
    <row r="450" spans="1:7" x14ac:dyDescent="0.2">
      <c r="E450" s="44"/>
      <c r="F450" s="44"/>
    </row>
    <row r="451" spans="1:7" x14ac:dyDescent="0.2">
      <c r="E451" s="44"/>
      <c r="F451" s="44"/>
    </row>
    <row r="452" spans="1:7" x14ac:dyDescent="0.2">
      <c r="E452" s="44"/>
      <c r="F452" s="44"/>
    </row>
    <row r="454" spans="1:7" x14ac:dyDescent="0.2">
      <c r="A454" s="9"/>
      <c r="E454" s="44"/>
      <c r="F454" s="44"/>
    </row>
    <row r="455" spans="1:7" x14ac:dyDescent="0.2">
      <c r="A455" s="8"/>
      <c r="E455" s="44"/>
      <c r="F455" s="44"/>
    </row>
    <row r="456" spans="1:7" x14ac:dyDescent="0.2">
      <c r="E456" s="44"/>
      <c r="F456" s="44"/>
    </row>
    <row r="457" spans="1:7" x14ac:dyDescent="0.2">
      <c r="B457" s="8"/>
      <c r="C457" s="120"/>
      <c r="D457" s="44"/>
      <c r="E457" s="44"/>
      <c r="F457" s="120"/>
      <c r="G457" s="8"/>
    </row>
    <row r="458" spans="1:7" x14ac:dyDescent="0.2">
      <c r="C458" s="44"/>
      <c r="D458" s="44"/>
      <c r="E458" s="120"/>
      <c r="F458" s="120"/>
    </row>
    <row r="459" spans="1:7" x14ac:dyDescent="0.2">
      <c r="C459" s="70"/>
      <c r="D459" s="44"/>
      <c r="E459" s="44"/>
      <c r="F459" s="44"/>
    </row>
    <row r="460" spans="1:7" x14ac:dyDescent="0.2">
      <c r="C460" s="70"/>
      <c r="D460" s="44"/>
      <c r="E460" s="44"/>
      <c r="F460" s="44"/>
    </row>
    <row r="461" spans="1:7" x14ac:dyDescent="0.2">
      <c r="B461" s="8"/>
      <c r="C461" s="70"/>
      <c r="D461" s="44"/>
      <c r="E461" s="44"/>
      <c r="F461" s="44"/>
    </row>
    <row r="462" spans="1:7" x14ac:dyDescent="0.2">
      <c r="B462" s="8"/>
      <c r="C462" s="70"/>
      <c r="D462" s="44"/>
      <c r="E462" s="44"/>
      <c r="F462" s="44"/>
    </row>
    <row r="463" spans="1:7" x14ac:dyDescent="0.2">
      <c r="C463" s="70"/>
      <c r="D463" s="44"/>
      <c r="E463" s="44"/>
      <c r="F463" s="44"/>
    </row>
    <row r="464" spans="1:7" x14ac:dyDescent="0.2">
      <c r="C464" s="70"/>
      <c r="D464" s="44"/>
      <c r="E464" s="44"/>
      <c r="F464" s="44"/>
    </row>
    <row r="465" spans="2:6" x14ac:dyDescent="0.2">
      <c r="C465" s="70"/>
      <c r="D465" s="44"/>
      <c r="E465" s="45"/>
      <c r="F465" s="44"/>
    </row>
    <row r="466" spans="2:6" x14ac:dyDescent="0.2">
      <c r="C466" s="70"/>
      <c r="D466" s="44"/>
      <c r="E466" s="44"/>
      <c r="F466" s="44"/>
    </row>
    <row r="467" spans="2:6" x14ac:dyDescent="0.2">
      <c r="C467" s="70"/>
      <c r="D467" s="44"/>
      <c r="E467" s="44"/>
      <c r="F467" s="44"/>
    </row>
    <row r="468" spans="2:6" x14ac:dyDescent="0.2">
      <c r="C468" s="70"/>
      <c r="D468" s="44"/>
      <c r="E468" s="44"/>
      <c r="F468" s="44"/>
    </row>
    <row r="469" spans="2:6" x14ac:dyDescent="0.2">
      <c r="B469" s="8"/>
      <c r="C469" s="70"/>
      <c r="D469" s="44"/>
      <c r="E469" s="44"/>
      <c r="F469" s="44"/>
    </row>
    <row r="470" spans="2:6" x14ac:dyDescent="0.2">
      <c r="B470" s="8"/>
      <c r="C470" s="70"/>
      <c r="D470" s="44"/>
      <c r="E470" s="44"/>
      <c r="F470" s="44"/>
    </row>
    <row r="471" spans="2:6" x14ac:dyDescent="0.2">
      <c r="C471" s="70"/>
      <c r="D471" s="44"/>
      <c r="E471" s="44"/>
      <c r="F471" s="44"/>
    </row>
    <row r="472" spans="2:6" x14ac:dyDescent="0.2">
      <c r="C472" s="70"/>
      <c r="D472" s="44"/>
      <c r="E472" s="44"/>
      <c r="F472" s="44"/>
    </row>
    <row r="473" spans="2:6" x14ac:dyDescent="0.2">
      <c r="C473" s="70"/>
      <c r="D473" s="44"/>
      <c r="E473" s="45"/>
      <c r="F473" s="44"/>
    </row>
    <row r="474" spans="2:6" x14ac:dyDescent="0.2">
      <c r="C474" s="70"/>
      <c r="D474" s="44"/>
      <c r="E474" s="44"/>
      <c r="F474" s="44"/>
    </row>
    <row r="475" spans="2:6" x14ac:dyDescent="0.2">
      <c r="C475" s="70"/>
      <c r="D475" s="44"/>
      <c r="E475" s="44"/>
      <c r="F475" s="44"/>
    </row>
    <row r="476" spans="2:6" x14ac:dyDescent="0.2">
      <c r="B476" s="8"/>
      <c r="C476" s="70"/>
      <c r="D476" s="44"/>
      <c r="E476" s="44"/>
      <c r="F476" s="44"/>
    </row>
    <row r="477" spans="2:6" x14ac:dyDescent="0.2">
      <c r="C477" s="70"/>
      <c r="D477" s="44"/>
      <c r="E477" s="44"/>
      <c r="F477" s="44"/>
    </row>
    <row r="478" spans="2:6" x14ac:dyDescent="0.2">
      <c r="C478" s="70"/>
      <c r="D478" s="44"/>
      <c r="E478" s="44"/>
      <c r="F478" s="44"/>
    </row>
    <row r="479" spans="2:6" x14ac:dyDescent="0.2">
      <c r="C479" s="70"/>
      <c r="D479" s="44"/>
      <c r="E479" s="45"/>
      <c r="F479" s="44"/>
    </row>
    <row r="480" spans="2:6" x14ac:dyDescent="0.2">
      <c r="C480" s="44"/>
      <c r="D480" s="44"/>
      <c r="E480" s="44"/>
      <c r="F480" s="44"/>
    </row>
    <row r="481" spans="1:6" x14ac:dyDescent="0.2">
      <c r="B481" s="8"/>
      <c r="C481" s="44"/>
      <c r="D481" s="44"/>
      <c r="E481" s="45"/>
      <c r="F481" s="44"/>
    </row>
    <row r="482" spans="1:6" x14ac:dyDescent="0.2">
      <c r="B482" s="8"/>
      <c r="C482" s="44"/>
      <c r="D482" s="44"/>
      <c r="E482" s="45"/>
      <c r="F482" s="44"/>
    </row>
    <row r="483" spans="1:6" x14ac:dyDescent="0.2">
      <c r="B483" s="8"/>
      <c r="C483" s="44"/>
      <c r="D483" s="44"/>
      <c r="E483" s="45"/>
      <c r="F483" s="44"/>
    </row>
    <row r="484" spans="1:6" x14ac:dyDescent="0.2">
      <c r="C484" s="44"/>
      <c r="D484" s="44"/>
      <c r="E484" s="45"/>
      <c r="F484" s="44"/>
    </row>
    <row r="485" spans="1:6" x14ac:dyDescent="0.2">
      <c r="C485" s="44"/>
      <c r="D485" s="44"/>
      <c r="E485" s="45"/>
      <c r="F485" s="44"/>
    </row>
    <row r="486" spans="1:6" x14ac:dyDescent="0.2">
      <c r="C486" s="44"/>
      <c r="D486" s="44"/>
      <c r="E486" s="45"/>
      <c r="F486" s="187"/>
    </row>
    <row r="487" spans="1:6" x14ac:dyDescent="0.2">
      <c r="C487" s="44"/>
      <c r="D487" s="44"/>
      <c r="E487" s="45"/>
      <c r="F487" s="187"/>
    </row>
    <row r="488" spans="1:6" x14ac:dyDescent="0.2">
      <c r="B488" s="8"/>
      <c r="C488" s="44"/>
      <c r="D488" s="44"/>
      <c r="E488" s="45"/>
      <c r="F488" s="186"/>
    </row>
    <row r="489" spans="1:6" x14ac:dyDescent="0.2">
      <c r="E489" s="16"/>
      <c r="F489" s="187"/>
    </row>
    <row r="490" spans="1:6" x14ac:dyDescent="0.2">
      <c r="A490" s="8"/>
      <c r="E490" s="44"/>
      <c r="F490" s="186"/>
    </row>
    <row r="491" spans="1:6" x14ac:dyDescent="0.2">
      <c r="E491" s="44"/>
      <c r="F491" s="187"/>
    </row>
    <row r="492" spans="1:6" x14ac:dyDescent="0.2">
      <c r="B492" s="8"/>
      <c r="C492" s="120"/>
      <c r="D492" s="44"/>
      <c r="E492" s="44"/>
      <c r="F492" s="187"/>
    </row>
    <row r="493" spans="1:6" x14ac:dyDescent="0.2">
      <c r="C493" s="44"/>
      <c r="D493" s="44"/>
      <c r="E493" s="120"/>
      <c r="F493" s="187"/>
    </row>
    <row r="494" spans="1:6" x14ac:dyDescent="0.2">
      <c r="C494" s="70"/>
      <c r="D494" s="44"/>
      <c r="E494" s="44"/>
      <c r="F494" s="187"/>
    </row>
    <row r="495" spans="1:6" x14ac:dyDescent="0.2">
      <c r="B495" s="8"/>
      <c r="C495" s="70"/>
      <c r="D495" s="44"/>
      <c r="E495" s="44"/>
      <c r="F495" s="187"/>
    </row>
    <row r="496" spans="1:6" x14ac:dyDescent="0.2">
      <c r="B496" s="8"/>
      <c r="C496" s="70"/>
      <c r="D496" s="44"/>
      <c r="E496" s="44"/>
      <c r="F496" s="187"/>
    </row>
    <row r="497" spans="1:6" x14ac:dyDescent="0.2">
      <c r="C497" s="70"/>
      <c r="D497" s="44"/>
      <c r="E497" s="44"/>
      <c r="F497" s="187"/>
    </row>
    <row r="498" spans="1:6" x14ac:dyDescent="0.2">
      <c r="C498" s="70"/>
      <c r="D498" s="44"/>
      <c r="E498" s="44"/>
      <c r="F498" s="187"/>
    </row>
    <row r="499" spans="1:6" x14ac:dyDescent="0.2">
      <c r="C499" s="70"/>
      <c r="D499" s="44"/>
      <c r="E499" s="45"/>
      <c r="F499" s="362"/>
    </row>
    <row r="500" spans="1:6" x14ac:dyDescent="0.2">
      <c r="F500" s="363"/>
    </row>
    <row r="501" spans="1:6" x14ac:dyDescent="0.2">
      <c r="A501" s="8"/>
      <c r="E501" s="44"/>
      <c r="F501" s="363"/>
    </row>
    <row r="502" spans="1:6" x14ac:dyDescent="0.2">
      <c r="E502" s="44"/>
      <c r="F502" s="362"/>
    </row>
    <row r="503" spans="1:6" x14ac:dyDescent="0.2">
      <c r="B503" s="8"/>
      <c r="C503" s="120"/>
      <c r="D503" s="44"/>
      <c r="E503" s="44"/>
      <c r="F503" s="362"/>
    </row>
    <row r="504" spans="1:6" x14ac:dyDescent="0.2">
      <c r="C504" s="44"/>
      <c r="D504" s="44"/>
      <c r="E504" s="120"/>
      <c r="F504" s="362"/>
    </row>
    <row r="505" spans="1:6" x14ac:dyDescent="0.2">
      <c r="C505" s="70"/>
      <c r="D505" s="44"/>
      <c r="E505" s="44"/>
      <c r="F505" s="362"/>
    </row>
    <row r="506" spans="1:6" x14ac:dyDescent="0.2">
      <c r="B506" s="8"/>
      <c r="C506" s="70"/>
      <c r="D506" s="44"/>
      <c r="E506" s="44"/>
      <c r="F506" s="362"/>
    </row>
    <row r="507" spans="1:6" x14ac:dyDescent="0.2">
      <c r="B507" s="8"/>
      <c r="C507" s="70"/>
      <c r="D507" s="44"/>
      <c r="E507" s="44"/>
      <c r="F507" s="362"/>
    </row>
    <row r="508" spans="1:6" x14ac:dyDescent="0.2">
      <c r="C508" s="70"/>
      <c r="D508" s="44"/>
      <c r="E508" s="44"/>
      <c r="F508" s="362"/>
    </row>
    <row r="509" spans="1:6" x14ac:dyDescent="0.2">
      <c r="C509" s="70"/>
      <c r="D509" s="44"/>
      <c r="E509" s="45"/>
      <c r="F509" s="362"/>
    </row>
    <row r="510" spans="1:6" x14ac:dyDescent="0.2">
      <c r="F510" s="363"/>
    </row>
    <row r="513" spans="2:5" x14ac:dyDescent="0.2">
      <c r="B513" s="8"/>
      <c r="C513" s="120"/>
      <c r="D513" s="44"/>
      <c r="E513" s="44"/>
    </row>
    <row r="514" spans="2:5" x14ac:dyDescent="0.2">
      <c r="C514" s="44"/>
      <c r="D514" s="44"/>
      <c r="E514" s="120"/>
    </row>
    <row r="515" spans="2:5" x14ac:dyDescent="0.2">
      <c r="C515" s="70"/>
      <c r="D515" s="44"/>
      <c r="E515" s="44"/>
    </row>
    <row r="516" spans="2:5" x14ac:dyDescent="0.2">
      <c r="C516" s="70"/>
      <c r="D516" s="44"/>
      <c r="E516" s="44"/>
    </row>
    <row r="517" spans="2:5" x14ac:dyDescent="0.2">
      <c r="B517" s="8"/>
      <c r="C517" s="70"/>
      <c r="D517" s="44"/>
      <c r="E517" s="44"/>
    </row>
    <row r="518" spans="2:5" x14ac:dyDescent="0.2">
      <c r="B518" s="8"/>
      <c r="C518" s="70"/>
      <c r="D518" s="44"/>
      <c r="E518" s="44"/>
    </row>
    <row r="519" spans="2:5" x14ac:dyDescent="0.2">
      <c r="C519" s="70"/>
      <c r="D519" s="44"/>
      <c r="E519" s="44"/>
    </row>
    <row r="520" spans="2:5" x14ac:dyDescent="0.2">
      <c r="C520" s="70"/>
      <c r="D520" s="44"/>
      <c r="E520" s="44"/>
    </row>
    <row r="521" spans="2:5" x14ac:dyDescent="0.2">
      <c r="C521" s="70"/>
      <c r="D521" s="44"/>
      <c r="E521" s="45"/>
    </row>
    <row r="524" spans="2:5" x14ac:dyDescent="0.2">
      <c r="E524" s="16"/>
    </row>
  </sheetData>
  <phoneticPr fontId="11" type="noConversion"/>
  <pageMargins left="0.7" right="0.7" top="0.75" bottom="0.75" header="0.3" footer="0.3"/>
  <pageSetup paperSize="9" scale="58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81"/>
  <sheetViews>
    <sheetView topLeftCell="A4" workbookViewId="0">
      <selection activeCell="A9" sqref="A9"/>
    </sheetView>
  </sheetViews>
  <sheetFormatPr baseColWidth="10" defaultColWidth="9.140625" defaultRowHeight="12.75" x14ac:dyDescent="0.2"/>
  <cols>
    <col min="1" max="7" width="11.42578125" customWidth="1"/>
    <col min="8" max="8" width="17.42578125" customWidth="1"/>
  </cols>
  <sheetData>
    <row r="1" spans="1:8" x14ac:dyDescent="0.2">
      <c r="A1" t="s">
        <v>831</v>
      </c>
      <c r="B1" s="17"/>
      <c r="C1" s="17"/>
      <c r="D1" s="17"/>
      <c r="E1" s="17"/>
      <c r="F1" s="17"/>
      <c r="G1" s="17"/>
      <c r="H1" s="17"/>
    </row>
    <row r="2" spans="1:8" ht="18" x14ac:dyDescent="0.25">
      <c r="A2" s="17"/>
      <c r="B2" s="17"/>
      <c r="C2" s="7" t="s">
        <v>13</v>
      </c>
      <c r="D2" s="17"/>
      <c r="E2" s="17"/>
      <c r="F2" s="17"/>
      <c r="G2" s="17"/>
      <c r="H2" s="17"/>
    </row>
    <row r="3" spans="1:8" x14ac:dyDescent="0.2">
      <c r="A3" s="17"/>
      <c r="B3" s="17"/>
      <c r="C3" s="17"/>
      <c r="D3" s="17"/>
      <c r="E3" s="17"/>
      <c r="F3" s="17"/>
      <c r="G3" s="17"/>
      <c r="H3" s="17"/>
    </row>
    <row r="4" spans="1:8" ht="20.25" x14ac:dyDescent="0.3">
      <c r="A4" s="7">
        <f>+Hoja1!C2</f>
        <v>0</v>
      </c>
      <c r="B4" s="17"/>
      <c r="C4" s="388">
        <f>+Hoja1!C3</f>
        <v>0</v>
      </c>
      <c r="D4" s="17"/>
      <c r="E4" s="17"/>
      <c r="F4" s="17"/>
      <c r="G4" s="17"/>
      <c r="H4" s="17"/>
    </row>
    <row r="5" spans="1:8" x14ac:dyDescent="0.2">
      <c r="A5" s="17"/>
      <c r="B5" s="17"/>
      <c r="C5" s="17"/>
      <c r="D5" s="17"/>
      <c r="E5" s="17"/>
      <c r="F5" s="17"/>
      <c r="G5" s="17"/>
      <c r="H5" s="17"/>
    </row>
    <row r="6" spans="1:8" x14ac:dyDescent="0.2">
      <c r="A6" s="9" t="s">
        <v>14</v>
      </c>
      <c r="B6" s="17"/>
      <c r="C6" s="17"/>
      <c r="D6" s="17"/>
      <c r="E6" s="17"/>
      <c r="F6" s="17"/>
      <c r="G6" s="17"/>
      <c r="H6" s="17"/>
    </row>
    <row r="7" spans="1:8" x14ac:dyDescent="0.2">
      <c r="A7" s="17"/>
      <c r="B7" s="17"/>
      <c r="C7" s="17"/>
      <c r="D7" s="17"/>
      <c r="E7" s="17"/>
      <c r="F7" s="17"/>
      <c r="G7" s="17"/>
      <c r="H7" s="17"/>
    </row>
    <row r="8" spans="1:8" x14ac:dyDescent="0.2">
      <c r="A8" s="9" t="s">
        <v>849</v>
      </c>
      <c r="B8" s="17"/>
      <c r="C8" s="17"/>
      <c r="D8" s="17"/>
      <c r="E8" s="17"/>
      <c r="F8" s="17"/>
      <c r="G8" s="17"/>
      <c r="H8" s="17"/>
    </row>
    <row r="9" spans="1:8" x14ac:dyDescent="0.2">
      <c r="A9" s="17"/>
      <c r="B9" s="17"/>
      <c r="C9" s="17"/>
      <c r="D9" s="17"/>
      <c r="E9" s="17"/>
      <c r="F9" s="17"/>
      <c r="G9" s="17"/>
      <c r="H9" s="17"/>
    </row>
    <row r="10" spans="1:8" x14ac:dyDescent="0.2">
      <c r="A10" s="9"/>
      <c r="B10" s="17"/>
      <c r="C10" s="17"/>
      <c r="D10" s="17"/>
      <c r="E10" s="17"/>
      <c r="F10" s="17"/>
      <c r="G10" s="17"/>
      <c r="H10" s="17"/>
    </row>
    <row r="11" spans="1:8" x14ac:dyDescent="0.2">
      <c r="A11" s="17" t="s">
        <v>15</v>
      </c>
      <c r="B11" s="17"/>
      <c r="C11" s="17"/>
      <c r="D11" s="17"/>
      <c r="E11" s="17"/>
      <c r="F11" s="17"/>
      <c r="G11" s="17"/>
      <c r="H11" s="17"/>
    </row>
    <row r="12" spans="1:8" x14ac:dyDescent="0.2">
      <c r="A12" s="17" t="s">
        <v>16</v>
      </c>
      <c r="B12" s="17"/>
      <c r="C12" s="17"/>
      <c r="D12" s="17"/>
      <c r="E12" s="17"/>
      <c r="F12" s="17"/>
      <c r="G12" s="17"/>
      <c r="H12" s="17"/>
    </row>
    <row r="13" spans="1:8" x14ac:dyDescent="0.2">
      <c r="A13" s="17" t="s">
        <v>17</v>
      </c>
      <c r="B13" s="17"/>
      <c r="C13" s="17"/>
      <c r="D13" s="17"/>
      <c r="E13" s="17"/>
      <c r="F13" s="17"/>
      <c r="G13" s="17"/>
      <c r="H13" s="17"/>
    </row>
    <row r="14" spans="1:8" x14ac:dyDescent="0.2">
      <c r="A14" s="17"/>
      <c r="B14" s="17"/>
      <c r="C14" s="17"/>
      <c r="D14" s="17"/>
      <c r="E14" s="17"/>
      <c r="F14" s="17"/>
      <c r="G14" s="17"/>
      <c r="H14" s="17"/>
    </row>
    <row r="15" spans="1:8" x14ac:dyDescent="0.2">
      <c r="A15" s="17" t="s">
        <v>18</v>
      </c>
      <c r="B15" s="17"/>
      <c r="C15" s="17"/>
      <c r="D15" s="17"/>
      <c r="E15" s="17"/>
      <c r="F15" s="17"/>
      <c r="G15" s="17"/>
      <c r="H15" s="17"/>
    </row>
    <row r="16" spans="1:8" x14ac:dyDescent="0.2">
      <c r="A16" s="17" t="s">
        <v>19</v>
      </c>
      <c r="B16" s="17"/>
      <c r="C16" s="17"/>
      <c r="D16" s="17"/>
      <c r="E16" s="17"/>
      <c r="F16" s="17"/>
      <c r="G16" s="17"/>
      <c r="H16" s="17"/>
    </row>
    <row r="17" spans="1:8" x14ac:dyDescent="0.2">
      <c r="A17" s="17" t="s">
        <v>20</v>
      </c>
      <c r="B17" s="17"/>
      <c r="C17" s="17"/>
      <c r="D17" s="17"/>
      <c r="E17" s="17"/>
      <c r="F17" s="17"/>
      <c r="G17" s="17"/>
      <c r="H17" s="17"/>
    </row>
    <row r="18" spans="1:8" x14ac:dyDescent="0.2">
      <c r="A18" s="17" t="s">
        <v>21</v>
      </c>
      <c r="B18" s="17"/>
      <c r="C18" s="17"/>
      <c r="D18" s="17"/>
      <c r="E18" s="17"/>
      <c r="F18" s="17"/>
      <c r="G18" s="17"/>
      <c r="H18" s="17"/>
    </row>
    <row r="19" spans="1:8" x14ac:dyDescent="0.2">
      <c r="A19" s="17"/>
      <c r="B19" s="17"/>
      <c r="C19" s="17"/>
      <c r="D19" s="17"/>
      <c r="E19" s="17"/>
      <c r="F19" s="17"/>
      <c r="G19" s="17"/>
      <c r="H19" s="17"/>
    </row>
    <row r="20" spans="1:8" x14ac:dyDescent="0.2">
      <c r="A20" s="17" t="s">
        <v>22</v>
      </c>
      <c r="B20" s="17"/>
      <c r="C20" s="17"/>
      <c r="D20" s="17"/>
      <c r="E20" s="17"/>
      <c r="F20" s="17"/>
      <c r="G20" s="17"/>
      <c r="H20" s="17"/>
    </row>
    <row r="21" spans="1:8" x14ac:dyDescent="0.2">
      <c r="A21" s="17" t="s">
        <v>23</v>
      </c>
      <c r="B21" s="17"/>
      <c r="C21" s="17"/>
      <c r="D21" s="17"/>
      <c r="E21" s="17"/>
      <c r="F21" s="17"/>
      <c r="G21" s="17"/>
      <c r="H21" s="17"/>
    </row>
    <row r="22" spans="1:8" x14ac:dyDescent="0.2">
      <c r="A22" s="17" t="s">
        <v>24</v>
      </c>
      <c r="B22" s="17"/>
      <c r="C22" s="17"/>
      <c r="D22" s="17"/>
      <c r="E22" s="17"/>
      <c r="F22" s="17"/>
      <c r="G22" s="17"/>
      <c r="H22" s="17"/>
    </row>
    <row r="23" spans="1:8" x14ac:dyDescent="0.2">
      <c r="A23" s="17"/>
      <c r="B23" s="17"/>
      <c r="C23" s="17"/>
      <c r="D23" s="17"/>
      <c r="E23" s="17"/>
      <c r="F23" s="17"/>
      <c r="G23" s="17"/>
      <c r="H23" s="17"/>
    </row>
    <row r="24" spans="1:8" x14ac:dyDescent="0.2">
      <c r="A24" s="9" t="s">
        <v>25</v>
      </c>
      <c r="B24" s="17"/>
      <c r="C24" s="17"/>
      <c r="D24" s="17"/>
      <c r="E24" s="17"/>
      <c r="F24" s="17"/>
      <c r="G24" s="17"/>
      <c r="H24" s="17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17" t="s">
        <v>26</v>
      </c>
      <c r="B26" s="17"/>
      <c r="C26" s="17"/>
      <c r="D26" s="17"/>
      <c r="E26" s="17"/>
      <c r="F26" s="17"/>
      <c r="G26" s="17"/>
      <c r="H26" s="17"/>
    </row>
    <row r="27" spans="1:8" x14ac:dyDescent="0.2">
      <c r="A27" s="17" t="s">
        <v>27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17"/>
      <c r="B28" s="17"/>
      <c r="C28" s="17"/>
      <c r="D28" s="17"/>
      <c r="E28" s="17"/>
      <c r="F28" s="17"/>
      <c r="G28" s="17"/>
      <c r="H28" s="17"/>
    </row>
    <row r="29" spans="1:8" x14ac:dyDescent="0.2">
      <c r="A29" s="17" t="s">
        <v>28</v>
      </c>
      <c r="B29" s="17"/>
      <c r="C29" s="17"/>
      <c r="D29" s="17"/>
      <c r="E29" s="17"/>
      <c r="F29" s="17"/>
      <c r="G29" s="17"/>
      <c r="H29" s="17"/>
    </row>
    <row r="30" spans="1:8" x14ac:dyDescent="0.2">
      <c r="A30" s="17" t="s">
        <v>29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17" t="s">
        <v>30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17"/>
      <c r="B32" s="17"/>
      <c r="C32" s="17"/>
      <c r="D32" s="17"/>
      <c r="E32" s="17"/>
      <c r="F32" s="17"/>
      <c r="G32" s="17"/>
      <c r="H32" s="17"/>
    </row>
    <row r="33" spans="1:8" x14ac:dyDescent="0.2">
      <c r="A33" s="17" t="s">
        <v>31</v>
      </c>
      <c r="B33" s="17"/>
      <c r="C33" s="17"/>
      <c r="D33" s="17"/>
      <c r="E33" s="17"/>
      <c r="F33" s="17"/>
      <c r="G33" s="17"/>
      <c r="H33" s="17"/>
    </row>
    <row r="34" spans="1:8" x14ac:dyDescent="0.2">
      <c r="A34" s="17" t="s">
        <v>32</v>
      </c>
      <c r="B34" s="17"/>
      <c r="C34" s="17"/>
      <c r="D34" s="17"/>
      <c r="E34" s="17"/>
      <c r="F34" s="17"/>
      <c r="G34" s="17"/>
      <c r="H34" s="17"/>
    </row>
    <row r="35" spans="1:8" x14ac:dyDescent="0.2">
      <c r="A35" s="17" t="s">
        <v>33</v>
      </c>
      <c r="B35" s="17"/>
      <c r="C35" s="17"/>
      <c r="D35" s="17"/>
      <c r="E35" s="17"/>
      <c r="F35" s="17"/>
      <c r="G35" s="17"/>
      <c r="H35" s="17"/>
    </row>
    <row r="36" spans="1:8" x14ac:dyDescent="0.2">
      <c r="A36" s="17"/>
      <c r="B36" s="17"/>
      <c r="C36" s="17"/>
      <c r="D36" s="17"/>
      <c r="E36" s="17"/>
      <c r="F36" s="17"/>
      <c r="G36" s="17"/>
      <c r="H36" s="17"/>
    </row>
    <row r="37" spans="1:8" x14ac:dyDescent="0.2">
      <c r="A37" s="17"/>
      <c r="B37" s="19" t="s">
        <v>34</v>
      </c>
      <c r="C37" s="17"/>
      <c r="D37" s="17"/>
      <c r="E37" s="17"/>
      <c r="F37" s="17"/>
      <c r="G37" s="17"/>
      <c r="H37" s="17"/>
    </row>
    <row r="38" spans="1:8" x14ac:dyDescent="0.2">
      <c r="A38" s="17"/>
      <c r="B38" s="17"/>
      <c r="C38" s="17"/>
      <c r="D38" s="17"/>
      <c r="E38" s="17"/>
      <c r="F38" s="17"/>
      <c r="G38" s="17"/>
      <c r="H38" s="17"/>
    </row>
    <row r="39" spans="1:8" x14ac:dyDescent="0.2">
      <c r="A39" s="17"/>
      <c r="B39" s="17" t="s">
        <v>35</v>
      </c>
      <c r="C39" s="17"/>
      <c r="D39" s="17"/>
      <c r="E39" s="17"/>
      <c r="F39" s="17"/>
      <c r="G39" s="17" t="s">
        <v>36</v>
      </c>
      <c r="H39" s="17"/>
    </row>
    <row r="40" spans="1:8" x14ac:dyDescent="0.2">
      <c r="A40" s="17"/>
      <c r="B40" s="17"/>
      <c r="C40" s="17"/>
      <c r="D40" s="17"/>
      <c r="E40" s="17"/>
      <c r="F40" s="17"/>
      <c r="G40" s="17" t="s">
        <v>37</v>
      </c>
      <c r="H40" s="17" t="s">
        <v>38</v>
      </c>
    </row>
    <row r="41" spans="1:8" x14ac:dyDescent="0.2">
      <c r="A41" s="17"/>
      <c r="B41" s="17"/>
      <c r="C41" s="17"/>
      <c r="D41" s="17"/>
      <c r="E41" s="17"/>
      <c r="F41" s="17"/>
      <c r="G41" s="17"/>
      <c r="H41" s="17"/>
    </row>
    <row r="42" spans="1:8" x14ac:dyDescent="0.2">
      <c r="A42" s="17"/>
      <c r="B42" s="17" t="s">
        <v>39</v>
      </c>
      <c r="C42" s="17"/>
      <c r="D42" s="17"/>
      <c r="E42" s="17"/>
      <c r="F42" s="17"/>
      <c r="G42" s="18">
        <v>5.08</v>
      </c>
      <c r="H42" s="18">
        <v>2</v>
      </c>
    </row>
    <row r="43" spans="1:8" x14ac:dyDescent="0.2">
      <c r="A43" s="17"/>
      <c r="B43" s="17" t="s">
        <v>40</v>
      </c>
      <c r="C43" s="17"/>
      <c r="D43" s="17"/>
      <c r="E43" s="17"/>
      <c r="F43" s="17"/>
      <c r="G43" s="18">
        <v>3.81</v>
      </c>
      <c r="H43" s="18">
        <v>1.5</v>
      </c>
    </row>
    <row r="44" spans="1:8" x14ac:dyDescent="0.2">
      <c r="A44" s="17"/>
      <c r="B44" s="17" t="s">
        <v>41</v>
      </c>
      <c r="C44" s="17"/>
      <c r="D44" s="17"/>
      <c r="E44" s="17"/>
      <c r="F44" s="17"/>
      <c r="G44" s="18">
        <v>1.91</v>
      </c>
      <c r="H44" s="18">
        <v>0.75</v>
      </c>
    </row>
    <row r="45" spans="1:8" x14ac:dyDescent="0.2">
      <c r="A45" s="17"/>
      <c r="B45" s="17"/>
      <c r="C45" s="17"/>
      <c r="D45" s="17"/>
      <c r="E45" s="17"/>
      <c r="F45" s="17"/>
      <c r="G45" s="17"/>
      <c r="H45" s="17"/>
    </row>
    <row r="46" spans="1:8" x14ac:dyDescent="0.2">
      <c r="A46" s="17" t="s">
        <v>42</v>
      </c>
      <c r="B46" s="17"/>
      <c r="C46" s="17"/>
      <c r="D46" s="17"/>
      <c r="E46" s="17"/>
      <c r="F46" s="17"/>
      <c r="G46" s="17"/>
      <c r="H46" s="17"/>
    </row>
    <row r="47" spans="1:8" x14ac:dyDescent="0.2">
      <c r="A47" s="17" t="s">
        <v>43</v>
      </c>
      <c r="B47" s="17"/>
      <c r="C47" s="17"/>
      <c r="D47" s="17"/>
      <c r="E47" s="17"/>
      <c r="F47" s="17"/>
      <c r="G47" s="17"/>
      <c r="H47" s="17"/>
    </row>
    <row r="48" spans="1:8" x14ac:dyDescent="0.2">
      <c r="A48" s="17"/>
      <c r="B48" s="17"/>
      <c r="C48" s="17"/>
      <c r="D48" s="17"/>
      <c r="E48" s="17"/>
      <c r="F48" s="17"/>
      <c r="G48" s="17"/>
      <c r="H48" s="17"/>
    </row>
    <row r="49" spans="1:8" x14ac:dyDescent="0.2">
      <c r="A49" s="17" t="s">
        <v>44</v>
      </c>
      <c r="B49" s="17"/>
      <c r="C49" s="17"/>
      <c r="D49" s="17"/>
      <c r="E49" s="17"/>
      <c r="F49" s="17"/>
      <c r="G49" s="17"/>
      <c r="H49" s="17"/>
    </row>
    <row r="50" spans="1:8" x14ac:dyDescent="0.2">
      <c r="A50" s="17" t="s">
        <v>45</v>
      </c>
      <c r="B50" s="17"/>
      <c r="C50" s="17"/>
      <c r="D50" s="17"/>
      <c r="E50" s="17"/>
      <c r="F50" s="17"/>
      <c r="G50" s="17"/>
      <c r="H50" s="17"/>
    </row>
    <row r="51" spans="1:8" x14ac:dyDescent="0.2">
      <c r="A51" s="17"/>
      <c r="B51" s="17"/>
      <c r="C51" s="17"/>
      <c r="D51" s="17"/>
      <c r="E51" s="17"/>
      <c r="F51" s="17"/>
      <c r="G51" s="17"/>
      <c r="H51" s="17"/>
    </row>
    <row r="52" spans="1:8" x14ac:dyDescent="0.2">
      <c r="A52" s="17" t="s">
        <v>46</v>
      </c>
      <c r="B52" s="17"/>
      <c r="C52" s="17"/>
      <c r="D52" s="17"/>
      <c r="E52" s="17"/>
      <c r="F52" s="17"/>
      <c r="G52" s="17"/>
      <c r="H52" s="17"/>
    </row>
    <row r="53" spans="1:8" x14ac:dyDescent="0.2">
      <c r="A53" s="17" t="s">
        <v>47</v>
      </c>
      <c r="B53" s="17"/>
      <c r="C53" s="17"/>
      <c r="D53" s="17"/>
      <c r="E53" s="17"/>
      <c r="F53" s="17"/>
      <c r="G53" s="17"/>
      <c r="H53" s="17"/>
    </row>
    <row r="54" spans="1:8" x14ac:dyDescent="0.2">
      <c r="A54" s="17" t="s">
        <v>48</v>
      </c>
      <c r="B54" s="17"/>
      <c r="C54" s="17"/>
      <c r="D54" s="17"/>
      <c r="E54" s="17"/>
      <c r="F54" s="17"/>
      <c r="G54" s="17"/>
      <c r="H54" s="17"/>
    </row>
    <row r="55" spans="1:8" x14ac:dyDescent="0.2">
      <c r="A55" s="17" t="s">
        <v>49</v>
      </c>
      <c r="B55" s="17"/>
      <c r="C55" s="17"/>
      <c r="D55" s="17"/>
      <c r="E55" s="17"/>
      <c r="F55" s="17"/>
      <c r="G55" s="17"/>
      <c r="H55" s="17"/>
    </row>
    <row r="56" spans="1:8" x14ac:dyDescent="0.2">
      <c r="A56" s="17" t="s">
        <v>50</v>
      </c>
      <c r="B56" s="17"/>
      <c r="C56" s="17"/>
      <c r="D56" s="17"/>
      <c r="E56" s="17"/>
      <c r="F56" s="17"/>
      <c r="G56" s="17"/>
      <c r="H56" s="17"/>
    </row>
    <row r="57" spans="1:8" x14ac:dyDescent="0.2">
      <c r="A57" s="17"/>
      <c r="B57" s="17"/>
      <c r="C57" s="17"/>
      <c r="D57" s="17"/>
      <c r="E57" s="17"/>
      <c r="F57" s="17"/>
      <c r="G57" s="17"/>
      <c r="H57" s="17"/>
    </row>
    <row r="58" spans="1:8" x14ac:dyDescent="0.2">
      <c r="A58" s="9" t="s">
        <v>51</v>
      </c>
      <c r="B58" s="17"/>
      <c r="C58" s="17"/>
      <c r="D58" s="17"/>
      <c r="E58" s="17"/>
      <c r="F58" s="17"/>
      <c r="G58" s="17"/>
      <c r="H58" s="17"/>
    </row>
    <row r="59" spans="1:8" x14ac:dyDescent="0.2">
      <c r="A59" s="17"/>
      <c r="B59" s="17"/>
      <c r="C59" s="17"/>
      <c r="D59" s="17"/>
      <c r="E59" s="17"/>
      <c r="F59" s="17"/>
      <c r="G59" s="17"/>
      <c r="H59" s="17"/>
    </row>
    <row r="60" spans="1:8" x14ac:dyDescent="0.2">
      <c r="A60" s="17" t="s">
        <v>52</v>
      </c>
      <c r="B60" s="17"/>
      <c r="C60" s="17"/>
      <c r="D60" s="17"/>
      <c r="E60" s="17"/>
      <c r="F60" s="17"/>
      <c r="G60" s="17"/>
      <c r="H60" s="17"/>
    </row>
    <row r="61" spans="1:8" x14ac:dyDescent="0.2">
      <c r="A61" s="17" t="s">
        <v>53</v>
      </c>
      <c r="B61" s="17"/>
      <c r="C61" s="17"/>
      <c r="D61" s="17"/>
      <c r="E61" s="17"/>
      <c r="F61" s="17"/>
      <c r="G61" s="17"/>
      <c r="H61" s="17"/>
    </row>
    <row r="62" spans="1:8" x14ac:dyDescent="0.2">
      <c r="A62" s="17"/>
      <c r="B62" s="17"/>
      <c r="C62" s="17"/>
      <c r="D62" s="17"/>
      <c r="E62" s="17"/>
      <c r="F62" s="17"/>
      <c r="G62" s="17"/>
      <c r="H62" s="17"/>
    </row>
    <row r="63" spans="1:8" x14ac:dyDescent="0.2">
      <c r="A63" s="17" t="s">
        <v>54</v>
      </c>
      <c r="B63" s="17"/>
      <c r="C63" s="17"/>
      <c r="D63" s="17"/>
      <c r="E63" s="17"/>
      <c r="F63" s="17"/>
      <c r="G63" s="17"/>
      <c r="H63" s="17"/>
    </row>
    <row r="64" spans="1:8" x14ac:dyDescent="0.2">
      <c r="A64" s="17" t="s">
        <v>55</v>
      </c>
      <c r="B64" s="17"/>
      <c r="C64" s="17"/>
      <c r="D64" s="17"/>
      <c r="E64" s="17"/>
      <c r="F64" s="17"/>
      <c r="G64" s="17"/>
      <c r="H64" s="17"/>
    </row>
    <row r="65" spans="1:8" x14ac:dyDescent="0.2">
      <c r="A65" s="17"/>
      <c r="B65" s="17"/>
      <c r="C65" s="17"/>
      <c r="D65" s="17"/>
      <c r="E65" s="17"/>
      <c r="F65" s="17"/>
      <c r="G65" s="17"/>
      <c r="H65" s="17"/>
    </row>
    <row r="66" spans="1:8" x14ac:dyDescent="0.2">
      <c r="A66" s="17"/>
      <c r="B66" s="20" t="s">
        <v>56</v>
      </c>
      <c r="C66" s="17"/>
      <c r="D66" s="17"/>
      <c r="E66" s="17"/>
      <c r="F66" s="17"/>
      <c r="G66" s="17"/>
      <c r="H66" s="17"/>
    </row>
    <row r="67" spans="1:8" x14ac:dyDescent="0.2">
      <c r="A67" s="17"/>
      <c r="B67" s="17"/>
      <c r="C67" s="17"/>
      <c r="D67" s="17"/>
      <c r="E67" s="17"/>
      <c r="F67" s="17"/>
      <c r="G67" s="17"/>
      <c r="H67" s="17"/>
    </row>
    <row r="68" spans="1:8" x14ac:dyDescent="0.2">
      <c r="A68" s="17"/>
      <c r="B68" s="17" t="s">
        <v>57</v>
      </c>
      <c r="C68" s="17"/>
      <c r="D68" s="17"/>
      <c r="E68" s="17"/>
      <c r="F68" s="17"/>
      <c r="G68" s="17"/>
      <c r="H68" s="17"/>
    </row>
    <row r="69" spans="1:8" x14ac:dyDescent="0.2">
      <c r="A69" s="17"/>
      <c r="B69" s="17" t="s">
        <v>58</v>
      </c>
      <c r="C69" s="17"/>
      <c r="D69" s="17"/>
      <c r="E69" s="17"/>
      <c r="F69" s="17"/>
      <c r="G69" s="17"/>
      <c r="H69" s="17"/>
    </row>
    <row r="70" spans="1:8" x14ac:dyDescent="0.2">
      <c r="A70" s="17"/>
      <c r="B70" s="17" t="s">
        <v>59</v>
      </c>
      <c r="C70" s="17"/>
      <c r="D70" s="17"/>
      <c r="E70" s="17"/>
      <c r="F70" s="17"/>
      <c r="G70" s="17"/>
      <c r="H70" s="17"/>
    </row>
    <row r="71" spans="1:8" x14ac:dyDescent="0.2">
      <c r="A71" s="17"/>
      <c r="B71" s="17" t="s">
        <v>60</v>
      </c>
      <c r="C71" s="17"/>
      <c r="D71" s="17"/>
      <c r="E71" s="17"/>
      <c r="F71" s="17"/>
      <c r="G71" s="17"/>
      <c r="H71" s="17"/>
    </row>
    <row r="72" spans="1:8" x14ac:dyDescent="0.2">
      <c r="A72" s="17"/>
      <c r="B72" s="17" t="s">
        <v>61</v>
      </c>
      <c r="C72" s="17"/>
      <c r="D72" s="17"/>
      <c r="E72" s="17"/>
      <c r="F72" s="17"/>
      <c r="G72" s="17"/>
      <c r="H72" s="17"/>
    </row>
    <row r="73" spans="1:8" x14ac:dyDescent="0.2">
      <c r="A73" s="17"/>
      <c r="B73" s="17"/>
      <c r="C73" s="17"/>
      <c r="D73" s="17"/>
      <c r="E73" s="17"/>
      <c r="F73" s="17"/>
      <c r="G73" s="17"/>
      <c r="H73" s="17"/>
    </row>
    <row r="74" spans="1:8" x14ac:dyDescent="0.2">
      <c r="A74" s="17"/>
      <c r="B74" s="20" t="s">
        <v>62</v>
      </c>
      <c r="C74" s="17"/>
      <c r="D74" s="17"/>
      <c r="E74" s="17"/>
      <c r="F74" s="17"/>
      <c r="G74" s="17"/>
      <c r="H74" s="17"/>
    </row>
    <row r="75" spans="1:8" x14ac:dyDescent="0.2">
      <c r="A75" s="17"/>
      <c r="B75" s="17"/>
      <c r="C75" s="17"/>
      <c r="D75" s="17"/>
      <c r="E75" s="17"/>
      <c r="F75" s="17"/>
      <c r="G75" s="17"/>
      <c r="H75" s="17"/>
    </row>
    <row r="76" spans="1:8" x14ac:dyDescent="0.2">
      <c r="A76" s="17"/>
      <c r="B76" s="17" t="s">
        <v>63</v>
      </c>
      <c r="C76" s="17"/>
      <c r="D76" s="17"/>
      <c r="E76" s="17"/>
      <c r="F76" s="17"/>
      <c r="G76" s="17"/>
      <c r="H76" s="17"/>
    </row>
    <row r="77" spans="1:8" x14ac:dyDescent="0.2">
      <c r="A77" s="17"/>
      <c r="B77" s="17" t="s">
        <v>64</v>
      </c>
      <c r="C77" s="17"/>
      <c r="D77" s="17"/>
      <c r="E77" s="17"/>
      <c r="F77" s="17"/>
      <c r="G77" s="17"/>
      <c r="H77" s="17"/>
    </row>
    <row r="78" spans="1:8" x14ac:dyDescent="0.2">
      <c r="A78" s="17"/>
      <c r="B78" s="17"/>
      <c r="C78" s="17"/>
      <c r="D78" s="17"/>
      <c r="E78" s="17"/>
      <c r="F78" s="17"/>
      <c r="G78" s="17"/>
      <c r="H78" s="17"/>
    </row>
    <row r="79" spans="1:8" x14ac:dyDescent="0.2">
      <c r="A79" s="17"/>
      <c r="B79" s="17" t="s">
        <v>65</v>
      </c>
      <c r="C79" s="17"/>
      <c r="D79" s="17"/>
      <c r="E79" s="17"/>
      <c r="F79" s="17"/>
      <c r="G79" s="17"/>
      <c r="H79" s="17"/>
    </row>
    <row r="80" spans="1:8" x14ac:dyDescent="0.2">
      <c r="A80" s="17"/>
      <c r="B80" s="17"/>
      <c r="C80" s="17"/>
      <c r="D80" s="17"/>
      <c r="E80" s="17"/>
      <c r="F80" s="17"/>
      <c r="G80" s="17"/>
      <c r="H80" s="17"/>
    </row>
    <row r="81" spans="1:8" x14ac:dyDescent="0.2">
      <c r="A81" s="17"/>
      <c r="B81" s="17" t="s">
        <v>66</v>
      </c>
      <c r="C81" s="17"/>
      <c r="D81" s="17" t="s">
        <v>67</v>
      </c>
      <c r="E81" s="17"/>
      <c r="F81" s="17" t="s">
        <v>68</v>
      </c>
      <c r="G81" s="17"/>
      <c r="H81" s="17" t="s">
        <v>68</v>
      </c>
    </row>
    <row r="82" spans="1:8" x14ac:dyDescent="0.2">
      <c r="A82" s="17"/>
      <c r="B82" s="17"/>
      <c r="C82" s="17"/>
      <c r="D82" s="17" t="s">
        <v>69</v>
      </c>
      <c r="E82" s="17"/>
      <c r="F82" s="17" t="s">
        <v>70</v>
      </c>
      <c r="G82" s="17"/>
      <c r="H82" s="17" t="s">
        <v>71</v>
      </c>
    </row>
    <row r="83" spans="1:8" x14ac:dyDescent="0.2">
      <c r="A83" s="17"/>
      <c r="B83" s="17"/>
      <c r="C83" s="17"/>
      <c r="D83" s="17"/>
      <c r="E83" s="17"/>
      <c r="F83" s="17"/>
      <c r="G83" s="17"/>
      <c r="H83" s="17"/>
    </row>
    <row r="84" spans="1:8" x14ac:dyDescent="0.2">
      <c r="A84" s="17"/>
      <c r="B84" s="21">
        <v>63</v>
      </c>
      <c r="C84" s="21"/>
      <c r="D84" s="21">
        <v>100</v>
      </c>
      <c r="E84" s="21"/>
      <c r="F84" s="21"/>
      <c r="G84" s="21"/>
      <c r="H84" s="21"/>
    </row>
    <row r="85" spans="1:8" x14ac:dyDescent="0.2">
      <c r="A85" s="17"/>
      <c r="B85" s="21">
        <v>50</v>
      </c>
      <c r="C85" s="21"/>
      <c r="D85" s="21">
        <f>95-100</f>
        <v>-5</v>
      </c>
      <c r="E85" s="21"/>
      <c r="F85" s="21">
        <v>100</v>
      </c>
      <c r="G85" s="21"/>
      <c r="H85" s="21"/>
    </row>
    <row r="86" spans="1:8" x14ac:dyDescent="0.2">
      <c r="A86" s="17"/>
      <c r="B86" s="21">
        <v>38.1</v>
      </c>
      <c r="C86" s="21"/>
      <c r="D86" s="21" t="s">
        <v>392</v>
      </c>
      <c r="E86" s="21"/>
      <c r="F86" s="21">
        <f>95-100</f>
        <v>-5</v>
      </c>
      <c r="G86" s="21"/>
      <c r="H86" s="21"/>
    </row>
    <row r="87" spans="1:8" x14ac:dyDescent="0.2">
      <c r="A87" s="17"/>
      <c r="B87" s="21">
        <v>25</v>
      </c>
      <c r="C87" s="21"/>
      <c r="D87" s="21">
        <f>35-70</f>
        <v>-35</v>
      </c>
      <c r="E87" s="21"/>
      <c r="F87" s="21" t="s">
        <v>392</v>
      </c>
      <c r="G87" s="21"/>
      <c r="H87" s="21">
        <v>100</v>
      </c>
    </row>
    <row r="88" spans="1:8" x14ac:dyDescent="0.2">
      <c r="A88" s="17"/>
      <c r="B88" s="21">
        <v>19</v>
      </c>
      <c r="C88" s="21"/>
      <c r="D88" s="21" t="s">
        <v>392</v>
      </c>
      <c r="E88" s="21"/>
      <c r="F88" s="21">
        <f>35-70</f>
        <v>-35</v>
      </c>
      <c r="G88" s="21"/>
      <c r="H88" s="21">
        <f>90-100</f>
        <v>-10</v>
      </c>
    </row>
    <row r="89" spans="1:8" x14ac:dyDescent="0.2">
      <c r="A89" s="17"/>
      <c r="B89" s="21">
        <v>12.5</v>
      </c>
      <c r="C89" s="21"/>
      <c r="D89" s="21">
        <f>10-30</f>
        <v>-20</v>
      </c>
      <c r="E89" s="21"/>
      <c r="F89" s="21" t="s">
        <v>392</v>
      </c>
      <c r="G89" s="21"/>
      <c r="H89" s="21" t="s">
        <v>392</v>
      </c>
    </row>
    <row r="90" spans="1:8" x14ac:dyDescent="0.2">
      <c r="A90" s="17"/>
      <c r="B90" s="21">
        <v>9.5</v>
      </c>
      <c r="C90" s="21"/>
      <c r="D90" s="21" t="s">
        <v>392</v>
      </c>
      <c r="E90" s="21"/>
      <c r="F90" s="21">
        <f>10-30</f>
        <v>-20</v>
      </c>
      <c r="G90" s="21"/>
      <c r="H90" s="21">
        <f>20-55</f>
        <v>-35</v>
      </c>
    </row>
    <row r="91" spans="1:8" x14ac:dyDescent="0.2">
      <c r="A91" s="17"/>
      <c r="B91" s="21">
        <v>4.75</v>
      </c>
      <c r="C91" s="21"/>
      <c r="D91" s="21">
        <f>0-5</f>
        <v>-5</v>
      </c>
      <c r="E91" s="21"/>
      <c r="F91" s="21" t="s">
        <v>72</v>
      </c>
      <c r="G91" s="21"/>
      <c r="H91" s="21">
        <f>0-10</f>
        <v>-10</v>
      </c>
    </row>
    <row r="92" spans="1:8" x14ac:dyDescent="0.2">
      <c r="A92" s="17"/>
      <c r="B92" s="21">
        <v>2.36</v>
      </c>
      <c r="C92" s="21"/>
      <c r="D92" s="21" t="s">
        <v>392</v>
      </c>
      <c r="E92" s="21"/>
      <c r="F92" s="21" t="s">
        <v>392</v>
      </c>
      <c r="G92" s="21"/>
      <c r="H92" s="21" t="s">
        <v>73</v>
      </c>
    </row>
    <row r="93" spans="1:8" x14ac:dyDescent="0.2">
      <c r="A93" s="17"/>
      <c r="B93" s="17"/>
      <c r="C93" s="17"/>
      <c r="D93" s="17"/>
      <c r="E93" s="17"/>
      <c r="F93" s="17"/>
      <c r="G93" s="17"/>
      <c r="H93" s="17"/>
    </row>
    <row r="94" spans="1:8" x14ac:dyDescent="0.2">
      <c r="A94" s="17"/>
      <c r="B94" s="17" t="s">
        <v>74</v>
      </c>
      <c r="C94" s="17"/>
      <c r="D94" s="17"/>
      <c r="E94" s="17"/>
      <c r="F94" s="17"/>
      <c r="G94" s="17"/>
      <c r="H94" s="17"/>
    </row>
    <row r="95" spans="1:8" x14ac:dyDescent="0.2">
      <c r="A95" s="17"/>
      <c r="B95" s="17" t="s">
        <v>75</v>
      </c>
      <c r="C95" s="17"/>
      <c r="D95" s="17"/>
      <c r="E95" s="17"/>
      <c r="F95" s="17"/>
      <c r="G95" s="17"/>
      <c r="H95" s="17"/>
    </row>
    <row r="96" spans="1:8" x14ac:dyDescent="0.2">
      <c r="A96" s="17"/>
      <c r="B96" s="17" t="s">
        <v>76</v>
      </c>
      <c r="C96" s="17"/>
      <c r="D96" s="17"/>
      <c r="E96" s="17"/>
      <c r="F96" s="17"/>
      <c r="G96" s="17"/>
      <c r="H96" s="17"/>
    </row>
    <row r="97" spans="1:8" x14ac:dyDescent="0.2">
      <c r="A97" s="17"/>
      <c r="B97" s="17"/>
      <c r="C97" s="17"/>
      <c r="D97" s="17"/>
      <c r="E97" s="17"/>
      <c r="F97" s="17"/>
      <c r="G97" s="17"/>
      <c r="H97" s="17"/>
    </row>
    <row r="98" spans="1:8" x14ac:dyDescent="0.2">
      <c r="A98" s="17"/>
      <c r="B98" s="17"/>
      <c r="C98" s="17"/>
      <c r="D98" s="17"/>
      <c r="E98" s="17"/>
      <c r="F98" s="17"/>
      <c r="G98" s="17"/>
      <c r="H98" s="17"/>
    </row>
    <row r="99" spans="1:8" x14ac:dyDescent="0.2">
      <c r="A99" s="17"/>
      <c r="B99" s="20" t="s">
        <v>77</v>
      </c>
      <c r="C99" s="17"/>
      <c r="D99" s="17"/>
      <c r="E99" s="17"/>
      <c r="F99" s="17"/>
      <c r="G99" s="17"/>
      <c r="H99" s="17"/>
    </row>
    <row r="100" spans="1:8" x14ac:dyDescent="0.2">
      <c r="A100" s="17"/>
      <c r="B100" s="17"/>
      <c r="C100" s="17"/>
      <c r="D100" s="17"/>
      <c r="E100" s="17"/>
      <c r="F100" s="17"/>
      <c r="G100" s="17"/>
      <c r="H100" s="17"/>
    </row>
    <row r="101" spans="1:8" x14ac:dyDescent="0.2">
      <c r="A101" s="17"/>
      <c r="B101" s="17" t="s">
        <v>78</v>
      </c>
      <c r="C101" s="17"/>
      <c r="D101" s="17"/>
      <c r="E101" s="17"/>
      <c r="F101" s="17"/>
      <c r="G101" s="17"/>
      <c r="H101" s="17"/>
    </row>
    <row r="102" spans="1:8" x14ac:dyDescent="0.2">
      <c r="A102" s="17"/>
      <c r="B102" s="17" t="s">
        <v>79</v>
      </c>
      <c r="C102" s="17"/>
      <c r="D102" s="17"/>
      <c r="E102" s="17"/>
      <c r="F102" s="17"/>
      <c r="G102" s="17"/>
      <c r="H102" s="17"/>
    </row>
    <row r="103" spans="1:8" x14ac:dyDescent="0.2">
      <c r="A103" s="17"/>
      <c r="B103" s="17" t="s">
        <v>80</v>
      </c>
      <c r="C103" s="17"/>
      <c r="D103" s="17"/>
      <c r="E103" s="17"/>
      <c r="F103" s="17"/>
      <c r="G103" s="17"/>
      <c r="H103" s="17"/>
    </row>
    <row r="104" spans="1:8" x14ac:dyDescent="0.2">
      <c r="A104" s="17"/>
      <c r="B104" s="17"/>
      <c r="C104" s="17"/>
      <c r="D104" s="17"/>
      <c r="E104" s="17"/>
      <c r="F104" s="17"/>
      <c r="G104" s="17"/>
      <c r="H104" s="17"/>
    </row>
    <row r="105" spans="1:8" x14ac:dyDescent="0.2">
      <c r="A105" s="17"/>
      <c r="B105" s="17" t="s">
        <v>81</v>
      </c>
      <c r="C105" s="17"/>
      <c r="D105" s="17"/>
      <c r="E105" s="17"/>
      <c r="F105" s="17"/>
      <c r="G105" s="17"/>
      <c r="H105" s="17"/>
    </row>
    <row r="106" spans="1:8" x14ac:dyDescent="0.2">
      <c r="A106" s="17"/>
      <c r="B106" s="17"/>
      <c r="C106" s="17"/>
      <c r="D106" s="17"/>
      <c r="E106" s="17"/>
      <c r="F106" s="17"/>
      <c r="G106" s="17"/>
      <c r="H106" s="17"/>
    </row>
    <row r="107" spans="1:8" x14ac:dyDescent="0.2">
      <c r="A107" s="17"/>
      <c r="B107" s="17" t="s">
        <v>82</v>
      </c>
      <c r="C107" s="17"/>
      <c r="D107" s="17"/>
      <c r="E107" s="17"/>
      <c r="F107" s="17"/>
      <c r="G107" s="17"/>
      <c r="H107" s="17"/>
    </row>
    <row r="108" spans="1:8" x14ac:dyDescent="0.2">
      <c r="A108" s="17"/>
      <c r="B108" s="17"/>
      <c r="C108" s="17"/>
      <c r="D108" s="17"/>
      <c r="E108" s="17"/>
      <c r="F108" s="17"/>
      <c r="G108" s="17"/>
      <c r="H108" s="17"/>
    </row>
    <row r="109" spans="1:8" x14ac:dyDescent="0.2">
      <c r="A109" s="17"/>
      <c r="B109" s="17" t="s">
        <v>66</v>
      </c>
      <c r="C109" s="17"/>
      <c r="D109" s="17" t="s">
        <v>83</v>
      </c>
      <c r="E109" s="17"/>
      <c r="F109" s="17"/>
      <c r="G109" s="17"/>
      <c r="H109" s="17"/>
    </row>
    <row r="110" spans="1:8" x14ac:dyDescent="0.2">
      <c r="A110" s="17"/>
      <c r="B110" s="17" t="s">
        <v>84</v>
      </c>
      <c r="C110" s="17"/>
      <c r="D110" s="17"/>
      <c r="E110" s="17"/>
      <c r="F110" s="17"/>
      <c r="G110" s="17"/>
      <c r="H110" s="17"/>
    </row>
    <row r="111" spans="1:8" x14ac:dyDescent="0.2">
      <c r="A111" s="17"/>
      <c r="B111" s="17"/>
      <c r="C111" s="17"/>
      <c r="D111" s="17"/>
      <c r="E111" s="17"/>
      <c r="F111" s="17"/>
      <c r="G111" s="17"/>
      <c r="H111" s="17"/>
    </row>
    <row r="112" spans="1:8" x14ac:dyDescent="0.2">
      <c r="A112" s="17"/>
      <c r="B112" s="21">
        <v>4.75</v>
      </c>
      <c r="C112" s="17"/>
      <c r="D112" s="21" t="s">
        <v>85</v>
      </c>
      <c r="E112" s="21"/>
      <c r="F112" s="21"/>
      <c r="G112" s="21"/>
      <c r="H112" s="21"/>
    </row>
    <row r="113" spans="1:8" x14ac:dyDescent="0.2">
      <c r="A113" s="17"/>
      <c r="B113" s="21">
        <v>2.36</v>
      </c>
      <c r="C113" s="17"/>
      <c r="D113" s="21">
        <f>80-100</f>
        <v>-20</v>
      </c>
      <c r="E113" s="21"/>
      <c r="F113" s="21"/>
      <c r="G113" s="21"/>
      <c r="H113" s="21"/>
    </row>
    <row r="114" spans="1:8" x14ac:dyDescent="0.2">
      <c r="A114" s="17"/>
      <c r="B114" s="21">
        <v>1.18</v>
      </c>
      <c r="C114" s="17"/>
      <c r="D114" s="21" t="s">
        <v>86</v>
      </c>
      <c r="E114" s="21"/>
      <c r="F114" s="21"/>
      <c r="G114" s="21"/>
      <c r="H114" s="17"/>
    </row>
    <row r="115" spans="1:8" x14ac:dyDescent="0.2">
      <c r="A115" s="17"/>
      <c r="B115" s="17" t="s">
        <v>87</v>
      </c>
      <c r="C115" s="17"/>
      <c r="D115" s="21">
        <f>25-60</f>
        <v>-35</v>
      </c>
      <c r="E115" s="21"/>
      <c r="F115" s="17"/>
      <c r="G115" s="21"/>
      <c r="H115" s="21"/>
    </row>
    <row r="116" spans="1:8" x14ac:dyDescent="0.2">
      <c r="A116" s="17"/>
      <c r="B116" s="17" t="s">
        <v>88</v>
      </c>
      <c r="C116" s="17"/>
      <c r="D116" s="21" t="s">
        <v>89</v>
      </c>
      <c r="E116" s="21"/>
      <c r="F116" s="21"/>
      <c r="G116" s="21"/>
      <c r="H116" s="21"/>
    </row>
    <row r="117" spans="1:8" x14ac:dyDescent="0.2">
      <c r="A117" s="17"/>
      <c r="B117" s="17"/>
      <c r="C117" s="17"/>
      <c r="D117" s="21"/>
      <c r="E117" s="21"/>
      <c r="F117" s="17"/>
      <c r="G117" s="21"/>
      <c r="H117" s="21"/>
    </row>
    <row r="118" spans="1:8" x14ac:dyDescent="0.2">
      <c r="A118" s="17"/>
      <c r="B118" s="17" t="s">
        <v>90</v>
      </c>
      <c r="C118" s="17"/>
      <c r="D118" s="21"/>
      <c r="E118" s="21"/>
      <c r="F118" s="21"/>
      <c r="G118" s="21"/>
      <c r="H118" s="21"/>
    </row>
    <row r="119" spans="1:8" x14ac:dyDescent="0.2">
      <c r="A119" s="17"/>
      <c r="B119" s="17" t="s">
        <v>91</v>
      </c>
      <c r="C119" s="17"/>
      <c r="D119" s="21"/>
      <c r="E119" s="21"/>
      <c r="F119" s="17"/>
      <c r="G119" s="21"/>
      <c r="H119" s="21"/>
    </row>
    <row r="120" spans="1:8" x14ac:dyDescent="0.2">
      <c r="A120" s="17"/>
      <c r="B120" s="17"/>
      <c r="C120" s="17"/>
      <c r="D120" s="21"/>
      <c r="E120" s="21"/>
      <c r="F120" s="21"/>
      <c r="G120" s="21"/>
      <c r="H120" s="21"/>
    </row>
    <row r="121" spans="1:8" x14ac:dyDescent="0.2">
      <c r="A121" s="17"/>
      <c r="B121" s="17" t="s">
        <v>92</v>
      </c>
      <c r="C121" s="17"/>
      <c r="D121" s="17"/>
      <c r="E121" s="17"/>
      <c r="F121" s="17"/>
      <c r="G121" s="17"/>
      <c r="H121" s="17"/>
    </row>
    <row r="122" spans="1:8" x14ac:dyDescent="0.2">
      <c r="A122" s="17"/>
      <c r="B122" s="17" t="s">
        <v>93</v>
      </c>
      <c r="C122" s="17"/>
      <c r="D122" s="17"/>
      <c r="E122" s="17"/>
      <c r="F122" s="17"/>
      <c r="G122" s="17"/>
      <c r="H122" s="17"/>
    </row>
    <row r="123" spans="1:8" x14ac:dyDescent="0.2">
      <c r="A123" s="17"/>
      <c r="B123" s="17"/>
      <c r="C123" s="17"/>
      <c r="D123" s="17"/>
      <c r="E123" s="17"/>
      <c r="F123" s="17"/>
      <c r="G123" s="17"/>
      <c r="H123" s="17"/>
    </row>
    <row r="124" spans="1:8" x14ac:dyDescent="0.2">
      <c r="A124" s="17"/>
      <c r="B124" s="17"/>
      <c r="C124" s="17"/>
      <c r="D124" s="17"/>
      <c r="E124" s="17"/>
      <c r="F124" s="17"/>
      <c r="G124" s="17"/>
      <c r="H124" s="17"/>
    </row>
    <row r="125" spans="1:8" x14ac:dyDescent="0.2">
      <c r="A125" s="17"/>
      <c r="B125" s="20" t="s">
        <v>94</v>
      </c>
      <c r="C125" s="17"/>
      <c r="D125" s="17"/>
      <c r="E125" s="17"/>
      <c r="F125" s="17"/>
      <c r="G125" s="17"/>
      <c r="H125" s="17"/>
    </row>
    <row r="126" spans="1:8" x14ac:dyDescent="0.2">
      <c r="A126" s="17"/>
      <c r="B126" s="17"/>
      <c r="C126" s="17"/>
      <c r="D126" s="17"/>
      <c r="E126" s="17"/>
      <c r="F126" s="17"/>
      <c r="G126" s="17"/>
      <c r="H126" s="17"/>
    </row>
    <row r="127" spans="1:8" x14ac:dyDescent="0.2">
      <c r="A127" s="17"/>
      <c r="B127" s="17" t="s">
        <v>95</v>
      </c>
      <c r="C127" s="17"/>
      <c r="D127" s="17"/>
      <c r="E127" s="17"/>
      <c r="F127" s="17"/>
      <c r="G127" s="17"/>
      <c r="H127" s="17"/>
    </row>
    <row r="128" spans="1:8" x14ac:dyDescent="0.2">
      <c r="A128" s="17"/>
      <c r="B128" s="17" t="s">
        <v>96</v>
      </c>
      <c r="C128" s="17"/>
      <c r="D128" s="17"/>
      <c r="E128" s="17"/>
      <c r="F128" s="17"/>
      <c r="G128" s="17"/>
      <c r="H128" s="17"/>
    </row>
    <row r="129" spans="1:8" x14ac:dyDescent="0.2">
      <c r="A129" s="17"/>
      <c r="B129" s="17"/>
      <c r="C129" s="17"/>
      <c r="D129" s="17"/>
      <c r="E129" s="17"/>
      <c r="F129" s="17"/>
      <c r="G129" s="17"/>
      <c r="H129" s="17"/>
    </row>
    <row r="130" spans="1:8" x14ac:dyDescent="0.2">
      <c r="A130" s="17"/>
      <c r="B130" s="17"/>
      <c r="C130" s="17"/>
      <c r="D130" s="17"/>
      <c r="E130" s="17"/>
      <c r="F130" s="17"/>
      <c r="G130" s="17"/>
      <c r="H130" s="17"/>
    </row>
    <row r="131" spans="1:8" x14ac:dyDescent="0.2">
      <c r="A131" s="17"/>
      <c r="B131" s="20" t="s">
        <v>97</v>
      </c>
      <c r="C131" s="17"/>
      <c r="D131" s="17"/>
      <c r="E131" s="17"/>
      <c r="F131" s="17"/>
      <c r="G131" s="17"/>
      <c r="H131" s="17"/>
    </row>
    <row r="132" spans="1:8" x14ac:dyDescent="0.2">
      <c r="A132" s="17"/>
      <c r="B132" s="17"/>
      <c r="C132" s="17"/>
      <c r="D132" s="17"/>
      <c r="E132" s="17"/>
      <c r="F132" s="17"/>
      <c r="G132" s="17"/>
      <c r="H132" s="17"/>
    </row>
    <row r="133" spans="1:8" x14ac:dyDescent="0.2">
      <c r="A133" s="17"/>
      <c r="B133" s="17" t="s">
        <v>98</v>
      </c>
      <c r="C133" s="17"/>
      <c r="D133" s="17"/>
      <c r="E133" s="17"/>
      <c r="F133" s="17"/>
      <c r="G133" s="17"/>
      <c r="H133" s="17"/>
    </row>
    <row r="134" spans="1:8" x14ac:dyDescent="0.2">
      <c r="A134" s="17"/>
      <c r="B134" s="17" t="s">
        <v>99</v>
      </c>
      <c r="C134" s="17"/>
      <c r="D134" s="17"/>
      <c r="E134" s="17"/>
      <c r="F134" s="17"/>
      <c r="G134" s="17"/>
      <c r="H134" s="17"/>
    </row>
    <row r="135" spans="1:8" x14ac:dyDescent="0.2">
      <c r="A135" s="17"/>
      <c r="B135" s="17"/>
      <c r="C135" s="17"/>
      <c r="D135" s="17"/>
      <c r="E135" s="17"/>
      <c r="F135" s="17"/>
      <c r="G135" s="17"/>
      <c r="H135" s="17"/>
    </row>
    <row r="136" spans="1:8" x14ac:dyDescent="0.2">
      <c r="A136" s="17"/>
      <c r="B136" s="17" t="s">
        <v>100</v>
      </c>
      <c r="C136" s="17"/>
      <c r="D136" s="17"/>
      <c r="E136" s="17"/>
      <c r="F136" s="17"/>
      <c r="G136" s="17"/>
      <c r="H136" s="17"/>
    </row>
    <row r="137" spans="1:8" x14ac:dyDescent="0.2">
      <c r="A137" s="17"/>
      <c r="B137" s="17"/>
      <c r="C137" s="17"/>
      <c r="D137" s="17"/>
      <c r="E137" s="17"/>
      <c r="F137" s="17"/>
      <c r="G137" s="17"/>
      <c r="H137" s="17"/>
    </row>
    <row r="138" spans="1:8" x14ac:dyDescent="0.2">
      <c r="A138" s="17"/>
      <c r="B138" s="17" t="s">
        <v>101</v>
      </c>
      <c r="C138" s="17"/>
      <c r="D138" s="17"/>
      <c r="E138" s="17"/>
      <c r="F138" s="17"/>
      <c r="G138" s="17"/>
      <c r="H138" s="17"/>
    </row>
    <row r="139" spans="1:8" x14ac:dyDescent="0.2">
      <c r="A139" s="17"/>
      <c r="B139" s="17" t="s">
        <v>102</v>
      </c>
      <c r="C139" s="17"/>
      <c r="D139" s="17"/>
      <c r="E139" s="17"/>
      <c r="F139" s="17"/>
      <c r="G139" s="17"/>
      <c r="H139" s="17"/>
    </row>
    <row r="140" spans="1:8" x14ac:dyDescent="0.2">
      <c r="A140" s="17"/>
      <c r="B140" s="17"/>
      <c r="C140" s="17"/>
      <c r="D140" s="17"/>
      <c r="E140" s="17"/>
      <c r="F140" s="17"/>
      <c r="G140" s="17"/>
      <c r="H140" s="17"/>
    </row>
    <row r="141" spans="1:8" x14ac:dyDescent="0.2">
      <c r="A141" s="17"/>
      <c r="B141" s="17" t="s">
        <v>103</v>
      </c>
      <c r="C141" s="17"/>
      <c r="D141" s="17"/>
      <c r="E141" s="17"/>
      <c r="F141" s="17"/>
      <c r="G141" s="17"/>
      <c r="H141" s="17"/>
    </row>
    <row r="142" spans="1:8" x14ac:dyDescent="0.2">
      <c r="A142" s="17"/>
      <c r="B142" s="17" t="s">
        <v>104</v>
      </c>
      <c r="C142" s="17"/>
      <c r="D142" s="17"/>
      <c r="E142" s="17"/>
      <c r="F142" s="17"/>
      <c r="G142" s="17"/>
      <c r="H142" s="17"/>
    </row>
    <row r="143" spans="1:8" x14ac:dyDescent="0.2">
      <c r="A143" s="17"/>
      <c r="B143" s="17" t="s">
        <v>105</v>
      </c>
      <c r="C143" s="17"/>
      <c r="D143" s="17"/>
      <c r="E143" s="17"/>
      <c r="F143" s="17"/>
      <c r="G143" s="17"/>
      <c r="H143" s="17"/>
    </row>
    <row r="144" spans="1:8" x14ac:dyDescent="0.2">
      <c r="A144" s="17"/>
      <c r="B144" s="17" t="s">
        <v>106</v>
      </c>
      <c r="C144" s="17"/>
      <c r="D144" s="17"/>
      <c r="E144" s="17"/>
      <c r="F144" s="17"/>
      <c r="G144" s="17"/>
      <c r="H144" s="17"/>
    </row>
    <row r="145" spans="1:8" x14ac:dyDescent="0.2">
      <c r="A145" s="17"/>
      <c r="B145" s="17"/>
      <c r="C145" s="17"/>
      <c r="D145" s="17"/>
      <c r="E145" s="17"/>
      <c r="F145" s="17"/>
      <c r="G145" s="17"/>
      <c r="H145" s="17"/>
    </row>
    <row r="146" spans="1:8" x14ac:dyDescent="0.2">
      <c r="A146" s="17"/>
      <c r="B146" s="17" t="s">
        <v>107</v>
      </c>
      <c r="C146" s="17"/>
      <c r="D146" s="17"/>
      <c r="E146" s="17"/>
      <c r="F146" s="17"/>
      <c r="G146" s="17"/>
      <c r="H146" s="17"/>
    </row>
    <row r="147" spans="1:8" x14ac:dyDescent="0.2">
      <c r="A147" s="17"/>
      <c r="B147" s="17" t="s">
        <v>108</v>
      </c>
      <c r="C147" s="17"/>
      <c r="D147" s="17"/>
      <c r="E147" s="17"/>
      <c r="F147" s="17"/>
      <c r="G147" s="17"/>
      <c r="H147" s="17"/>
    </row>
    <row r="148" spans="1:8" x14ac:dyDescent="0.2">
      <c r="A148" s="17"/>
      <c r="B148" s="17" t="s">
        <v>109</v>
      </c>
      <c r="C148" s="17"/>
      <c r="D148" s="17"/>
      <c r="E148" s="17"/>
      <c r="F148" s="17"/>
      <c r="G148" s="17"/>
      <c r="H148" s="17"/>
    </row>
    <row r="149" spans="1:8" x14ac:dyDescent="0.2">
      <c r="A149" s="17"/>
      <c r="B149" s="17" t="s">
        <v>110</v>
      </c>
      <c r="C149" s="17"/>
      <c r="D149" s="17"/>
      <c r="E149" s="17"/>
      <c r="F149" s="17"/>
      <c r="G149" s="17"/>
      <c r="H149" s="17"/>
    </row>
    <row r="150" spans="1:8" x14ac:dyDescent="0.2">
      <c r="A150" s="17"/>
      <c r="B150" s="17"/>
      <c r="C150" s="17"/>
      <c r="D150" s="17"/>
      <c r="E150" s="17"/>
      <c r="F150" s="17"/>
      <c r="G150" s="17"/>
      <c r="H150" s="17"/>
    </row>
    <row r="151" spans="1:8" x14ac:dyDescent="0.2">
      <c r="A151" s="17"/>
      <c r="B151" s="17" t="s">
        <v>111</v>
      </c>
      <c r="C151" s="17"/>
      <c r="D151" s="17"/>
      <c r="E151" s="17"/>
      <c r="F151" s="17"/>
      <c r="G151" s="17"/>
      <c r="H151" s="17"/>
    </row>
    <row r="152" spans="1:8" x14ac:dyDescent="0.2">
      <c r="A152" s="17"/>
      <c r="B152" s="17" t="s">
        <v>112</v>
      </c>
      <c r="C152" s="17"/>
      <c r="D152" s="17"/>
      <c r="E152" s="17"/>
      <c r="F152" s="17"/>
      <c r="G152" s="17"/>
      <c r="H152" s="17"/>
    </row>
    <row r="153" spans="1:8" x14ac:dyDescent="0.2">
      <c r="A153" s="17"/>
      <c r="B153" s="17"/>
      <c r="C153" s="17"/>
      <c r="D153" s="17"/>
      <c r="E153" s="17"/>
      <c r="F153" s="17"/>
      <c r="G153" s="17"/>
      <c r="H153" s="17"/>
    </row>
    <row r="154" spans="1:8" x14ac:dyDescent="0.2">
      <c r="A154" s="17"/>
      <c r="B154" s="17" t="s">
        <v>113</v>
      </c>
      <c r="C154" s="17"/>
      <c r="D154" s="17"/>
      <c r="E154" s="17"/>
      <c r="F154" s="17"/>
      <c r="G154" s="17"/>
      <c r="H154" s="17"/>
    </row>
    <row r="155" spans="1:8" x14ac:dyDescent="0.2">
      <c r="A155" s="17"/>
      <c r="B155" s="17" t="s">
        <v>114</v>
      </c>
      <c r="C155" s="17"/>
      <c r="D155" s="17"/>
      <c r="E155" s="17"/>
      <c r="F155" s="17"/>
      <c r="G155" s="17"/>
      <c r="H155" s="17"/>
    </row>
    <row r="156" spans="1:8" x14ac:dyDescent="0.2">
      <c r="A156" s="17"/>
      <c r="B156" s="17"/>
      <c r="C156" s="17"/>
      <c r="D156" s="17"/>
      <c r="E156" s="17"/>
      <c r="F156" s="17"/>
      <c r="G156" s="17"/>
      <c r="H156" s="17"/>
    </row>
    <row r="157" spans="1:8" x14ac:dyDescent="0.2">
      <c r="A157" s="17"/>
      <c r="B157" s="17" t="s">
        <v>115</v>
      </c>
      <c r="C157" s="17"/>
      <c r="D157" s="17"/>
      <c r="E157" s="17"/>
      <c r="F157" s="17"/>
      <c r="G157" s="17"/>
      <c r="H157" s="17"/>
    </row>
    <row r="158" spans="1:8" x14ac:dyDescent="0.2">
      <c r="A158" s="17"/>
      <c r="B158" s="17"/>
      <c r="C158" s="17"/>
      <c r="D158" s="17"/>
      <c r="E158" s="17"/>
      <c r="F158" s="17"/>
      <c r="G158" s="17"/>
      <c r="H158" s="17"/>
    </row>
    <row r="159" spans="1:8" x14ac:dyDescent="0.2">
      <c r="A159" s="17"/>
      <c r="B159" s="17" t="s">
        <v>116</v>
      </c>
      <c r="C159" s="17"/>
      <c r="D159" s="17"/>
      <c r="E159" s="17"/>
      <c r="F159" s="17"/>
      <c r="G159" s="17"/>
      <c r="H159" s="17"/>
    </row>
    <row r="160" spans="1:8" x14ac:dyDescent="0.2">
      <c r="A160" s="17"/>
      <c r="B160" s="17" t="s">
        <v>117</v>
      </c>
      <c r="C160" s="17"/>
      <c r="D160" s="17"/>
      <c r="E160" s="17"/>
      <c r="F160" s="17"/>
      <c r="G160" s="17"/>
      <c r="H160" s="17"/>
    </row>
    <row r="161" spans="1:8" x14ac:dyDescent="0.2">
      <c r="A161" s="17"/>
      <c r="B161" s="17" t="s">
        <v>118</v>
      </c>
      <c r="C161" s="17"/>
      <c r="D161" s="17"/>
      <c r="E161" s="17"/>
      <c r="F161" s="17"/>
      <c r="G161" s="17"/>
      <c r="H161" s="17"/>
    </row>
    <row r="162" spans="1:8" x14ac:dyDescent="0.2">
      <c r="A162" s="17"/>
      <c r="B162" s="17"/>
      <c r="C162" s="17"/>
      <c r="D162" s="17"/>
      <c r="E162" s="17"/>
      <c r="F162" s="17"/>
      <c r="G162" s="17"/>
      <c r="H162" s="17"/>
    </row>
    <row r="163" spans="1:8" x14ac:dyDescent="0.2">
      <c r="A163" s="17"/>
      <c r="B163" s="17" t="s">
        <v>119</v>
      </c>
      <c r="C163" s="17"/>
      <c r="D163" s="17"/>
      <c r="E163" s="17"/>
      <c r="F163" s="17"/>
      <c r="G163" s="17"/>
      <c r="H163" s="17"/>
    </row>
    <row r="164" spans="1:8" x14ac:dyDescent="0.2">
      <c r="A164" s="17"/>
      <c r="B164" s="17" t="s">
        <v>120</v>
      </c>
      <c r="C164" s="17"/>
      <c r="D164" s="17"/>
      <c r="E164" s="17"/>
      <c r="F164" s="17"/>
      <c r="G164" s="17"/>
      <c r="H164" s="17"/>
    </row>
    <row r="165" spans="1:8" x14ac:dyDescent="0.2">
      <c r="A165" s="17"/>
      <c r="B165" s="17" t="s">
        <v>121</v>
      </c>
      <c r="C165" s="17"/>
      <c r="D165" s="17"/>
      <c r="E165" s="17"/>
      <c r="F165" s="17"/>
      <c r="G165" s="17"/>
      <c r="H165" s="17"/>
    </row>
    <row r="166" spans="1:8" x14ac:dyDescent="0.2">
      <c r="A166" s="17"/>
      <c r="B166" s="17"/>
      <c r="C166" s="17"/>
      <c r="D166" s="17"/>
      <c r="E166" s="17"/>
      <c r="F166" s="17"/>
      <c r="G166" s="17"/>
      <c r="H166" s="17"/>
    </row>
    <row r="167" spans="1:8" x14ac:dyDescent="0.2">
      <c r="A167" s="17"/>
      <c r="B167" s="17" t="s">
        <v>122</v>
      </c>
      <c r="C167" s="17"/>
      <c r="D167" s="17"/>
      <c r="E167" s="17"/>
      <c r="F167" s="17"/>
      <c r="G167" s="17"/>
      <c r="H167" s="17"/>
    </row>
    <row r="168" spans="1:8" x14ac:dyDescent="0.2">
      <c r="A168" s="17"/>
      <c r="B168" s="17" t="s">
        <v>123</v>
      </c>
      <c r="C168" s="17"/>
      <c r="D168" s="17"/>
      <c r="E168" s="17"/>
      <c r="F168" s="17"/>
      <c r="G168" s="17"/>
      <c r="H168" s="17"/>
    </row>
    <row r="169" spans="1:8" x14ac:dyDescent="0.2">
      <c r="A169" s="17"/>
      <c r="B169" s="17" t="s">
        <v>124</v>
      </c>
      <c r="C169" s="17"/>
      <c r="D169" s="17"/>
      <c r="E169" s="17"/>
      <c r="F169" s="17"/>
      <c r="G169" s="17"/>
      <c r="H169" s="17"/>
    </row>
    <row r="170" spans="1:8" x14ac:dyDescent="0.2">
      <c r="A170" s="17"/>
      <c r="B170" s="17"/>
      <c r="C170" s="17"/>
      <c r="D170" s="17"/>
      <c r="E170" s="17"/>
      <c r="F170" s="17"/>
      <c r="G170" s="17"/>
      <c r="H170" s="17"/>
    </row>
    <row r="171" spans="1:8" x14ac:dyDescent="0.2">
      <c r="A171" s="17"/>
      <c r="B171" s="17"/>
      <c r="C171" s="17"/>
      <c r="D171" s="17"/>
      <c r="E171" s="17"/>
      <c r="F171" s="17"/>
      <c r="G171" s="17"/>
      <c r="H171" s="17"/>
    </row>
    <row r="172" spans="1:8" x14ac:dyDescent="0.2">
      <c r="A172" s="17"/>
      <c r="B172" s="20" t="s">
        <v>125</v>
      </c>
      <c r="C172" s="17"/>
      <c r="D172" s="17"/>
      <c r="E172" s="17"/>
      <c r="F172" s="17"/>
      <c r="G172" s="17"/>
      <c r="H172" s="17"/>
    </row>
    <row r="173" spans="1:8" x14ac:dyDescent="0.2">
      <c r="A173" s="17"/>
      <c r="B173" s="17"/>
      <c r="C173" s="17"/>
      <c r="D173" s="17"/>
      <c r="E173" s="17"/>
      <c r="F173" s="17"/>
      <c r="G173" s="17"/>
      <c r="H173" s="17"/>
    </row>
    <row r="174" spans="1:8" x14ac:dyDescent="0.2">
      <c r="A174" s="17"/>
      <c r="B174" s="17" t="s">
        <v>126</v>
      </c>
      <c r="C174" s="17"/>
      <c r="D174" s="17"/>
      <c r="E174" s="17"/>
      <c r="F174" s="17"/>
      <c r="G174" s="17"/>
      <c r="H174" s="17"/>
    </row>
    <row r="175" spans="1:8" x14ac:dyDescent="0.2">
      <c r="A175" s="17"/>
      <c r="B175" s="17" t="s">
        <v>127</v>
      </c>
      <c r="C175" s="17"/>
      <c r="D175" s="17"/>
      <c r="E175" s="17"/>
      <c r="F175" s="17"/>
      <c r="G175" s="17"/>
      <c r="H175" s="17"/>
    </row>
    <row r="176" spans="1:8" x14ac:dyDescent="0.2">
      <c r="A176" s="17"/>
      <c r="B176" s="17"/>
      <c r="C176" s="17"/>
      <c r="D176" s="17"/>
      <c r="E176" s="17"/>
      <c r="F176" s="17"/>
      <c r="G176" s="17"/>
      <c r="H176" s="17"/>
    </row>
    <row r="177" spans="1:8" x14ac:dyDescent="0.2">
      <c r="A177" s="17"/>
      <c r="B177" s="17" t="s">
        <v>128</v>
      </c>
      <c r="C177" s="17"/>
      <c r="D177" s="17"/>
      <c r="E177" s="17"/>
      <c r="F177" s="17"/>
      <c r="G177" s="17"/>
      <c r="H177" s="17"/>
    </row>
    <row r="178" spans="1:8" x14ac:dyDescent="0.2">
      <c r="A178" s="17"/>
      <c r="B178" s="17" t="s">
        <v>129</v>
      </c>
      <c r="C178" s="17"/>
      <c r="D178" s="17"/>
      <c r="E178" s="17"/>
      <c r="F178" s="17"/>
      <c r="G178" s="17"/>
      <c r="H178" s="17"/>
    </row>
    <row r="179" spans="1:8" x14ac:dyDescent="0.2">
      <c r="A179" s="17"/>
      <c r="B179" s="17"/>
      <c r="C179" s="17"/>
      <c r="D179" s="17"/>
      <c r="E179" s="17"/>
      <c r="F179" s="17"/>
      <c r="G179" s="17"/>
      <c r="H179" s="17"/>
    </row>
    <row r="180" spans="1:8" x14ac:dyDescent="0.2">
      <c r="A180" s="17"/>
      <c r="B180" s="17" t="s">
        <v>130</v>
      </c>
      <c r="C180" s="17"/>
      <c r="D180" s="17"/>
      <c r="E180" s="17"/>
      <c r="F180" s="17"/>
      <c r="G180" s="17"/>
      <c r="H180" s="17"/>
    </row>
    <row r="181" spans="1:8" x14ac:dyDescent="0.2">
      <c r="A181" s="17"/>
      <c r="B181" s="17" t="s">
        <v>131</v>
      </c>
      <c r="C181" s="17"/>
      <c r="D181" s="17"/>
      <c r="E181" s="17"/>
      <c r="F181" s="17"/>
      <c r="G181" s="17"/>
      <c r="H181" s="17"/>
    </row>
    <row r="182" spans="1:8" x14ac:dyDescent="0.2">
      <c r="A182" s="17"/>
      <c r="B182" s="17" t="s">
        <v>132</v>
      </c>
      <c r="C182" s="17"/>
      <c r="D182" s="17"/>
      <c r="E182" s="17"/>
      <c r="F182" s="17"/>
      <c r="G182" s="17"/>
      <c r="H182" s="17"/>
    </row>
    <row r="183" spans="1:8" x14ac:dyDescent="0.2">
      <c r="A183" s="17"/>
      <c r="B183" s="17"/>
      <c r="C183" s="17"/>
      <c r="D183" s="17"/>
      <c r="E183" s="17"/>
      <c r="F183" s="17"/>
      <c r="G183" s="17"/>
      <c r="H183" s="17"/>
    </row>
    <row r="184" spans="1:8" x14ac:dyDescent="0.2">
      <c r="A184" s="17"/>
      <c r="B184" s="17" t="s">
        <v>133</v>
      </c>
      <c r="C184" s="17"/>
      <c r="D184" s="17"/>
      <c r="E184" s="17"/>
      <c r="F184" s="17"/>
      <c r="G184" s="17"/>
      <c r="H184" s="17"/>
    </row>
    <row r="185" spans="1:8" x14ac:dyDescent="0.2">
      <c r="A185" s="17"/>
      <c r="B185" s="17" t="s">
        <v>134</v>
      </c>
      <c r="C185" s="17"/>
      <c r="D185" s="17"/>
      <c r="E185" s="17"/>
      <c r="F185" s="17"/>
      <c r="G185" s="17"/>
      <c r="H185" s="17"/>
    </row>
    <row r="186" spans="1:8" x14ac:dyDescent="0.2">
      <c r="A186" s="17"/>
      <c r="B186" s="17" t="s">
        <v>135</v>
      </c>
      <c r="C186" s="17"/>
      <c r="D186" s="17"/>
      <c r="E186" s="17"/>
      <c r="F186" s="17"/>
      <c r="G186" s="17"/>
      <c r="H186" s="17"/>
    </row>
    <row r="187" spans="1:8" x14ac:dyDescent="0.2">
      <c r="A187" s="17"/>
      <c r="B187" s="17"/>
      <c r="C187" s="17"/>
      <c r="D187" s="17"/>
      <c r="E187" s="17"/>
      <c r="F187" s="17"/>
      <c r="G187" s="17"/>
      <c r="H187" s="17"/>
    </row>
    <row r="188" spans="1:8" x14ac:dyDescent="0.2">
      <c r="A188" s="17"/>
      <c r="B188" s="17" t="s">
        <v>136</v>
      </c>
      <c r="C188" s="17"/>
      <c r="D188" s="17"/>
      <c r="E188" s="17"/>
      <c r="F188" s="17"/>
      <c r="G188" s="17"/>
      <c r="H188" s="17"/>
    </row>
    <row r="189" spans="1:8" x14ac:dyDescent="0.2">
      <c r="A189" s="17"/>
      <c r="B189" s="17"/>
      <c r="C189" s="17"/>
      <c r="D189" s="17"/>
      <c r="E189" s="17"/>
      <c r="F189" s="17"/>
      <c r="G189" s="17"/>
      <c r="H189" s="17"/>
    </row>
    <row r="190" spans="1:8" x14ac:dyDescent="0.2">
      <c r="A190" s="17"/>
      <c r="B190" s="20" t="s">
        <v>137</v>
      </c>
      <c r="C190" s="17"/>
      <c r="D190" s="17"/>
      <c r="E190" s="17"/>
      <c r="F190" s="17"/>
      <c r="G190" s="17"/>
      <c r="H190" s="17"/>
    </row>
    <row r="191" spans="1:8" x14ac:dyDescent="0.2">
      <c r="A191" s="17"/>
      <c r="B191" s="17"/>
      <c r="C191" s="17"/>
      <c r="D191" s="17"/>
      <c r="E191" s="17"/>
      <c r="F191" s="17"/>
      <c r="G191" s="17"/>
      <c r="H191" s="17"/>
    </row>
    <row r="192" spans="1:8" x14ac:dyDescent="0.2">
      <c r="A192" s="17"/>
      <c r="B192" s="17" t="s">
        <v>138</v>
      </c>
      <c r="C192" s="17"/>
      <c r="D192" s="17"/>
      <c r="E192" s="17"/>
      <c r="F192" s="17"/>
      <c r="G192" s="17"/>
      <c r="H192" s="17"/>
    </row>
    <row r="193" spans="1:8" x14ac:dyDescent="0.2">
      <c r="A193" s="17"/>
      <c r="B193" s="17" t="s">
        <v>139</v>
      </c>
      <c r="C193" s="17"/>
      <c r="D193" s="17"/>
      <c r="E193" s="17"/>
      <c r="F193" s="17"/>
      <c r="G193" s="17"/>
      <c r="H193" s="17"/>
    </row>
    <row r="194" spans="1:8" x14ac:dyDescent="0.2">
      <c r="A194" s="17"/>
      <c r="B194" s="17" t="s">
        <v>140</v>
      </c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 t="s">
        <v>141</v>
      </c>
      <c r="C196" s="17"/>
      <c r="D196" s="17"/>
      <c r="E196" s="17"/>
      <c r="F196" s="17"/>
      <c r="G196" s="17"/>
      <c r="H196" s="17"/>
    </row>
    <row r="197" spans="1:8" x14ac:dyDescent="0.2">
      <c r="A197" s="17"/>
      <c r="B197" s="17" t="s">
        <v>142</v>
      </c>
      <c r="C197" s="17"/>
      <c r="D197" s="17"/>
      <c r="E197" s="17"/>
      <c r="F197" s="17"/>
      <c r="G197" s="17"/>
      <c r="H197" s="17"/>
    </row>
    <row r="198" spans="1:8" x14ac:dyDescent="0.2">
      <c r="A198" s="17"/>
      <c r="B198" s="17" t="s">
        <v>143</v>
      </c>
      <c r="C198" s="17"/>
      <c r="D198" s="17"/>
      <c r="E198" s="17"/>
      <c r="F198" s="17"/>
      <c r="G198" s="17"/>
      <c r="H198" s="17"/>
    </row>
    <row r="199" spans="1:8" x14ac:dyDescent="0.2">
      <c r="A199" s="17"/>
      <c r="B199" s="17" t="s">
        <v>144</v>
      </c>
      <c r="C199" s="17"/>
      <c r="D199" s="17"/>
      <c r="E199" s="17"/>
      <c r="F199" s="17"/>
      <c r="G199" s="17"/>
      <c r="H199" s="17"/>
    </row>
    <row r="200" spans="1:8" x14ac:dyDescent="0.2">
      <c r="A200" s="17"/>
      <c r="B200" s="17" t="s">
        <v>145</v>
      </c>
      <c r="C200" s="17"/>
      <c r="D200" s="17"/>
      <c r="E200" s="17"/>
      <c r="F200" s="17"/>
      <c r="G200" s="17"/>
      <c r="H200" s="17"/>
    </row>
    <row r="201" spans="1:8" x14ac:dyDescent="0.2">
      <c r="A201" s="17"/>
      <c r="B201" s="17" t="s">
        <v>146</v>
      </c>
      <c r="C201" s="17"/>
      <c r="D201" s="17"/>
      <c r="E201" s="17"/>
      <c r="F201" s="17"/>
      <c r="G201" s="17"/>
      <c r="H201" s="17"/>
    </row>
    <row r="202" spans="1:8" x14ac:dyDescent="0.2">
      <c r="A202" s="17"/>
      <c r="B202" s="17" t="s">
        <v>147</v>
      </c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 t="s">
        <v>148</v>
      </c>
      <c r="C204" s="17"/>
      <c r="D204" s="17"/>
      <c r="E204" s="17"/>
      <c r="F204" s="17"/>
      <c r="G204" s="17"/>
      <c r="H204" s="17"/>
    </row>
    <row r="205" spans="1:8" x14ac:dyDescent="0.2">
      <c r="A205" s="17"/>
      <c r="B205" s="17" t="s">
        <v>149</v>
      </c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 t="s">
        <v>150</v>
      </c>
      <c r="C207" s="17"/>
      <c r="D207" s="17"/>
      <c r="E207" s="17"/>
      <c r="F207" s="17"/>
      <c r="G207" s="17"/>
      <c r="H207" s="17"/>
    </row>
    <row r="208" spans="1:8" x14ac:dyDescent="0.2">
      <c r="A208" s="17"/>
      <c r="B208" s="17" t="s">
        <v>151</v>
      </c>
      <c r="C208" s="17"/>
      <c r="D208" s="17"/>
      <c r="E208" s="17"/>
      <c r="F208" s="17"/>
      <c r="G208" s="17"/>
      <c r="H208" s="17"/>
    </row>
    <row r="209" spans="1:8" x14ac:dyDescent="0.2">
      <c r="A209" s="17"/>
      <c r="B209" s="17" t="s">
        <v>152</v>
      </c>
      <c r="C209" s="17"/>
      <c r="D209" s="17"/>
      <c r="E209" s="17"/>
      <c r="F209" s="17"/>
      <c r="G209" s="17"/>
      <c r="H209" s="17"/>
    </row>
    <row r="210" spans="1:8" x14ac:dyDescent="0.2">
      <c r="A210" s="17"/>
      <c r="B210" s="17" t="s">
        <v>153</v>
      </c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 t="s">
        <v>154</v>
      </c>
      <c r="C212" s="17"/>
      <c r="D212" s="17"/>
      <c r="E212" s="17"/>
      <c r="F212" s="17"/>
      <c r="G212" s="17"/>
      <c r="H212" s="17"/>
    </row>
    <row r="213" spans="1:8" x14ac:dyDescent="0.2">
      <c r="A213" s="17"/>
      <c r="B213" s="17" t="s">
        <v>155</v>
      </c>
      <c r="C213" s="17"/>
      <c r="D213" s="17"/>
      <c r="E213" s="17"/>
      <c r="F213" s="17"/>
      <c r="G213" s="17"/>
      <c r="H213" s="17"/>
    </row>
    <row r="214" spans="1:8" x14ac:dyDescent="0.2">
      <c r="A214" s="17"/>
      <c r="B214" s="17" t="s">
        <v>156</v>
      </c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 t="s">
        <v>157</v>
      </c>
      <c r="C216" s="17"/>
      <c r="D216" s="17"/>
      <c r="E216" s="17"/>
      <c r="F216" s="17"/>
      <c r="G216" s="17"/>
      <c r="H216" s="17"/>
    </row>
    <row r="217" spans="1:8" x14ac:dyDescent="0.2">
      <c r="A217" s="17"/>
      <c r="B217" s="17" t="s">
        <v>158</v>
      </c>
      <c r="C217" s="17"/>
      <c r="D217" s="17"/>
      <c r="E217" s="17"/>
      <c r="F217" s="17"/>
      <c r="G217" s="17"/>
      <c r="H217" s="17"/>
    </row>
    <row r="218" spans="1:8" x14ac:dyDescent="0.2">
      <c r="A218" s="17"/>
      <c r="B218" s="17" t="s">
        <v>159</v>
      </c>
      <c r="C218" s="17"/>
      <c r="D218" s="17"/>
      <c r="E218" s="17"/>
      <c r="F218" s="17"/>
      <c r="G218" s="17"/>
      <c r="H218" s="17"/>
    </row>
    <row r="219" spans="1:8" x14ac:dyDescent="0.2">
      <c r="A219" s="17"/>
      <c r="B219" s="17" t="s">
        <v>160</v>
      </c>
      <c r="C219" s="17"/>
      <c r="D219" s="17"/>
      <c r="E219" s="17"/>
      <c r="F219" s="17"/>
      <c r="G219" s="17"/>
      <c r="H219" s="17"/>
    </row>
    <row r="220" spans="1:8" x14ac:dyDescent="0.2">
      <c r="A220" s="17"/>
      <c r="B220" s="17" t="s">
        <v>161</v>
      </c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20" t="s">
        <v>162</v>
      </c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20" t="s">
        <v>163</v>
      </c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 t="s">
        <v>205</v>
      </c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 t="s">
        <v>206</v>
      </c>
      <c r="C228" s="17"/>
      <c r="D228" s="17"/>
      <c r="E228" s="17"/>
      <c r="F228" s="17"/>
      <c r="G228" s="17"/>
      <c r="H228" s="17"/>
    </row>
    <row r="229" spans="1:8" x14ac:dyDescent="0.2">
      <c r="A229" s="17"/>
      <c r="B229" s="17" t="s">
        <v>207</v>
      </c>
      <c r="C229" s="17"/>
      <c r="D229" s="17"/>
      <c r="E229" s="17"/>
      <c r="F229" s="17"/>
      <c r="G229" s="17"/>
      <c r="H229" s="17"/>
    </row>
    <row r="230" spans="1:8" x14ac:dyDescent="0.2">
      <c r="A230" s="17"/>
      <c r="B230" s="17" t="s">
        <v>208</v>
      </c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 t="s">
        <v>209</v>
      </c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 t="s">
        <v>210</v>
      </c>
      <c r="C234" s="17"/>
      <c r="D234" s="17"/>
      <c r="E234" s="17"/>
      <c r="F234" s="17"/>
      <c r="G234" s="17"/>
      <c r="H234" s="17"/>
    </row>
    <row r="235" spans="1:8" x14ac:dyDescent="0.2">
      <c r="A235" s="17"/>
      <c r="B235" s="17" t="s">
        <v>211</v>
      </c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 t="s">
        <v>212</v>
      </c>
      <c r="C237" s="17"/>
      <c r="D237" s="17"/>
      <c r="E237" s="17"/>
      <c r="F237" s="17"/>
      <c r="G237" s="17"/>
      <c r="H237" s="17"/>
    </row>
    <row r="238" spans="1:8" x14ac:dyDescent="0.2">
      <c r="A238" s="17"/>
      <c r="B238" s="17" t="s">
        <v>213</v>
      </c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 t="s">
        <v>214</v>
      </c>
      <c r="C240" s="17"/>
      <c r="D240" s="17"/>
      <c r="E240" s="17"/>
      <c r="F240" s="17"/>
      <c r="G240" s="17"/>
      <c r="H240" s="17"/>
    </row>
    <row r="241" spans="1:8" x14ac:dyDescent="0.2">
      <c r="A241" s="17"/>
      <c r="B241" s="17" t="s">
        <v>215</v>
      </c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20" t="s">
        <v>216</v>
      </c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 t="s">
        <v>217</v>
      </c>
      <c r="C245" s="17"/>
      <c r="D245" s="17"/>
      <c r="E245" s="17"/>
      <c r="F245" s="17"/>
      <c r="G245" s="17"/>
      <c r="H245" s="17"/>
    </row>
    <row r="246" spans="1:8" x14ac:dyDescent="0.2">
      <c r="A246" s="17"/>
      <c r="B246" s="17" t="s">
        <v>218</v>
      </c>
      <c r="C246" s="17"/>
      <c r="D246" s="17"/>
      <c r="E246" s="17"/>
      <c r="F246" s="17"/>
      <c r="G246" s="17"/>
      <c r="H246" s="17"/>
    </row>
    <row r="247" spans="1:8" x14ac:dyDescent="0.2">
      <c r="A247" s="17"/>
      <c r="B247" s="17" t="s">
        <v>219</v>
      </c>
      <c r="C247" s="17"/>
      <c r="D247" s="17"/>
      <c r="E247" s="17"/>
      <c r="F247" s="17"/>
      <c r="G247" s="17"/>
      <c r="H247" s="17"/>
    </row>
    <row r="248" spans="1:8" x14ac:dyDescent="0.2">
      <c r="A248" s="17"/>
      <c r="B248" s="17" t="s">
        <v>220</v>
      </c>
      <c r="C248" s="17"/>
      <c r="D248" s="17"/>
      <c r="E248" s="17"/>
      <c r="F248" s="17"/>
      <c r="G248" s="17"/>
      <c r="H248" s="17"/>
    </row>
    <row r="249" spans="1:8" x14ac:dyDescent="0.2">
      <c r="A249" s="17"/>
      <c r="B249" s="17" t="s">
        <v>221</v>
      </c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 t="s">
        <v>222</v>
      </c>
      <c r="C251" s="17"/>
      <c r="D251" s="17"/>
      <c r="E251" s="17"/>
      <c r="F251" s="17"/>
      <c r="G251" s="17"/>
      <c r="H251" s="17"/>
    </row>
    <row r="252" spans="1:8" x14ac:dyDescent="0.2">
      <c r="A252" s="17"/>
      <c r="B252" s="17" t="s">
        <v>223</v>
      </c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 t="s">
        <v>224</v>
      </c>
      <c r="C254" s="17"/>
      <c r="D254" s="17"/>
      <c r="E254" s="17"/>
      <c r="F254" s="17"/>
      <c r="G254" s="17"/>
      <c r="H254" s="17"/>
    </row>
    <row r="255" spans="1:8" x14ac:dyDescent="0.2">
      <c r="A255" s="17"/>
      <c r="B255" s="17" t="s">
        <v>225</v>
      </c>
      <c r="C255" s="17"/>
      <c r="D255" s="17"/>
      <c r="E255" s="17"/>
      <c r="F255" s="17"/>
      <c r="G255" s="17"/>
      <c r="H255" s="17"/>
    </row>
    <row r="256" spans="1:8" x14ac:dyDescent="0.2">
      <c r="A256" s="17"/>
      <c r="B256" s="17" t="s">
        <v>226</v>
      </c>
      <c r="C256" s="17"/>
      <c r="D256" s="17"/>
      <c r="E256" s="17"/>
      <c r="F256" s="17"/>
      <c r="G256" s="17"/>
      <c r="H256" s="17"/>
    </row>
    <row r="257" spans="1:8" x14ac:dyDescent="0.2">
      <c r="A257" s="17"/>
      <c r="B257" s="17" t="s">
        <v>227</v>
      </c>
      <c r="C257" s="17"/>
      <c r="D257" s="17"/>
      <c r="E257" s="17"/>
      <c r="F257" s="17"/>
      <c r="G257" s="17"/>
      <c r="H257" s="17"/>
    </row>
    <row r="258" spans="1:8" x14ac:dyDescent="0.2">
      <c r="A258" s="17"/>
      <c r="B258" s="17" t="s">
        <v>228</v>
      </c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20" t="s">
        <v>229</v>
      </c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 t="s">
        <v>230</v>
      </c>
      <c r="C263" s="17"/>
      <c r="D263" s="17"/>
      <c r="E263" s="17"/>
      <c r="F263" s="17"/>
      <c r="G263" s="17"/>
      <c r="H263" s="17"/>
    </row>
    <row r="264" spans="1:8" x14ac:dyDescent="0.2">
      <c r="A264" s="17"/>
      <c r="B264" s="17" t="s">
        <v>231</v>
      </c>
      <c r="C264" s="17"/>
      <c r="D264" s="17"/>
      <c r="E264" s="17"/>
      <c r="F264" s="17"/>
      <c r="G264" s="17"/>
      <c r="H264" s="17"/>
    </row>
    <row r="265" spans="1:8" x14ac:dyDescent="0.2">
      <c r="A265" s="17"/>
      <c r="B265" s="17" t="s">
        <v>232</v>
      </c>
      <c r="C265" s="17"/>
      <c r="D265" s="17"/>
      <c r="E265" s="17"/>
      <c r="F265" s="17"/>
      <c r="G265" s="17"/>
      <c r="H265" s="17"/>
    </row>
    <row r="266" spans="1:8" x14ac:dyDescent="0.2">
      <c r="A266" s="17"/>
      <c r="B266" s="17" t="s">
        <v>233</v>
      </c>
      <c r="C266" s="17"/>
      <c r="D266" s="17"/>
      <c r="E266" s="17"/>
      <c r="F266" s="17"/>
      <c r="G266" s="17"/>
      <c r="H266" s="17"/>
    </row>
    <row r="267" spans="1:8" x14ac:dyDescent="0.2">
      <c r="A267" s="17"/>
      <c r="B267" s="17" t="s">
        <v>234</v>
      </c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20" t="s">
        <v>235</v>
      </c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 t="s">
        <v>236</v>
      </c>
      <c r="C272" s="17"/>
      <c r="D272" s="17"/>
      <c r="E272" s="17"/>
      <c r="F272" s="17"/>
      <c r="G272" s="17"/>
      <c r="H272" s="17"/>
    </row>
    <row r="273" spans="1:8" x14ac:dyDescent="0.2">
      <c r="A273" s="17"/>
      <c r="B273" s="17" t="s">
        <v>237</v>
      </c>
      <c r="C273" s="17"/>
      <c r="D273" s="17"/>
      <c r="E273" s="17"/>
      <c r="F273" s="17"/>
      <c r="G273" s="17"/>
      <c r="H273" s="17"/>
    </row>
    <row r="274" spans="1:8" x14ac:dyDescent="0.2">
      <c r="A274" s="17"/>
      <c r="B274" s="17" t="s">
        <v>238</v>
      </c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 t="s">
        <v>239</v>
      </c>
      <c r="C276" s="17"/>
      <c r="D276" s="17"/>
      <c r="E276" s="17"/>
      <c r="F276" s="17"/>
      <c r="G276" s="17"/>
      <c r="H276" s="17"/>
    </row>
    <row r="277" spans="1:8" x14ac:dyDescent="0.2">
      <c r="A277" s="17"/>
      <c r="B277" s="17" t="s">
        <v>240</v>
      </c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20" t="s">
        <v>241</v>
      </c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 t="s">
        <v>242</v>
      </c>
      <c r="C281" s="17"/>
      <c r="D281" s="17"/>
      <c r="E281" s="17"/>
      <c r="F281" s="17"/>
      <c r="G281" s="17"/>
      <c r="H281" s="17"/>
    </row>
    <row r="282" spans="1:8" x14ac:dyDescent="0.2">
      <c r="A282" s="17"/>
      <c r="B282" s="17" t="s">
        <v>243</v>
      </c>
      <c r="C282" s="17"/>
      <c r="D282" s="17"/>
      <c r="E282" s="17"/>
      <c r="F282" s="17"/>
      <c r="G282" s="17"/>
      <c r="H282" s="17"/>
    </row>
    <row r="283" spans="1:8" x14ac:dyDescent="0.2">
      <c r="A283" s="17"/>
      <c r="B283" s="17" t="s">
        <v>244</v>
      </c>
      <c r="C283" s="17"/>
      <c r="D283" s="17"/>
      <c r="E283" s="17"/>
      <c r="F283" s="17"/>
      <c r="G283" s="17"/>
      <c r="H283" s="17"/>
    </row>
    <row r="284" spans="1:8" x14ac:dyDescent="0.2">
      <c r="A284" s="17"/>
      <c r="B284" s="17" t="s">
        <v>245</v>
      </c>
      <c r="C284" s="17"/>
      <c r="D284" s="17"/>
      <c r="E284" s="17"/>
      <c r="F284" s="17"/>
      <c r="G284" s="17"/>
      <c r="H284" s="17"/>
    </row>
    <row r="285" spans="1:8" x14ac:dyDescent="0.2">
      <c r="A285" s="17"/>
      <c r="B285" s="17" t="s">
        <v>246</v>
      </c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 t="s">
        <v>247</v>
      </c>
      <c r="C287" s="17"/>
      <c r="D287" s="17"/>
      <c r="E287" s="17"/>
      <c r="F287" s="17"/>
      <c r="G287" s="17"/>
      <c r="H287" s="17"/>
    </row>
    <row r="288" spans="1:8" x14ac:dyDescent="0.2">
      <c r="A288" s="17"/>
      <c r="B288" s="17" t="s">
        <v>248</v>
      </c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 t="s">
        <v>249</v>
      </c>
      <c r="C290" s="17"/>
      <c r="D290" s="17"/>
      <c r="E290" s="17"/>
      <c r="F290" s="17"/>
      <c r="G290" s="17"/>
      <c r="H290" s="17"/>
    </row>
    <row r="291" spans="1:8" x14ac:dyDescent="0.2">
      <c r="A291" s="17"/>
      <c r="B291" s="17" t="s">
        <v>250</v>
      </c>
      <c r="C291" s="17"/>
      <c r="D291" s="17"/>
      <c r="E291" s="17"/>
      <c r="F291" s="17"/>
      <c r="G291" s="17"/>
      <c r="H291" s="17"/>
    </row>
    <row r="292" spans="1:8" x14ac:dyDescent="0.2">
      <c r="A292" s="17"/>
      <c r="B292" s="17" t="s">
        <v>251</v>
      </c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 t="s">
        <v>252</v>
      </c>
      <c r="C294" s="17"/>
      <c r="D294" s="17"/>
      <c r="E294" s="17"/>
      <c r="F294" s="17"/>
      <c r="G294" s="17"/>
      <c r="H294" s="17"/>
    </row>
    <row r="295" spans="1:8" x14ac:dyDescent="0.2">
      <c r="A295" s="17"/>
      <c r="B295" s="17" t="s">
        <v>253</v>
      </c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20" t="s">
        <v>254</v>
      </c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 t="s">
        <v>255</v>
      </c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 t="s">
        <v>256</v>
      </c>
      <c r="C302" s="17"/>
      <c r="D302" s="17"/>
      <c r="E302" s="17"/>
      <c r="F302" s="17"/>
      <c r="G302" s="17"/>
      <c r="H302" s="17"/>
    </row>
    <row r="303" spans="1:8" x14ac:dyDescent="0.2">
      <c r="A303" s="17"/>
      <c r="B303" s="17" t="s">
        <v>257</v>
      </c>
      <c r="C303" s="17"/>
      <c r="D303" s="17"/>
      <c r="E303" s="17"/>
      <c r="F303" s="17"/>
      <c r="G303" s="17"/>
      <c r="H303" s="17"/>
    </row>
    <row r="304" spans="1:8" x14ac:dyDescent="0.2">
      <c r="A304" s="17"/>
      <c r="B304" s="17" t="s">
        <v>258</v>
      </c>
      <c r="C304" s="17"/>
      <c r="D304" s="17"/>
      <c r="E304" s="17"/>
      <c r="F304" s="17"/>
      <c r="G304" s="17"/>
      <c r="H304" s="17"/>
    </row>
    <row r="305" spans="1:8" x14ac:dyDescent="0.2">
      <c r="A305" s="17"/>
      <c r="B305" s="17" t="s">
        <v>259</v>
      </c>
      <c r="C305" s="17"/>
      <c r="D305" s="17"/>
      <c r="E305" s="17"/>
      <c r="F305" s="17"/>
      <c r="G305" s="17"/>
      <c r="H305" s="17"/>
    </row>
    <row r="306" spans="1:8" x14ac:dyDescent="0.2">
      <c r="A306" s="17"/>
      <c r="B306" s="17" t="s">
        <v>260</v>
      </c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 t="s">
        <v>261</v>
      </c>
      <c r="C308" s="17"/>
      <c r="D308" s="17"/>
      <c r="E308" s="17"/>
      <c r="F308" s="17"/>
      <c r="G308" s="17"/>
      <c r="H308" s="17"/>
    </row>
    <row r="309" spans="1:8" x14ac:dyDescent="0.2">
      <c r="A309" s="17"/>
      <c r="B309" s="17" t="s">
        <v>262</v>
      </c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 t="s">
        <v>263</v>
      </c>
      <c r="C311" s="17"/>
      <c r="D311" s="17"/>
      <c r="E311" s="17"/>
      <c r="F311" s="17"/>
      <c r="G311" s="17"/>
      <c r="H311" s="17"/>
    </row>
    <row r="312" spans="1:8" x14ac:dyDescent="0.2">
      <c r="A312" s="17"/>
      <c r="B312" s="17" t="s">
        <v>264</v>
      </c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20" t="s">
        <v>265</v>
      </c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 t="s">
        <v>266</v>
      </c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 t="s">
        <v>267</v>
      </c>
      <c r="C319" s="17"/>
      <c r="D319" s="17"/>
      <c r="E319" s="17"/>
      <c r="F319" s="17"/>
      <c r="G319" s="17"/>
      <c r="H319" s="17"/>
    </row>
    <row r="320" spans="1:8" x14ac:dyDescent="0.2">
      <c r="A320" s="17"/>
      <c r="B320" s="17" t="s">
        <v>268</v>
      </c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 t="s">
        <v>269</v>
      </c>
      <c r="C322" s="17"/>
      <c r="D322" s="17"/>
      <c r="E322" s="17"/>
      <c r="F322" s="17"/>
      <c r="G322" s="17"/>
      <c r="H322" s="17"/>
    </row>
    <row r="323" spans="1:8" x14ac:dyDescent="0.2">
      <c r="A323" s="17"/>
      <c r="B323" s="17" t="s">
        <v>270</v>
      </c>
      <c r="C323" s="17"/>
      <c r="D323" s="17"/>
      <c r="E323" s="17"/>
      <c r="F323" s="17"/>
      <c r="G323" s="17"/>
      <c r="H323" s="17"/>
    </row>
    <row r="324" spans="1:8" x14ac:dyDescent="0.2">
      <c r="A324" s="17"/>
      <c r="B324" s="17" t="s">
        <v>271</v>
      </c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20" t="s">
        <v>272</v>
      </c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 t="s">
        <v>273</v>
      </c>
      <c r="C329" s="17"/>
      <c r="D329" s="17"/>
      <c r="E329" s="17"/>
      <c r="F329" s="17"/>
      <c r="G329" s="17"/>
      <c r="H329" s="17"/>
    </row>
    <row r="330" spans="1:8" x14ac:dyDescent="0.2">
      <c r="A330" s="17"/>
      <c r="B330" s="17" t="s">
        <v>274</v>
      </c>
      <c r="C330" s="17"/>
      <c r="D330" s="17"/>
      <c r="E330" s="17"/>
      <c r="F330" s="17"/>
      <c r="G330" s="17"/>
      <c r="H330" s="17"/>
    </row>
    <row r="331" spans="1:8" x14ac:dyDescent="0.2">
      <c r="A331" s="17"/>
      <c r="B331" s="17" t="s">
        <v>275</v>
      </c>
      <c r="C331" s="17"/>
      <c r="D331" s="17"/>
      <c r="E331" s="17"/>
      <c r="F331" s="17"/>
      <c r="G331" s="17"/>
      <c r="H331" s="17"/>
    </row>
    <row r="332" spans="1:8" x14ac:dyDescent="0.2">
      <c r="A332" s="17"/>
      <c r="B332" s="17" t="s">
        <v>276</v>
      </c>
      <c r="C332" s="17"/>
      <c r="D332" s="17"/>
      <c r="E332" s="17"/>
      <c r="F332" s="17"/>
      <c r="G332" s="17"/>
      <c r="H332" s="17"/>
    </row>
    <row r="333" spans="1:8" x14ac:dyDescent="0.2">
      <c r="A333" s="17"/>
      <c r="B333" s="17" t="s">
        <v>277</v>
      </c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 t="s">
        <v>278</v>
      </c>
      <c r="C335" s="17"/>
      <c r="D335" s="17"/>
      <c r="E335" s="17"/>
      <c r="F335" s="17"/>
      <c r="G335" s="17"/>
      <c r="H335" s="17"/>
    </row>
    <row r="336" spans="1:8" x14ac:dyDescent="0.2">
      <c r="A336" s="17"/>
      <c r="B336" s="17" t="s">
        <v>279</v>
      </c>
      <c r="C336" s="17"/>
      <c r="D336" s="17"/>
      <c r="E336" s="17"/>
      <c r="F336" s="17"/>
      <c r="G336" s="17"/>
      <c r="H336" s="17"/>
    </row>
    <row r="337" spans="1:8" x14ac:dyDescent="0.2">
      <c r="A337" s="17"/>
      <c r="B337" s="17" t="s">
        <v>280</v>
      </c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20" t="s">
        <v>281</v>
      </c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 t="s">
        <v>282</v>
      </c>
      <c r="C342" s="17"/>
      <c r="D342" s="17"/>
      <c r="E342" s="17"/>
      <c r="F342" s="17"/>
      <c r="G342" s="17"/>
      <c r="H342" s="17"/>
    </row>
    <row r="343" spans="1:8" x14ac:dyDescent="0.2">
      <c r="A343" s="17"/>
      <c r="B343" s="17" t="s">
        <v>283</v>
      </c>
      <c r="C343" s="17"/>
      <c r="D343" s="17"/>
      <c r="E343" s="17"/>
      <c r="F343" s="17"/>
      <c r="G343" s="17"/>
      <c r="H343" s="17"/>
    </row>
    <row r="344" spans="1:8" x14ac:dyDescent="0.2">
      <c r="A344" s="17"/>
      <c r="B344" s="17" t="s">
        <v>284</v>
      </c>
      <c r="C344" s="17"/>
      <c r="D344" s="17"/>
      <c r="E344" s="17"/>
      <c r="F344" s="17"/>
      <c r="G344" s="17"/>
      <c r="H344" s="17"/>
    </row>
    <row r="345" spans="1:8" x14ac:dyDescent="0.2">
      <c r="A345" s="17"/>
      <c r="B345" s="17" t="s">
        <v>285</v>
      </c>
      <c r="C345" s="17"/>
      <c r="D345" s="17"/>
      <c r="E345" s="17"/>
      <c r="F345" s="17"/>
      <c r="G345" s="17"/>
      <c r="H345" s="17"/>
    </row>
    <row r="346" spans="1:8" x14ac:dyDescent="0.2">
      <c r="A346" s="17"/>
      <c r="B346" s="17" t="s">
        <v>286</v>
      </c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 t="s">
        <v>287</v>
      </c>
      <c r="C348" s="17"/>
      <c r="D348" s="17"/>
      <c r="E348" s="17"/>
      <c r="F348" s="17"/>
      <c r="G348" s="17"/>
      <c r="H348" s="17"/>
    </row>
    <row r="349" spans="1:8" x14ac:dyDescent="0.2">
      <c r="A349" s="17"/>
      <c r="B349" s="17" t="s">
        <v>288</v>
      </c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 t="s">
        <v>289</v>
      </c>
      <c r="C351" s="17"/>
      <c r="D351" s="17"/>
      <c r="E351" s="17"/>
      <c r="F351" s="17"/>
      <c r="G351" s="17"/>
      <c r="H351" s="17"/>
    </row>
    <row r="352" spans="1:8" x14ac:dyDescent="0.2">
      <c r="A352" s="17"/>
      <c r="B352" s="17" t="s">
        <v>290</v>
      </c>
      <c r="C352" s="17"/>
      <c r="D352" s="17"/>
      <c r="E352" s="17"/>
      <c r="F352" s="17"/>
      <c r="G352" s="17"/>
      <c r="H352" s="17"/>
    </row>
    <row r="353" spans="1:17" x14ac:dyDescent="0.2">
      <c r="A353" s="17"/>
      <c r="B353" s="17"/>
      <c r="C353" s="17"/>
      <c r="D353" s="17"/>
      <c r="E353" s="17"/>
      <c r="F353" s="17"/>
      <c r="G353" s="17"/>
      <c r="H353" s="17"/>
    </row>
    <row r="354" spans="1:17" ht="18" x14ac:dyDescent="0.25">
      <c r="A354" s="119" t="s">
        <v>423</v>
      </c>
      <c r="B354" s="8"/>
      <c r="C354" s="8"/>
      <c r="D354" s="8"/>
      <c r="E354" s="8"/>
      <c r="F354" s="8"/>
      <c r="G354" s="8"/>
      <c r="H354" s="8"/>
      <c r="J354" s="17"/>
      <c r="K354" s="17"/>
      <c r="L354" s="17"/>
      <c r="M354" s="17"/>
      <c r="N354" s="17"/>
      <c r="O354" s="17"/>
      <c r="P354" s="17"/>
      <c r="Q354" s="17"/>
    </row>
    <row r="355" spans="1:17" x14ac:dyDescent="0.2">
      <c r="A355" s="8"/>
      <c r="B355" s="8"/>
      <c r="C355" s="8"/>
      <c r="D355" s="8"/>
      <c r="E355" s="8"/>
      <c r="F355" s="8"/>
      <c r="G355" s="8"/>
      <c r="H355" s="8"/>
    </row>
    <row r="356" spans="1:17" x14ac:dyDescent="0.2">
      <c r="A356" s="8" t="s">
        <v>18</v>
      </c>
      <c r="B356" s="8"/>
      <c r="C356" s="8"/>
      <c r="D356" s="8"/>
      <c r="E356" s="8"/>
      <c r="F356" s="8"/>
      <c r="G356" s="8"/>
      <c r="H356" s="8"/>
    </row>
    <row r="357" spans="1:17" x14ac:dyDescent="0.2">
      <c r="A357" s="15" t="s">
        <v>424</v>
      </c>
      <c r="B357" s="8"/>
      <c r="C357" s="8"/>
      <c r="D357" s="8"/>
      <c r="E357" s="8"/>
      <c r="F357" s="8"/>
      <c r="G357" s="8"/>
      <c r="H357" s="8"/>
    </row>
    <row r="358" spans="1:17" x14ac:dyDescent="0.2">
      <c r="A358" s="15" t="s">
        <v>425</v>
      </c>
      <c r="B358" s="8"/>
      <c r="C358" s="8"/>
      <c r="D358" s="8"/>
      <c r="E358" s="8"/>
      <c r="F358" s="8"/>
      <c r="G358" s="8"/>
      <c r="H358" s="8"/>
    </row>
    <row r="359" spans="1:17" x14ac:dyDescent="0.2">
      <c r="A359" s="8" t="s">
        <v>21</v>
      </c>
      <c r="B359" s="8"/>
      <c r="C359" s="8"/>
      <c r="D359" s="8"/>
      <c r="E359" s="8"/>
      <c r="F359" s="8"/>
      <c r="G359" s="8"/>
      <c r="H359" s="8"/>
    </row>
    <row r="360" spans="1:17" x14ac:dyDescent="0.2">
      <c r="A360" s="8"/>
      <c r="B360" s="8"/>
      <c r="C360" s="8"/>
      <c r="D360" s="8"/>
      <c r="E360" s="8"/>
      <c r="F360" s="8"/>
      <c r="G360" s="8"/>
      <c r="H360" s="8"/>
    </row>
    <row r="361" spans="1:17" x14ac:dyDescent="0.2">
      <c r="A361" s="8" t="s">
        <v>22</v>
      </c>
      <c r="B361" s="8"/>
      <c r="C361" s="8"/>
      <c r="D361" s="8"/>
      <c r="E361" s="8"/>
      <c r="F361" s="8"/>
      <c r="G361" s="8"/>
      <c r="H361" s="8"/>
    </row>
    <row r="362" spans="1:17" x14ac:dyDescent="0.2">
      <c r="A362" s="8" t="s">
        <v>23</v>
      </c>
      <c r="B362" s="8"/>
      <c r="C362" s="8"/>
      <c r="D362" s="8"/>
      <c r="E362" s="8"/>
      <c r="F362" s="8"/>
      <c r="G362" s="8"/>
      <c r="H362" s="8"/>
    </row>
    <row r="363" spans="1:17" x14ac:dyDescent="0.2">
      <c r="A363" s="8" t="s">
        <v>24</v>
      </c>
      <c r="B363" s="8"/>
      <c r="C363" s="8"/>
      <c r="D363" s="8"/>
      <c r="E363" s="8"/>
      <c r="F363" s="8"/>
      <c r="G363" s="8"/>
      <c r="H363" s="8"/>
    </row>
    <row r="364" spans="1:17" x14ac:dyDescent="0.2">
      <c r="A364" s="8"/>
      <c r="B364" s="8"/>
      <c r="C364" s="8"/>
      <c r="D364" s="8"/>
      <c r="E364" s="8"/>
      <c r="F364" s="8"/>
      <c r="G364" s="8"/>
      <c r="H364" s="8"/>
    </row>
    <row r="365" spans="1:17" x14ac:dyDescent="0.2">
      <c r="A365" s="13" t="s">
        <v>426</v>
      </c>
      <c r="B365" s="8"/>
      <c r="C365" s="8"/>
      <c r="D365" s="8"/>
      <c r="E365" s="8"/>
      <c r="F365" s="8"/>
      <c r="G365" s="8"/>
      <c r="H365" s="8"/>
    </row>
    <row r="366" spans="1:17" x14ac:dyDescent="0.2">
      <c r="A366" s="8"/>
      <c r="B366" s="8"/>
      <c r="C366" s="8"/>
      <c r="D366" s="8"/>
      <c r="E366" s="8"/>
      <c r="F366" s="8"/>
      <c r="G366" s="8"/>
      <c r="H366" s="8"/>
    </row>
    <row r="367" spans="1:17" x14ac:dyDescent="0.2">
      <c r="A367" s="15" t="s">
        <v>427</v>
      </c>
      <c r="B367" s="8"/>
      <c r="C367" s="8"/>
      <c r="D367" s="8"/>
      <c r="E367" s="8"/>
      <c r="F367" s="8"/>
      <c r="G367" s="8"/>
      <c r="H367" s="8"/>
    </row>
    <row r="368" spans="1:17" x14ac:dyDescent="0.2">
      <c r="A368" s="8"/>
      <c r="B368" s="8"/>
      <c r="C368" s="8"/>
      <c r="D368" s="8"/>
      <c r="E368" s="8"/>
      <c r="F368" s="8"/>
      <c r="G368" s="8"/>
      <c r="H368" s="8"/>
    </row>
    <row r="369" spans="1:8" x14ac:dyDescent="0.2">
      <c r="A369" s="15" t="s">
        <v>428</v>
      </c>
      <c r="B369" s="15" t="s">
        <v>429</v>
      </c>
      <c r="C369" s="8"/>
      <c r="D369" s="8"/>
      <c r="E369" s="8"/>
      <c r="F369" s="8"/>
      <c r="G369" s="8"/>
      <c r="H369" s="8"/>
    </row>
    <row r="370" spans="1:8" x14ac:dyDescent="0.2">
      <c r="A370" s="15"/>
      <c r="B370" s="15"/>
      <c r="C370" s="8"/>
      <c r="D370" s="8"/>
      <c r="E370" s="8"/>
      <c r="F370" s="8"/>
      <c r="G370" s="8"/>
      <c r="H370" s="8"/>
    </row>
    <row r="371" spans="1:8" x14ac:dyDescent="0.2">
      <c r="A371" s="15" t="s">
        <v>430</v>
      </c>
      <c r="B371" s="15" t="s">
        <v>431</v>
      </c>
      <c r="C371" s="8"/>
      <c r="D371" s="8"/>
      <c r="E371" s="15" t="s">
        <v>432</v>
      </c>
      <c r="F371" s="8"/>
      <c r="G371" s="8"/>
      <c r="H371" s="8"/>
    </row>
    <row r="372" spans="1:8" x14ac:dyDescent="0.2">
      <c r="A372" s="8"/>
      <c r="B372" t="s">
        <v>433</v>
      </c>
      <c r="C372" t="s">
        <v>434</v>
      </c>
      <c r="E372" t="s">
        <v>435</v>
      </c>
      <c r="F372" s="8"/>
      <c r="G372" s="8"/>
      <c r="H372" s="8"/>
    </row>
    <row r="373" spans="1:8" x14ac:dyDescent="0.2">
      <c r="A373" s="8"/>
      <c r="B373" t="s">
        <v>436</v>
      </c>
      <c r="C373" t="s">
        <v>437</v>
      </c>
      <c r="E373" t="s">
        <v>435</v>
      </c>
      <c r="F373" s="8"/>
      <c r="G373" s="8"/>
      <c r="H373" s="8"/>
    </row>
    <row r="374" spans="1:8" x14ac:dyDescent="0.2">
      <c r="A374" s="8"/>
      <c r="B374" t="s">
        <v>438</v>
      </c>
      <c r="C374" t="s">
        <v>439</v>
      </c>
      <c r="E374" t="s">
        <v>435</v>
      </c>
      <c r="F374" s="8"/>
      <c r="G374" s="8"/>
      <c r="H374" s="8"/>
    </row>
    <row r="375" spans="1:8" x14ac:dyDescent="0.2">
      <c r="A375" s="8"/>
      <c r="B375" t="s">
        <v>440</v>
      </c>
      <c r="C375" t="s">
        <v>441</v>
      </c>
      <c r="E375" t="s">
        <v>435</v>
      </c>
      <c r="F375" s="8"/>
      <c r="G375" s="8"/>
      <c r="H375" s="8"/>
    </row>
    <row r="376" spans="1:8" x14ac:dyDescent="0.2">
      <c r="A376" s="8"/>
      <c r="B376" t="s">
        <v>433</v>
      </c>
      <c r="C376" t="s">
        <v>442</v>
      </c>
      <c r="E376" t="s">
        <v>435</v>
      </c>
      <c r="F376" s="8"/>
      <c r="G376" s="8"/>
      <c r="H376" s="8"/>
    </row>
    <row r="377" spans="1:8" x14ac:dyDescent="0.2">
      <c r="A377" s="8"/>
      <c r="B377" t="s">
        <v>443</v>
      </c>
      <c r="C377" t="s">
        <v>444</v>
      </c>
      <c r="E377" t="s">
        <v>435</v>
      </c>
      <c r="F377" s="8"/>
      <c r="G377" s="8"/>
      <c r="H377" s="8"/>
    </row>
    <row r="378" spans="1:8" x14ac:dyDescent="0.2">
      <c r="A378" s="8"/>
      <c r="B378" s="8"/>
      <c r="C378" s="8"/>
      <c r="D378" s="8"/>
      <c r="E378" s="8"/>
      <c r="F378" s="8"/>
      <c r="G378" s="8"/>
      <c r="H378" s="8"/>
    </row>
    <row r="379" spans="1:8" x14ac:dyDescent="0.2">
      <c r="A379" s="13" t="s">
        <v>445</v>
      </c>
      <c r="B379" s="8"/>
      <c r="C379" s="8"/>
      <c r="D379" s="8"/>
      <c r="E379" s="8"/>
      <c r="F379" s="8"/>
      <c r="G379" s="8"/>
      <c r="H379" s="8"/>
    </row>
    <row r="380" spans="1:8" x14ac:dyDescent="0.2">
      <c r="A380" s="8"/>
      <c r="B380" s="8"/>
      <c r="C380" s="8"/>
      <c r="D380" s="8"/>
      <c r="E380" s="8"/>
      <c r="F380" s="8"/>
      <c r="G380" s="8"/>
      <c r="H380" s="8"/>
    </row>
    <row r="381" spans="1:8" x14ac:dyDescent="0.2">
      <c r="A381" s="15" t="s">
        <v>446</v>
      </c>
      <c r="B381" s="8"/>
      <c r="C381" s="8"/>
      <c r="D381" s="8"/>
      <c r="E381" s="8"/>
      <c r="F381" s="8"/>
      <c r="G381" s="8"/>
      <c r="H381" s="8"/>
    </row>
    <row r="382" spans="1:8" x14ac:dyDescent="0.2">
      <c r="A382" s="15"/>
      <c r="B382" s="8"/>
      <c r="C382" s="8"/>
      <c r="D382" s="8"/>
      <c r="E382" s="8"/>
      <c r="F382" s="8"/>
      <c r="G382" s="8"/>
      <c r="H382" s="8"/>
    </row>
    <row r="383" spans="1:8" x14ac:dyDescent="0.2">
      <c r="A383" s="15" t="s">
        <v>296</v>
      </c>
      <c r="B383" s="15" t="s">
        <v>447</v>
      </c>
      <c r="C383" s="8"/>
      <c r="D383" s="8"/>
      <c r="E383" s="8"/>
      <c r="F383" s="8"/>
      <c r="G383" s="8"/>
      <c r="H383" s="8"/>
    </row>
    <row r="384" spans="1:8" x14ac:dyDescent="0.2">
      <c r="A384" s="15" t="s">
        <v>296</v>
      </c>
      <c r="B384" s="15" t="s">
        <v>448</v>
      </c>
      <c r="C384" s="8"/>
      <c r="D384" s="8"/>
      <c r="E384" s="15"/>
      <c r="F384" s="8"/>
      <c r="G384" s="8"/>
      <c r="H384" s="8"/>
    </row>
    <row r="385" spans="1:8" x14ac:dyDescent="0.2">
      <c r="A385" s="15" t="s">
        <v>300</v>
      </c>
      <c r="B385" s="15" t="s">
        <v>449</v>
      </c>
      <c r="C385" s="8"/>
      <c r="D385" s="8"/>
      <c r="E385" s="15"/>
      <c r="F385" s="8"/>
      <c r="G385" s="8"/>
      <c r="H385" s="8"/>
    </row>
    <row r="386" spans="1:8" x14ac:dyDescent="0.2">
      <c r="A386" s="15" t="s">
        <v>308</v>
      </c>
      <c r="B386" s="15" t="s">
        <v>450</v>
      </c>
      <c r="C386" s="8"/>
      <c r="D386" s="8"/>
      <c r="E386" s="15" t="s">
        <v>451</v>
      </c>
      <c r="F386" s="15"/>
      <c r="G386" s="8"/>
      <c r="H386" s="8"/>
    </row>
    <row r="387" spans="1:8" x14ac:dyDescent="0.2">
      <c r="A387" s="15" t="s">
        <v>314</v>
      </c>
      <c r="B387" s="15" t="s">
        <v>452</v>
      </c>
      <c r="C387" s="8"/>
      <c r="D387" s="8"/>
      <c r="E387" s="15" t="s">
        <v>451</v>
      </c>
      <c r="F387" s="8"/>
      <c r="G387" s="8"/>
      <c r="H387" s="8"/>
    </row>
    <row r="388" spans="1:8" x14ac:dyDescent="0.2">
      <c r="A388" s="15" t="s">
        <v>323</v>
      </c>
      <c r="B388" s="15" t="s">
        <v>453</v>
      </c>
      <c r="C388" s="8"/>
      <c r="D388" s="8"/>
      <c r="E388" s="15" t="s">
        <v>451</v>
      </c>
      <c r="F388" s="8"/>
      <c r="G388" s="8"/>
      <c r="H388" s="8"/>
    </row>
    <row r="389" spans="1:8" x14ac:dyDescent="0.2">
      <c r="A389" s="15" t="s">
        <v>454</v>
      </c>
      <c r="B389" s="15" t="s">
        <v>455</v>
      </c>
      <c r="C389" s="8"/>
      <c r="D389" s="8"/>
      <c r="E389" s="15" t="s">
        <v>451</v>
      </c>
      <c r="F389" s="8"/>
      <c r="G389" s="8"/>
      <c r="H389" s="8"/>
    </row>
    <row r="390" spans="1:8" x14ac:dyDescent="0.2">
      <c r="A390" s="15" t="s">
        <v>456</v>
      </c>
      <c r="B390" s="15" t="s">
        <v>457</v>
      </c>
      <c r="C390" s="8"/>
      <c r="D390" s="8"/>
      <c r="E390" s="15" t="s">
        <v>458</v>
      </c>
      <c r="F390" s="8"/>
      <c r="G390" s="8"/>
      <c r="H390" s="8"/>
    </row>
    <row r="391" spans="1:8" hidden="1" x14ac:dyDescent="0.2">
      <c r="A391" s="8"/>
      <c r="B391" s="8"/>
      <c r="C391" s="8"/>
      <c r="D391" s="8"/>
      <c r="E391" s="8"/>
      <c r="F391" s="8"/>
      <c r="G391" s="8"/>
      <c r="H391" s="8"/>
    </row>
    <row r="392" spans="1:8" hidden="1" x14ac:dyDescent="0.2">
      <c r="A392" s="15" t="s">
        <v>459</v>
      </c>
      <c r="B392" s="8"/>
      <c r="C392" s="8"/>
      <c r="D392" s="8"/>
      <c r="E392" s="8"/>
      <c r="F392" s="8"/>
      <c r="G392" s="8"/>
      <c r="H392" s="8"/>
    </row>
    <row r="393" spans="1:8" hidden="1" x14ac:dyDescent="0.2">
      <c r="A393" s="15" t="s">
        <v>460</v>
      </c>
      <c r="B393" s="8"/>
      <c r="C393" s="8"/>
      <c r="D393" s="8"/>
      <c r="E393" s="8"/>
      <c r="F393" s="8"/>
      <c r="G393" s="8"/>
      <c r="H393" s="8"/>
    </row>
    <row r="394" spans="1:8" hidden="1" x14ac:dyDescent="0.2">
      <c r="A394" s="8"/>
      <c r="B394" s="8"/>
      <c r="C394" s="8"/>
      <c r="D394" s="8"/>
      <c r="E394" s="8"/>
      <c r="F394" s="8"/>
      <c r="G394" s="8"/>
      <c r="H394" s="8"/>
    </row>
    <row r="395" spans="1:8" hidden="1" x14ac:dyDescent="0.2">
      <c r="A395" s="8"/>
      <c r="B395" s="8"/>
      <c r="C395" s="8"/>
      <c r="D395" s="8"/>
      <c r="E395" s="8"/>
      <c r="F395" s="8"/>
      <c r="G395" s="8"/>
      <c r="H395" s="8"/>
    </row>
    <row r="396" spans="1:8" hidden="1" x14ac:dyDescent="0.2">
      <c r="A396" s="13" t="s">
        <v>461</v>
      </c>
      <c r="B396" s="8"/>
      <c r="C396" s="8"/>
      <c r="D396" s="8"/>
      <c r="E396" s="8"/>
      <c r="F396" s="8"/>
      <c r="G396" s="8"/>
      <c r="H396" s="8"/>
    </row>
    <row r="397" spans="1:8" hidden="1" x14ac:dyDescent="0.2">
      <c r="A397" s="8"/>
      <c r="B397" s="8"/>
      <c r="C397" s="8"/>
      <c r="D397" s="8"/>
      <c r="E397" s="8"/>
      <c r="F397" s="8"/>
      <c r="G397" s="8"/>
      <c r="H397" s="8"/>
    </row>
    <row r="398" spans="1:8" hidden="1" x14ac:dyDescent="0.2">
      <c r="A398" s="15" t="s">
        <v>462</v>
      </c>
      <c r="B398" s="8"/>
      <c r="C398" s="8"/>
      <c r="D398" s="8"/>
      <c r="E398" s="8"/>
      <c r="F398" s="8"/>
      <c r="G398" s="8"/>
      <c r="H398" s="8"/>
    </row>
    <row r="399" spans="1:8" hidden="1" x14ac:dyDescent="0.2">
      <c r="A399" s="15" t="s">
        <v>463</v>
      </c>
      <c r="B399" s="8"/>
      <c r="C399" s="8"/>
      <c r="D399" s="8"/>
      <c r="E399" s="8"/>
      <c r="F399" s="8"/>
      <c r="G399" s="8"/>
      <c r="H399" s="8"/>
    </row>
    <row r="400" spans="1:8" hidden="1" x14ac:dyDescent="0.2">
      <c r="A400" s="8"/>
      <c r="B400" s="8"/>
      <c r="C400" s="8"/>
      <c r="D400" s="8"/>
      <c r="E400" s="8"/>
      <c r="F400" s="8"/>
      <c r="G400" s="8"/>
      <c r="H400" s="8"/>
    </row>
    <row r="401" spans="1:8" hidden="1" x14ac:dyDescent="0.2">
      <c r="A401" s="15" t="s">
        <v>464</v>
      </c>
      <c r="B401" s="8"/>
      <c r="C401" s="8"/>
      <c r="D401" s="8"/>
      <c r="E401" s="8"/>
      <c r="F401" s="8"/>
      <c r="G401" s="8"/>
      <c r="H401" s="8"/>
    </row>
    <row r="402" spans="1:8" hidden="1" x14ac:dyDescent="0.2">
      <c r="A402" s="15" t="s">
        <v>465</v>
      </c>
      <c r="B402" s="8"/>
      <c r="C402" s="8"/>
      <c r="D402" s="8"/>
      <c r="E402" s="8"/>
      <c r="F402" s="8"/>
      <c r="G402" s="8"/>
      <c r="H402" s="8"/>
    </row>
    <row r="403" spans="1:8" hidden="1" x14ac:dyDescent="0.2">
      <c r="A403" s="8"/>
      <c r="B403" s="8"/>
      <c r="C403" s="8"/>
      <c r="D403" s="8"/>
      <c r="E403" s="8"/>
      <c r="F403" s="8"/>
      <c r="G403" s="8"/>
      <c r="H403" s="8"/>
    </row>
    <row r="404" spans="1:8" hidden="1" x14ac:dyDescent="0.2">
      <c r="A404" s="15" t="s">
        <v>466</v>
      </c>
      <c r="B404" s="8"/>
      <c r="C404" s="8"/>
      <c r="D404" s="8"/>
      <c r="E404" s="8"/>
      <c r="F404" s="8"/>
      <c r="G404" s="8"/>
      <c r="H404" s="8"/>
    </row>
    <row r="405" spans="1:8" hidden="1" x14ac:dyDescent="0.2">
      <c r="A405" s="15" t="s">
        <v>467</v>
      </c>
      <c r="B405" s="8"/>
      <c r="C405" s="8"/>
      <c r="D405" s="8"/>
      <c r="E405" s="8"/>
      <c r="F405" s="8"/>
      <c r="G405" s="8"/>
      <c r="H405" s="8"/>
    </row>
    <row r="406" spans="1:8" hidden="1" x14ac:dyDescent="0.2">
      <c r="A406" s="15" t="s">
        <v>468</v>
      </c>
      <c r="B406" s="8"/>
      <c r="C406" s="8"/>
      <c r="D406" s="8"/>
      <c r="E406" s="8"/>
      <c r="F406" s="8"/>
      <c r="G406" s="8"/>
      <c r="H406" s="8"/>
    </row>
    <row r="407" spans="1:8" hidden="1" x14ac:dyDescent="0.2">
      <c r="A407" s="8"/>
      <c r="B407" s="8"/>
      <c r="C407" s="8"/>
      <c r="D407" s="8"/>
      <c r="E407" s="8"/>
      <c r="F407" s="8"/>
      <c r="G407" s="8"/>
      <c r="H407" s="8"/>
    </row>
    <row r="408" spans="1:8" hidden="1" x14ac:dyDescent="0.2">
      <c r="A408" s="15" t="s">
        <v>469</v>
      </c>
      <c r="B408" s="8"/>
      <c r="C408" s="8"/>
      <c r="D408" s="8"/>
      <c r="E408" s="8"/>
      <c r="F408" s="8"/>
      <c r="G408" s="8"/>
      <c r="H408" s="8"/>
    </row>
    <row r="409" spans="1:8" x14ac:dyDescent="0.2">
      <c r="A409" s="15" t="s">
        <v>470</v>
      </c>
      <c r="B409" s="8"/>
      <c r="C409" s="8"/>
      <c r="D409" s="8"/>
      <c r="E409" s="8"/>
      <c r="F409" s="8"/>
      <c r="G409" s="8"/>
      <c r="H409" s="8"/>
    </row>
    <row r="410" spans="1:8" x14ac:dyDescent="0.2">
      <c r="A410" s="8"/>
      <c r="B410" s="8"/>
      <c r="C410" s="8"/>
      <c r="D410" s="8"/>
      <c r="E410" s="8"/>
      <c r="F410" s="8"/>
      <c r="G410" s="8"/>
      <c r="H410" s="8"/>
    </row>
    <row r="411" spans="1:8" x14ac:dyDescent="0.2">
      <c r="A411" s="15" t="s">
        <v>471</v>
      </c>
      <c r="B411" s="8"/>
      <c r="C411" s="8"/>
      <c r="D411" s="8"/>
      <c r="E411" s="8"/>
      <c r="F411" s="8"/>
      <c r="G411" s="8"/>
      <c r="H411" s="8"/>
    </row>
    <row r="412" spans="1:8" x14ac:dyDescent="0.2">
      <c r="A412" s="15" t="s">
        <v>472</v>
      </c>
      <c r="B412" s="8"/>
      <c r="C412" s="8"/>
      <c r="D412" s="8"/>
      <c r="E412" s="8"/>
      <c r="F412" s="8"/>
      <c r="G412" s="8"/>
      <c r="H412" s="8"/>
    </row>
    <row r="413" spans="1:8" x14ac:dyDescent="0.2">
      <c r="A413" s="8"/>
      <c r="B413" s="8"/>
      <c r="C413" s="8"/>
      <c r="D413" s="8"/>
      <c r="E413" s="8"/>
      <c r="F413" s="8"/>
      <c r="G413" s="8"/>
      <c r="H413" s="8"/>
    </row>
    <row r="414" spans="1:8" x14ac:dyDescent="0.2">
      <c r="A414" s="13" t="s">
        <v>473</v>
      </c>
      <c r="B414" s="8"/>
      <c r="C414" s="8"/>
      <c r="D414" s="8"/>
      <c r="E414" s="8"/>
      <c r="F414" s="8"/>
      <c r="G414" s="8"/>
      <c r="H414" s="8"/>
    </row>
    <row r="415" spans="1:8" x14ac:dyDescent="0.2">
      <c r="A415" s="8"/>
      <c r="B415" s="8"/>
      <c r="C415" s="8"/>
      <c r="D415" s="8"/>
      <c r="E415" s="8"/>
      <c r="F415" s="8"/>
      <c r="G415" s="8"/>
    </row>
    <row r="416" spans="1:8" x14ac:dyDescent="0.2">
      <c r="A416" s="15" t="s">
        <v>474</v>
      </c>
      <c r="B416" s="8"/>
      <c r="C416" s="8"/>
      <c r="D416" s="8"/>
      <c r="E416" s="8"/>
      <c r="F416" s="8"/>
      <c r="G416" s="8"/>
    </row>
    <row r="417" spans="1:7" x14ac:dyDescent="0.2">
      <c r="A417" s="8"/>
      <c r="B417" s="8"/>
      <c r="C417" s="8"/>
      <c r="D417" s="8"/>
      <c r="E417" s="8"/>
      <c r="F417" s="8"/>
      <c r="G417" s="8"/>
    </row>
    <row r="418" spans="1:7" x14ac:dyDescent="0.2">
      <c r="A418" s="15" t="s">
        <v>475</v>
      </c>
      <c r="B418" s="8"/>
      <c r="C418" s="8"/>
      <c r="D418" s="8"/>
      <c r="E418" s="8"/>
      <c r="F418" s="8"/>
      <c r="G418" s="8"/>
    </row>
    <row r="419" spans="1:7" x14ac:dyDescent="0.2">
      <c r="A419" s="8"/>
      <c r="B419" s="8"/>
      <c r="C419" s="8"/>
      <c r="D419" s="8"/>
      <c r="E419" s="8"/>
      <c r="F419" s="8"/>
      <c r="G419" s="8"/>
    </row>
    <row r="420" spans="1:7" x14ac:dyDescent="0.2">
      <c r="A420" s="15" t="s">
        <v>476</v>
      </c>
      <c r="B420" s="8"/>
      <c r="C420" s="8"/>
      <c r="D420" s="8"/>
      <c r="E420" s="8"/>
      <c r="F420" s="8"/>
      <c r="G420" s="8"/>
    </row>
    <row r="421" spans="1:7" x14ac:dyDescent="0.2">
      <c r="A421" t="s">
        <v>477</v>
      </c>
      <c r="F421" s="8"/>
      <c r="G421" s="8"/>
    </row>
    <row r="422" spans="1:7" x14ac:dyDescent="0.2">
      <c r="A422" t="s">
        <v>478</v>
      </c>
      <c r="F422" s="8"/>
      <c r="G422" s="8"/>
    </row>
    <row r="423" spans="1:7" x14ac:dyDescent="0.2">
      <c r="A423" t="s">
        <v>479</v>
      </c>
      <c r="F423" s="8"/>
      <c r="G423" s="8"/>
    </row>
    <row r="424" spans="1:7" x14ac:dyDescent="0.2">
      <c r="A424" t="s">
        <v>480</v>
      </c>
      <c r="F424" s="8"/>
      <c r="G424" s="8"/>
    </row>
    <row r="425" spans="1:7" x14ac:dyDescent="0.2">
      <c r="A425" s="8"/>
      <c r="B425" s="8"/>
      <c r="C425" s="8"/>
      <c r="D425" s="8"/>
      <c r="E425" s="8"/>
      <c r="F425" s="8"/>
      <c r="G425" s="8"/>
    </row>
    <row r="426" spans="1:7" x14ac:dyDescent="0.2">
      <c r="A426" s="15" t="s">
        <v>481</v>
      </c>
      <c r="B426" s="8"/>
      <c r="C426" s="8"/>
      <c r="D426" s="8"/>
      <c r="E426" s="8"/>
      <c r="F426" s="8"/>
      <c r="G426" s="8"/>
    </row>
    <row r="427" spans="1:7" x14ac:dyDescent="0.2">
      <c r="A427" t="s">
        <v>482</v>
      </c>
      <c r="E427" s="8"/>
      <c r="F427" s="8"/>
      <c r="G427" s="8"/>
    </row>
    <row r="428" spans="1:7" x14ac:dyDescent="0.2">
      <c r="A428" t="s">
        <v>483</v>
      </c>
      <c r="E428" s="8"/>
      <c r="F428" s="8"/>
      <c r="G428" s="8"/>
    </row>
    <row r="429" spans="1:7" x14ac:dyDescent="0.2">
      <c r="A429" t="s">
        <v>484</v>
      </c>
      <c r="E429" s="8"/>
      <c r="F429" s="8"/>
      <c r="G429" s="8"/>
    </row>
    <row r="430" spans="1:7" x14ac:dyDescent="0.2">
      <c r="A430" s="15" t="s">
        <v>485</v>
      </c>
      <c r="E430" s="8"/>
      <c r="F430" s="8"/>
      <c r="G430" s="8"/>
    </row>
    <row r="431" spans="1:7" x14ac:dyDescent="0.2">
      <c r="E431" s="8"/>
      <c r="F431" s="8"/>
      <c r="G431" s="8"/>
    </row>
    <row r="432" spans="1:7" x14ac:dyDescent="0.2">
      <c r="A432" s="15" t="s">
        <v>486</v>
      </c>
      <c r="B432" s="8"/>
      <c r="C432" s="8"/>
      <c r="D432" s="8"/>
      <c r="E432" s="8"/>
      <c r="F432" s="8"/>
      <c r="G432" s="8"/>
    </row>
    <row r="433" spans="1:8" x14ac:dyDescent="0.2">
      <c r="A433" s="15" t="s">
        <v>487</v>
      </c>
      <c r="B433" s="8"/>
      <c r="C433" s="8"/>
      <c r="D433" s="8"/>
      <c r="E433" s="8"/>
      <c r="F433" s="8"/>
      <c r="G433" s="8"/>
    </row>
    <row r="434" spans="1:8" x14ac:dyDescent="0.2">
      <c r="A434" s="15" t="s">
        <v>488</v>
      </c>
      <c r="B434" s="8"/>
      <c r="C434" s="8"/>
      <c r="D434" s="8"/>
      <c r="E434" s="8"/>
      <c r="F434" s="8"/>
      <c r="G434" s="8"/>
    </row>
    <row r="435" spans="1:8" x14ac:dyDescent="0.2">
      <c r="A435" s="15" t="s">
        <v>489</v>
      </c>
      <c r="B435" s="8"/>
      <c r="C435" s="8"/>
      <c r="D435" s="8"/>
      <c r="E435" s="8"/>
      <c r="F435" s="8"/>
      <c r="G435" s="8"/>
    </row>
    <row r="436" spans="1:8" x14ac:dyDescent="0.2">
      <c r="A436" s="8"/>
      <c r="B436" s="8"/>
      <c r="C436" s="8"/>
      <c r="D436" s="8"/>
      <c r="E436" s="8"/>
      <c r="F436" s="8"/>
      <c r="G436" s="8"/>
    </row>
    <row r="437" spans="1:8" x14ac:dyDescent="0.2">
      <c r="A437" s="15" t="s">
        <v>490</v>
      </c>
      <c r="B437" s="8"/>
      <c r="C437" s="8"/>
      <c r="D437" s="8"/>
      <c r="E437" s="8"/>
      <c r="F437" s="8"/>
      <c r="G437" s="8"/>
    </row>
    <row r="439" spans="1:8" x14ac:dyDescent="0.2">
      <c r="A439" s="20" t="s">
        <v>291</v>
      </c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 t="s">
        <v>292</v>
      </c>
      <c r="C441" s="17"/>
      <c r="D441" s="17"/>
      <c r="E441" s="17"/>
      <c r="F441" s="17"/>
      <c r="G441" s="17"/>
      <c r="H441" s="17"/>
    </row>
    <row r="442" spans="1:8" x14ac:dyDescent="0.2">
      <c r="A442" s="17"/>
      <c r="B442" s="17" t="s">
        <v>293</v>
      </c>
      <c r="C442" s="17"/>
      <c r="D442" s="17"/>
      <c r="E442" s="17"/>
      <c r="F442" s="17"/>
      <c r="G442" s="17"/>
      <c r="H442" s="17"/>
    </row>
    <row r="443" spans="1:8" x14ac:dyDescent="0.2">
      <c r="A443" s="17"/>
      <c r="B443" s="17" t="s">
        <v>294</v>
      </c>
      <c r="C443" s="17"/>
      <c r="D443" s="17"/>
      <c r="E443" s="17"/>
      <c r="F443" s="17"/>
      <c r="G443" s="17"/>
      <c r="H443" s="17"/>
    </row>
    <row r="444" spans="1:8" x14ac:dyDescent="0.2">
      <c r="A444" s="17"/>
      <c r="B444" s="17" t="s">
        <v>295</v>
      </c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 t="s">
        <v>296</v>
      </c>
      <c r="C446" s="17" t="s">
        <v>297</v>
      </c>
      <c r="D446" s="17"/>
      <c r="E446" s="17"/>
      <c r="F446" s="17"/>
      <c r="G446" s="17"/>
      <c r="H446" s="17"/>
    </row>
    <row r="447" spans="1:8" x14ac:dyDescent="0.2">
      <c r="A447" s="17"/>
      <c r="B447" s="17"/>
      <c r="C447" s="17" t="s">
        <v>298</v>
      </c>
      <c r="D447" s="17"/>
      <c r="E447" s="17"/>
      <c r="F447" s="17"/>
      <c r="G447" s="17"/>
      <c r="H447" s="17"/>
    </row>
    <row r="448" spans="1:8" x14ac:dyDescent="0.2">
      <c r="A448" s="17"/>
      <c r="B448" s="17"/>
      <c r="C448" s="17" t="s">
        <v>299</v>
      </c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 t="s">
        <v>300</v>
      </c>
      <c r="C450" s="17" t="s">
        <v>301</v>
      </c>
      <c r="D450" s="17"/>
      <c r="E450" s="17"/>
      <c r="F450" s="17"/>
      <c r="G450" s="17"/>
      <c r="H450" s="17"/>
    </row>
    <row r="451" spans="1:8" x14ac:dyDescent="0.2">
      <c r="A451" s="17"/>
      <c r="B451" s="17"/>
      <c r="C451" s="17" t="s">
        <v>307</v>
      </c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 t="s">
        <v>308</v>
      </c>
      <c r="C453" s="17" t="s">
        <v>309</v>
      </c>
      <c r="D453" s="17"/>
      <c r="E453" s="17"/>
      <c r="F453" s="17"/>
      <c r="G453" s="17"/>
      <c r="H453" s="17"/>
    </row>
    <row r="454" spans="1:8" x14ac:dyDescent="0.2">
      <c r="A454" s="17"/>
      <c r="B454" s="17"/>
      <c r="C454" s="17" t="s">
        <v>310</v>
      </c>
      <c r="D454" s="17"/>
      <c r="E454" s="17"/>
      <c r="F454" s="17"/>
      <c r="G454" s="17"/>
      <c r="H454" s="17"/>
    </row>
    <row r="455" spans="1:8" x14ac:dyDescent="0.2">
      <c r="A455" s="17"/>
      <c r="B455" s="17"/>
      <c r="C455" s="17" t="s">
        <v>311</v>
      </c>
      <c r="D455" s="17"/>
      <c r="E455" s="17"/>
      <c r="F455" s="17"/>
      <c r="G455" s="17"/>
      <c r="H455" s="17"/>
    </row>
    <row r="456" spans="1:8" x14ac:dyDescent="0.2">
      <c r="A456" s="17"/>
      <c r="B456" s="17"/>
      <c r="C456" s="17" t="s">
        <v>312</v>
      </c>
      <c r="D456" s="17"/>
      <c r="E456" s="17"/>
      <c r="F456" s="17"/>
      <c r="G456" s="17"/>
      <c r="H456" s="17"/>
    </row>
    <row r="457" spans="1:8" x14ac:dyDescent="0.2">
      <c r="A457" s="17"/>
      <c r="B457" s="17"/>
      <c r="C457" s="17" t="s">
        <v>313</v>
      </c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 t="s">
        <v>314</v>
      </c>
      <c r="C459" s="17" t="s">
        <v>315</v>
      </c>
      <c r="D459" s="17"/>
      <c r="E459" s="17"/>
      <c r="F459" s="17"/>
      <c r="G459" s="17"/>
      <c r="H459" s="17"/>
    </row>
    <row r="460" spans="1:8" x14ac:dyDescent="0.2">
      <c r="A460" s="17"/>
      <c r="B460" s="17"/>
      <c r="C460" s="17" t="s">
        <v>316</v>
      </c>
      <c r="D460" s="17"/>
      <c r="E460" s="17"/>
      <c r="F460" s="17"/>
      <c r="G460" s="17"/>
      <c r="H460" s="17"/>
    </row>
    <row r="461" spans="1:8" x14ac:dyDescent="0.2">
      <c r="A461" s="17"/>
      <c r="B461" s="17"/>
      <c r="C461" s="17" t="s">
        <v>317</v>
      </c>
      <c r="D461" s="17"/>
      <c r="E461" s="17"/>
      <c r="F461" s="17"/>
      <c r="G461" s="17"/>
      <c r="H461" s="17"/>
    </row>
    <row r="462" spans="1:8" x14ac:dyDescent="0.2">
      <c r="A462" s="17"/>
      <c r="B462" s="17"/>
      <c r="C462" s="17" t="s">
        <v>318</v>
      </c>
      <c r="D462" s="17"/>
      <c r="E462" s="17"/>
      <c r="F462" s="17"/>
      <c r="G462" s="17"/>
      <c r="H462" s="17"/>
    </row>
    <row r="463" spans="1:8" x14ac:dyDescent="0.2">
      <c r="A463" s="17"/>
      <c r="B463" s="17"/>
      <c r="C463" s="17" t="s">
        <v>319</v>
      </c>
      <c r="D463" s="17"/>
      <c r="E463" s="17"/>
      <c r="F463" s="17"/>
      <c r="G463" s="17"/>
      <c r="H463" s="17"/>
    </row>
    <row r="464" spans="1:8" x14ac:dyDescent="0.2">
      <c r="A464" s="17"/>
      <c r="B464" s="17"/>
      <c r="C464" s="17" t="s">
        <v>320</v>
      </c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 t="s">
        <v>321</v>
      </c>
      <c r="D466" s="17"/>
      <c r="E466" s="17"/>
      <c r="F466" s="17"/>
      <c r="G466" s="17"/>
      <c r="H466" s="17"/>
    </row>
    <row r="467" spans="1:8" x14ac:dyDescent="0.2">
      <c r="A467" s="17"/>
      <c r="B467" s="17"/>
      <c r="C467" s="17" t="s">
        <v>322</v>
      </c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 t="s">
        <v>323</v>
      </c>
      <c r="C469" s="17" t="s">
        <v>324</v>
      </c>
      <c r="D469" s="17"/>
      <c r="E469" s="17"/>
      <c r="F469" s="17"/>
      <c r="G469" s="17"/>
      <c r="H469" s="17"/>
    </row>
    <row r="470" spans="1:8" x14ac:dyDescent="0.2">
      <c r="A470" s="17"/>
      <c r="B470" s="17"/>
      <c r="C470" s="17" t="s">
        <v>325</v>
      </c>
      <c r="D470" s="17"/>
      <c r="E470" s="17"/>
      <c r="F470" s="17"/>
      <c r="G470" s="17"/>
      <c r="H470" s="17"/>
    </row>
    <row r="471" spans="1:8" x14ac:dyDescent="0.2">
      <c r="A471" s="17"/>
      <c r="B471" s="17"/>
      <c r="C471" s="17" t="s">
        <v>326</v>
      </c>
      <c r="D471" s="17"/>
      <c r="E471" s="17"/>
      <c r="F471" s="17"/>
      <c r="G471" s="17"/>
      <c r="H471" s="17"/>
    </row>
    <row r="472" spans="1:8" x14ac:dyDescent="0.2">
      <c r="A472" s="17"/>
      <c r="B472" s="17"/>
      <c r="C472" s="17" t="s">
        <v>327</v>
      </c>
      <c r="D472" s="17"/>
      <c r="E472" s="17"/>
      <c r="F472" s="17"/>
      <c r="G472" s="17"/>
      <c r="H472" s="17"/>
    </row>
    <row r="473" spans="1:8" x14ac:dyDescent="0.2">
      <c r="A473" s="17"/>
      <c r="B473" s="17"/>
      <c r="C473" s="17" t="s">
        <v>328</v>
      </c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9" t="s">
        <v>332</v>
      </c>
      <c r="C478" s="9"/>
      <c r="D478" s="9"/>
      <c r="E478" s="9"/>
      <c r="F478" s="17"/>
      <c r="G478" s="17"/>
      <c r="H478" s="17"/>
    </row>
    <row r="479" spans="1:8" x14ac:dyDescent="0.2">
      <c r="A479" s="17"/>
      <c r="B479" s="188" t="s">
        <v>844</v>
      </c>
      <c r="C479" s="9"/>
      <c r="D479" s="9"/>
      <c r="E479" s="9"/>
      <c r="F479" s="17"/>
      <c r="G479" s="17"/>
      <c r="H479" s="17"/>
    </row>
    <row r="480" spans="1:8" x14ac:dyDescent="0.2">
      <c r="A480" s="17"/>
      <c r="B480" s="9"/>
      <c r="C480" s="9"/>
      <c r="D480" s="9"/>
      <c r="E480" s="9"/>
      <c r="F480" s="17"/>
      <c r="G480" s="17"/>
      <c r="H480" s="17"/>
    </row>
    <row r="481" spans="1:8" x14ac:dyDescent="0.2">
      <c r="A481" s="17"/>
      <c r="B481" s="17" t="str">
        <f>+Hoja1!D25</f>
        <v xml:space="preserve">        QUITO -  </v>
      </c>
      <c r="C481" s="17" t="str">
        <f>+Hoja1!E25</f>
        <v>MARZO 2023</v>
      </c>
      <c r="D481" s="17"/>
      <c r="E481" s="17"/>
      <c r="F481" s="17"/>
      <c r="G481" s="17"/>
      <c r="H481" s="17"/>
    </row>
  </sheetData>
  <phoneticPr fontId="11" type="noConversion"/>
  <pageMargins left="0.7" right="0.7" top="0.75" bottom="0.75" header="0.3" footer="0.3"/>
  <pageSetup paperSize="9" scale="88" fitToHeight="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339"/>
  <sheetViews>
    <sheetView topLeftCell="A217" zoomScale="80" zoomScaleNormal="80" workbookViewId="0">
      <selection activeCell="BK275" sqref="BK275"/>
    </sheetView>
  </sheetViews>
  <sheetFormatPr baseColWidth="10" defaultColWidth="9.140625" defaultRowHeight="12.75" x14ac:dyDescent="0.2"/>
  <cols>
    <col min="1" max="1" width="6.85546875" customWidth="1"/>
    <col min="2" max="2" width="7.140625" customWidth="1"/>
    <col min="3" max="3" width="4.140625" customWidth="1"/>
    <col min="4" max="8" width="9.28515625" customWidth="1"/>
    <col min="9" max="9" width="11.85546875" customWidth="1"/>
    <col min="10" max="10" width="2.42578125" customWidth="1"/>
    <col min="11" max="11" width="7.28515625" customWidth="1"/>
    <col min="12" max="12" width="12.5703125" customWidth="1"/>
    <col min="13" max="14" width="7.28515625" customWidth="1"/>
    <col min="15" max="15" width="11.28515625" customWidth="1"/>
    <col min="16" max="18" width="7.28515625" customWidth="1"/>
    <col min="19" max="19" width="1" customWidth="1"/>
    <col min="20" max="20" width="6" customWidth="1"/>
    <col min="21" max="21" width="13.140625" customWidth="1"/>
    <col min="22" max="33" width="7.28515625" customWidth="1"/>
    <col min="34" max="34" width="17" customWidth="1"/>
    <col min="35" max="35" width="3.28515625" customWidth="1"/>
    <col min="36" max="36" width="12.42578125" hidden="1" customWidth="1"/>
    <col min="37" max="37" width="11.85546875" hidden="1" customWidth="1"/>
    <col min="38" max="39" width="10.42578125" hidden="1" customWidth="1"/>
    <col min="40" max="40" width="7.7109375" hidden="1" customWidth="1"/>
    <col min="41" max="41" width="10.42578125" hidden="1" customWidth="1"/>
    <col min="42" max="42" width="12.5703125" hidden="1" customWidth="1"/>
    <col min="43" max="45" width="10.42578125" hidden="1" customWidth="1"/>
    <col min="46" max="47" width="9.140625" hidden="1" customWidth="1"/>
    <col min="48" max="48" width="10.5703125" hidden="1" customWidth="1"/>
    <col min="49" max="49" width="6.140625" hidden="1" customWidth="1"/>
    <col min="50" max="50" width="35.7109375" hidden="1" customWidth="1"/>
    <col min="51" max="51" width="9.140625" hidden="1" customWidth="1"/>
    <col min="52" max="52" width="5.85546875" hidden="1" customWidth="1"/>
    <col min="53" max="53" width="10.140625" hidden="1" customWidth="1"/>
    <col min="54" max="54" width="46.5703125" hidden="1" customWidth="1"/>
    <col min="55" max="55" width="9.5703125" hidden="1" customWidth="1"/>
    <col min="56" max="56" width="5.28515625" hidden="1" customWidth="1"/>
    <col min="57" max="57" width="10.140625" hidden="1" customWidth="1"/>
    <col min="58" max="58" width="3.28515625" customWidth="1"/>
    <col min="59" max="59" width="12.42578125" customWidth="1"/>
    <col min="60" max="60" width="11.85546875" customWidth="1"/>
    <col min="61" max="62" width="10.42578125" customWidth="1"/>
    <col min="63" max="63" width="7.7109375" customWidth="1"/>
    <col min="64" max="64" width="10.42578125" customWidth="1"/>
    <col min="65" max="65" width="12.5703125" customWidth="1"/>
    <col min="66" max="68" width="10.42578125" customWidth="1"/>
    <col min="69" max="70" width="9.140625" customWidth="1"/>
    <col min="71" max="71" width="10.5703125" customWidth="1"/>
    <col min="72" max="72" width="6.140625" customWidth="1"/>
    <col min="73" max="73" width="35.7109375" customWidth="1"/>
    <col min="74" max="74" width="9.140625" customWidth="1"/>
    <col min="75" max="75" width="5.85546875" customWidth="1"/>
    <col min="76" max="76" width="10.140625" customWidth="1"/>
    <col min="77" max="77" width="46.5703125" customWidth="1"/>
    <col min="78" max="78" width="9.5703125" bestFit="1" customWidth="1"/>
    <col min="79" max="79" width="5.28515625" customWidth="1"/>
    <col min="80" max="80" width="10.140625" customWidth="1"/>
    <col min="81" max="83" width="11.42578125" customWidth="1"/>
    <col min="84" max="84" width="12" customWidth="1"/>
  </cols>
  <sheetData>
    <row r="1" spans="1:81" hidden="1" x14ac:dyDescent="0.2">
      <c r="A1" t="s">
        <v>337</v>
      </c>
      <c r="B1" t="s">
        <v>338</v>
      </c>
    </row>
    <row r="2" spans="1:81" hidden="1" x14ac:dyDescent="0.2"/>
    <row r="3" spans="1:81" hidden="1" x14ac:dyDescent="0.2">
      <c r="A3" t="s">
        <v>339</v>
      </c>
      <c r="B3" t="s">
        <v>340</v>
      </c>
      <c r="C3" t="s">
        <v>341</v>
      </c>
      <c r="D3" t="s">
        <v>342</v>
      </c>
      <c r="E3" t="s">
        <v>343</v>
      </c>
      <c r="F3" t="s">
        <v>344</v>
      </c>
      <c r="G3" t="s">
        <v>345</v>
      </c>
      <c r="H3" t="s">
        <v>346</v>
      </c>
      <c r="I3" t="s">
        <v>347</v>
      </c>
    </row>
    <row r="4" spans="1:81" hidden="1" x14ac:dyDescent="0.2">
      <c r="A4" t="s">
        <v>348</v>
      </c>
      <c r="B4" t="s">
        <v>348</v>
      </c>
      <c r="C4" t="s">
        <v>348</v>
      </c>
      <c r="D4" t="s">
        <v>349</v>
      </c>
      <c r="E4" t="s">
        <v>349</v>
      </c>
      <c r="F4" t="s">
        <v>349</v>
      </c>
      <c r="G4" t="s">
        <v>350</v>
      </c>
      <c r="H4" t="s">
        <v>350</v>
      </c>
      <c r="I4" t="s">
        <v>350</v>
      </c>
    </row>
    <row r="5" spans="1:81" hidden="1" x14ac:dyDescent="0.2">
      <c r="K5" s="25" t="s">
        <v>357</v>
      </c>
      <c r="L5" s="26" t="s">
        <v>358</v>
      </c>
      <c r="M5" s="27" t="s">
        <v>359</v>
      </c>
      <c r="N5" s="27" t="s">
        <v>360</v>
      </c>
      <c r="O5" s="27" t="s">
        <v>361</v>
      </c>
      <c r="P5" s="27" t="s">
        <v>362</v>
      </c>
      <c r="Q5" s="27" t="s">
        <v>363</v>
      </c>
      <c r="R5" s="28" t="s">
        <v>364</v>
      </c>
      <c r="S5" s="17"/>
      <c r="T5" s="29" t="s">
        <v>365</v>
      </c>
      <c r="U5" s="29" t="s">
        <v>358</v>
      </c>
      <c r="V5" s="30" t="s">
        <v>361</v>
      </c>
      <c r="W5" s="30" t="s">
        <v>362</v>
      </c>
      <c r="X5" s="30" t="s">
        <v>363</v>
      </c>
      <c r="Y5" s="29" t="s">
        <v>366</v>
      </c>
      <c r="Z5" s="31" t="s">
        <v>367</v>
      </c>
      <c r="AA5" s="23" t="s">
        <v>368</v>
      </c>
      <c r="AB5" s="23" t="s">
        <v>369</v>
      </c>
      <c r="AC5" s="22" t="s">
        <v>0</v>
      </c>
      <c r="AD5" s="22" t="s">
        <v>1</v>
      </c>
      <c r="AE5" s="22" t="s">
        <v>370</v>
      </c>
      <c r="AF5" s="22" t="s">
        <v>371</v>
      </c>
      <c r="AG5" s="22" t="s">
        <v>372</v>
      </c>
      <c r="AH5" s="32" t="s">
        <v>373</v>
      </c>
    </row>
    <row r="6" spans="1:81" hidden="1" x14ac:dyDescent="0.2">
      <c r="A6">
        <v>1</v>
      </c>
      <c r="B6" t="s">
        <v>351</v>
      </c>
      <c r="C6" t="s">
        <v>352</v>
      </c>
      <c r="D6" s="16">
        <v>9.2899999999999996E-2</v>
      </c>
      <c r="E6" s="16">
        <v>0.13589999999999999</v>
      </c>
      <c r="F6" s="16">
        <v>-2.7852000000000001</v>
      </c>
      <c r="G6" s="16">
        <v>-0.11405</v>
      </c>
      <c r="H6" s="16">
        <v>0.15972</v>
      </c>
      <c r="I6" s="16">
        <v>-4.5339999999999998E-2</v>
      </c>
      <c r="K6" s="33">
        <f>+A6</f>
        <v>1</v>
      </c>
      <c r="L6" s="17" t="s">
        <v>374</v>
      </c>
      <c r="M6" s="34">
        <f t="shared" ref="M6:R6" si="0">D6+D7</f>
        <v>0.11069999999999999</v>
      </c>
      <c r="N6" s="34">
        <f t="shared" si="0"/>
        <v>0.1646</v>
      </c>
      <c r="O6" s="34">
        <f t="shared" si="0"/>
        <v>-3.3886000000000003</v>
      </c>
      <c r="P6" s="34">
        <f t="shared" si="0"/>
        <v>-0.13766999999999999</v>
      </c>
      <c r="Q6" s="34">
        <f t="shared" si="0"/>
        <v>0.19006000000000001</v>
      </c>
      <c r="R6" s="35">
        <f t="shared" si="0"/>
        <v>-5.4879999999999998E-2</v>
      </c>
      <c r="S6" s="17"/>
      <c r="T6" s="29">
        <f>K6</f>
        <v>1</v>
      </c>
      <c r="U6" s="29" t="s">
        <v>374</v>
      </c>
      <c r="V6" s="23">
        <f t="shared" ref="V6:X10" si="1">O6</f>
        <v>-3.3886000000000003</v>
      </c>
      <c r="W6" s="23">
        <f t="shared" si="1"/>
        <v>-0.13766999999999999</v>
      </c>
      <c r="X6" s="23">
        <f t="shared" si="1"/>
        <v>0.19006000000000001</v>
      </c>
      <c r="Y6" s="29">
        <v>10</v>
      </c>
      <c r="Z6" s="31">
        <f>ABS(V6)/AC6/AD6</f>
        <v>2.353194444444445</v>
      </c>
      <c r="AA6" s="23">
        <f>ABS(+W6/V6)</f>
        <v>4.0627397745381565E-2</v>
      </c>
      <c r="AB6" s="23">
        <f>ABS(X6/V6)</f>
        <v>5.6088059965767573E-2</v>
      </c>
      <c r="AC6" s="36">
        <v>1.2</v>
      </c>
      <c r="AD6" s="37">
        <v>1.2</v>
      </c>
      <c r="AE6" s="22">
        <f t="shared" ref="AE6:AF10" si="2">AC6-2*AA6</f>
        <v>1.1187452045092368</v>
      </c>
      <c r="AF6" s="22">
        <f t="shared" si="2"/>
        <v>1.0878238800684648</v>
      </c>
      <c r="AG6" s="22">
        <f>AF6*AE6</f>
        <v>1.2169977491772261</v>
      </c>
      <c r="AH6" s="38">
        <f>V6/AG6</f>
        <v>-2.7843929886402221</v>
      </c>
    </row>
    <row r="7" spans="1:81" hidden="1" x14ac:dyDescent="0.2">
      <c r="A7">
        <v>1</v>
      </c>
      <c r="B7" t="s">
        <v>353</v>
      </c>
      <c r="C7" t="s">
        <v>352</v>
      </c>
      <c r="D7" s="16">
        <v>1.78E-2</v>
      </c>
      <c r="E7" s="16">
        <v>2.87E-2</v>
      </c>
      <c r="F7" s="16">
        <v>-0.60340000000000005</v>
      </c>
      <c r="G7" s="16">
        <v>-2.3619999999999999E-2</v>
      </c>
      <c r="H7" s="16">
        <v>3.0339999999999999E-2</v>
      </c>
      <c r="I7" s="16">
        <v>-9.5399999999999999E-3</v>
      </c>
      <c r="K7" s="33"/>
      <c r="L7" s="17" t="s">
        <v>375</v>
      </c>
      <c r="M7" s="34">
        <f t="shared" ref="M7:R7" si="3">D6+0.25*D7+D8</f>
        <v>-0.39724999999999999</v>
      </c>
      <c r="N7" s="34">
        <f t="shared" si="3"/>
        <v>0.12827499999999997</v>
      </c>
      <c r="O7" s="34">
        <f t="shared" si="3"/>
        <v>-3.7687500000000003</v>
      </c>
      <c r="P7" s="34">
        <f t="shared" si="3"/>
        <v>-8.7084999999999996E-2</v>
      </c>
      <c r="Q7" s="34">
        <f t="shared" si="3"/>
        <v>-0.68486499999999995</v>
      </c>
      <c r="R7" s="35">
        <f t="shared" si="3"/>
        <v>-2.0784999999999998E-2</v>
      </c>
      <c r="S7" s="17"/>
      <c r="T7" s="29"/>
      <c r="U7" s="29" t="s">
        <v>375</v>
      </c>
      <c r="V7" s="23">
        <f t="shared" si="1"/>
        <v>-3.7687500000000003</v>
      </c>
      <c r="W7" s="23">
        <f t="shared" si="1"/>
        <v>-8.7084999999999996E-2</v>
      </c>
      <c r="X7" s="23">
        <f t="shared" si="1"/>
        <v>-0.68486499999999995</v>
      </c>
      <c r="Y7" s="29">
        <f>1.33*Y6</f>
        <v>13.3</v>
      </c>
      <c r="Z7" s="31">
        <f>ABS(V7)/AC7/AD7</f>
        <v>2.6171875000000004</v>
      </c>
      <c r="AA7" s="23">
        <f>ABS(+W7/V7)</f>
        <v>2.310713101160862E-2</v>
      </c>
      <c r="AB7" s="23">
        <f>ABS(X7/V7)</f>
        <v>0.18172205638474292</v>
      </c>
      <c r="AC7" s="36">
        <f t="shared" ref="AC7:AD10" si="4">AC6</f>
        <v>1.2</v>
      </c>
      <c r="AD7" s="37">
        <f t="shared" si="4"/>
        <v>1.2</v>
      </c>
      <c r="AE7" s="22">
        <f t="shared" si="2"/>
        <v>1.1537857379767826</v>
      </c>
      <c r="AF7" s="22">
        <f t="shared" si="2"/>
        <v>0.83655588723051411</v>
      </c>
      <c r="AG7" s="22">
        <f>AF7*AE7</f>
        <v>0.96520625170708085</v>
      </c>
      <c r="AH7" s="38">
        <f>V7/AG7</f>
        <v>-3.9046058739616765</v>
      </c>
    </row>
    <row r="8" spans="1:81" hidden="1" x14ac:dyDescent="0.2">
      <c r="A8">
        <v>1</v>
      </c>
      <c r="B8" t="s">
        <v>354</v>
      </c>
      <c r="C8" t="s">
        <v>352</v>
      </c>
      <c r="D8" s="16">
        <v>-0.49459999999999998</v>
      </c>
      <c r="E8" s="16">
        <v>-1.4800000000000001E-2</v>
      </c>
      <c r="F8" s="16">
        <v>-0.8327</v>
      </c>
      <c r="G8" s="16">
        <v>3.2870000000000003E-2</v>
      </c>
      <c r="H8" s="16">
        <v>-0.85216999999999998</v>
      </c>
      <c r="I8" s="16">
        <v>2.6939999999999999E-2</v>
      </c>
      <c r="K8" s="33"/>
      <c r="L8" s="17" t="s">
        <v>376</v>
      </c>
      <c r="M8" s="34">
        <f t="shared" ref="M8:R8" si="5">D6+0.25*D7-D8</f>
        <v>0.59194999999999998</v>
      </c>
      <c r="N8" s="34">
        <f t="shared" si="5"/>
        <v>0.15787499999999999</v>
      </c>
      <c r="O8" s="34">
        <f t="shared" si="5"/>
        <v>-2.1033500000000003</v>
      </c>
      <c r="P8" s="34">
        <f t="shared" si="5"/>
        <v>-0.15282499999999999</v>
      </c>
      <c r="Q8" s="34">
        <f t="shared" si="5"/>
        <v>1.0194749999999999</v>
      </c>
      <c r="R8" s="35">
        <f t="shared" si="5"/>
        <v>-7.4664999999999995E-2</v>
      </c>
      <c r="S8" s="17"/>
      <c r="T8" s="29"/>
      <c r="U8" s="29" t="s">
        <v>376</v>
      </c>
      <c r="V8" s="23">
        <f t="shared" si="1"/>
        <v>-2.1033500000000003</v>
      </c>
      <c r="W8" s="23">
        <f t="shared" si="1"/>
        <v>-0.15282499999999999</v>
      </c>
      <c r="X8" s="23">
        <f t="shared" si="1"/>
        <v>1.0194749999999999</v>
      </c>
      <c r="Y8" s="29"/>
      <c r="Z8" s="31">
        <f>ABS(V8)/AC8/AD8</f>
        <v>1.4606597222222226</v>
      </c>
      <c r="AA8" s="23">
        <f>ABS(+W8/V8)</f>
        <v>7.2657902869232405E-2</v>
      </c>
      <c r="AB8" s="23">
        <f>ABS(X8/V8)</f>
        <v>0.48469108802624372</v>
      </c>
      <c r="AC8" s="36">
        <f t="shared" si="4"/>
        <v>1.2</v>
      </c>
      <c r="AD8" s="37">
        <f t="shared" si="4"/>
        <v>1.2</v>
      </c>
      <c r="AE8" s="22">
        <f t="shared" si="2"/>
        <v>1.0546841942615353</v>
      </c>
      <c r="AF8" s="22">
        <f t="shared" si="2"/>
        <v>0.23061782394751251</v>
      </c>
      <c r="AG8" s="22">
        <f>AF8*AE8</f>
        <v>0.24322897383243083</v>
      </c>
      <c r="AH8" s="38">
        <f>V8/AG8</f>
        <v>-8.6476128516213429</v>
      </c>
    </row>
    <row r="9" spans="1:81" hidden="1" x14ac:dyDescent="0.2">
      <c r="A9">
        <v>1</v>
      </c>
      <c r="B9" t="s">
        <v>355</v>
      </c>
      <c r="C9" t="s">
        <v>352</v>
      </c>
      <c r="D9" s="16">
        <v>9.7999999999999997E-3</v>
      </c>
      <c r="E9" s="16">
        <v>-0.15</v>
      </c>
      <c r="F9" s="16">
        <v>-1.7487999999999999</v>
      </c>
      <c r="G9" s="16">
        <v>0.27428000000000002</v>
      </c>
      <c r="H9" s="16">
        <v>-1.213E-2</v>
      </c>
      <c r="I9" s="16">
        <v>-2.291E-2</v>
      </c>
      <c r="K9" s="33"/>
      <c r="L9" s="17" t="s">
        <v>377</v>
      </c>
      <c r="M9" s="34">
        <f t="shared" ref="M9:R9" si="6">D6+0.25*D7+D9</f>
        <v>0.10715</v>
      </c>
      <c r="N9" s="34">
        <f t="shared" si="6"/>
        <v>-6.9250000000000145E-3</v>
      </c>
      <c r="O9" s="34">
        <f t="shared" si="6"/>
        <v>-4.68485</v>
      </c>
      <c r="P9" s="34">
        <f t="shared" si="6"/>
        <v>0.15432500000000005</v>
      </c>
      <c r="Q9" s="34">
        <f t="shared" si="6"/>
        <v>0.15517500000000001</v>
      </c>
      <c r="R9" s="35">
        <f t="shared" si="6"/>
        <v>-7.0635000000000003E-2</v>
      </c>
      <c r="S9" s="17"/>
      <c r="T9" s="29"/>
      <c r="U9" s="29" t="s">
        <v>377</v>
      </c>
      <c r="V9" s="23">
        <f t="shared" si="1"/>
        <v>-4.68485</v>
      </c>
      <c r="W9" s="23">
        <f t="shared" si="1"/>
        <v>0.15432500000000005</v>
      </c>
      <c r="X9" s="23">
        <f t="shared" si="1"/>
        <v>0.15517500000000001</v>
      </c>
      <c r="Y9" s="29"/>
      <c r="Z9" s="31">
        <f>ABS(V9)/AC9/AD9</f>
        <v>3.2533680555555557</v>
      </c>
      <c r="AA9" s="23">
        <f>ABS(+W9/V9)</f>
        <v>3.2941289475650247E-2</v>
      </c>
      <c r="AB9" s="23">
        <f>ABS(X9/V9)</f>
        <v>3.3122725380748584E-2</v>
      </c>
      <c r="AC9" s="36">
        <f t="shared" si="4"/>
        <v>1.2</v>
      </c>
      <c r="AD9" s="37">
        <f t="shared" si="4"/>
        <v>1.2</v>
      </c>
      <c r="AE9" s="22">
        <f t="shared" si="2"/>
        <v>1.1341174210486995</v>
      </c>
      <c r="AF9" s="22">
        <f t="shared" si="2"/>
        <v>1.1337545492385028</v>
      </c>
      <c r="AG9" s="22">
        <f>AF9*AE9</f>
        <v>1.2858107854846017</v>
      </c>
      <c r="AH9" s="38">
        <f>V9/AG9</f>
        <v>-3.6434987580496569</v>
      </c>
    </row>
    <row r="10" spans="1:81" hidden="1" x14ac:dyDescent="0.2">
      <c r="A10">
        <v>1</v>
      </c>
      <c r="B10" t="s">
        <v>356</v>
      </c>
      <c r="C10" t="s">
        <v>352</v>
      </c>
      <c r="D10" s="16">
        <v>-1.3076000000000001</v>
      </c>
      <c r="E10" s="16">
        <v>2.52E-2</v>
      </c>
      <c r="F10" s="16">
        <v>1.2939000000000001</v>
      </c>
      <c r="G10" s="16">
        <v>-5.5820000000000002E-2</v>
      </c>
      <c r="H10" s="16">
        <v>-0.49443999999999999</v>
      </c>
      <c r="I10" s="16">
        <v>1.546E-2</v>
      </c>
      <c r="K10" s="39"/>
      <c r="L10" s="40" t="s">
        <v>378</v>
      </c>
      <c r="M10" s="41">
        <f t="shared" ref="M10:R10" si="7">D6+0.25*D7-D9</f>
        <v>8.7549999999999989E-2</v>
      </c>
      <c r="N10" s="41">
        <f t="shared" si="7"/>
        <v>0.29307499999999997</v>
      </c>
      <c r="O10" s="41">
        <f t="shared" si="7"/>
        <v>-1.1872500000000004</v>
      </c>
      <c r="P10" s="41">
        <f t="shared" si="7"/>
        <v>-0.394235</v>
      </c>
      <c r="Q10" s="41">
        <f t="shared" si="7"/>
        <v>0.17943500000000001</v>
      </c>
      <c r="R10" s="42">
        <f t="shared" si="7"/>
        <v>-2.4814999999999997E-2</v>
      </c>
      <c r="S10" s="17"/>
      <c r="T10" s="29"/>
      <c r="U10" s="29" t="s">
        <v>378</v>
      </c>
      <c r="V10" s="23">
        <f t="shared" si="1"/>
        <v>-1.1872500000000004</v>
      </c>
      <c r="W10" s="23">
        <f t="shared" si="1"/>
        <v>-0.394235</v>
      </c>
      <c r="X10" s="23">
        <f t="shared" si="1"/>
        <v>0.17943500000000001</v>
      </c>
      <c r="Y10" s="29"/>
      <c r="Z10" s="31">
        <f>ABS(V10)/AC10/AD10</f>
        <v>0.82447916666666698</v>
      </c>
      <c r="AA10" s="23">
        <f>ABS(+W10/V10)</f>
        <v>0.33205727521583484</v>
      </c>
      <c r="AB10" s="23">
        <f>ABS(X10/V10)</f>
        <v>0.15113497578437562</v>
      </c>
      <c r="AC10" s="36">
        <f t="shared" si="4"/>
        <v>1.2</v>
      </c>
      <c r="AD10" s="37">
        <f t="shared" si="4"/>
        <v>1.2</v>
      </c>
      <c r="AE10" s="22">
        <f t="shared" si="2"/>
        <v>0.53588544956833029</v>
      </c>
      <c r="AF10" s="22">
        <f t="shared" si="2"/>
        <v>0.89773004843124871</v>
      </c>
      <c r="AG10" s="22">
        <f>AF10*AE10</f>
        <v>0.48108047059457865</v>
      </c>
      <c r="AH10" s="38">
        <f>V10/AG10</f>
        <v>-2.4678823451981957</v>
      </c>
    </row>
    <row r="11" spans="1:81" hidden="1" x14ac:dyDescent="0.2">
      <c r="D11" s="16"/>
      <c r="E11" s="16"/>
      <c r="F11" s="16"/>
      <c r="G11" s="16"/>
      <c r="H11" s="16"/>
      <c r="I11" s="16"/>
    </row>
    <row r="12" spans="1:81" ht="18" hidden="1" x14ac:dyDescent="0.25">
      <c r="A12" s="62" t="s">
        <v>637</v>
      </c>
      <c r="B12" s="49"/>
      <c r="C12" s="50"/>
      <c r="D12" s="49"/>
      <c r="E12" s="49"/>
      <c r="F12" s="50"/>
      <c r="G12" s="50"/>
      <c r="H12" s="49"/>
      <c r="I12" s="49"/>
      <c r="J12" s="50"/>
      <c r="K12" s="51"/>
      <c r="L12" s="52"/>
      <c r="M12" s="53"/>
      <c r="N12" s="53"/>
      <c r="O12" s="53"/>
      <c r="P12" s="53"/>
      <c r="Q12" s="53"/>
      <c r="R12" s="54"/>
      <c r="S12" s="52"/>
      <c r="T12" s="55"/>
      <c r="U12" s="55"/>
      <c r="V12" s="56"/>
      <c r="W12" s="56"/>
      <c r="X12" s="56"/>
      <c r="Y12" s="55"/>
      <c r="Z12" s="57"/>
      <c r="AA12" s="56"/>
      <c r="AB12" s="56"/>
      <c r="AC12" s="58"/>
      <c r="AD12" s="59"/>
      <c r="AE12" s="60"/>
      <c r="AF12" s="60"/>
      <c r="AG12" s="60"/>
      <c r="AH12" s="61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183"/>
    </row>
    <row r="13" spans="1:81" hidden="1" x14ac:dyDescent="0.2"/>
    <row r="14" spans="1:81" ht="15" hidden="1" x14ac:dyDescent="0.25">
      <c r="A14" s="217" t="s">
        <v>638</v>
      </c>
      <c r="B14" s="218"/>
      <c r="C14" s="218"/>
      <c r="D14" s="218"/>
      <c r="E14" s="218"/>
      <c r="F14" s="218"/>
      <c r="G14" s="218"/>
      <c r="H14" s="218"/>
      <c r="I14" s="218"/>
    </row>
    <row r="15" spans="1:81" ht="15" hidden="1" x14ac:dyDescent="0.25">
      <c r="A15" s="219" t="s">
        <v>339</v>
      </c>
      <c r="B15" s="219" t="s">
        <v>340</v>
      </c>
      <c r="C15" s="219" t="s">
        <v>341</v>
      </c>
      <c r="D15" s="219" t="s">
        <v>342</v>
      </c>
      <c r="E15" s="219" t="s">
        <v>343</v>
      </c>
      <c r="F15" s="219" t="s">
        <v>344</v>
      </c>
      <c r="G15" s="219" t="s">
        <v>345</v>
      </c>
      <c r="H15" s="219" t="s">
        <v>346</v>
      </c>
      <c r="I15" s="219" t="s">
        <v>347</v>
      </c>
      <c r="BG15" s="9" t="s">
        <v>204</v>
      </c>
    </row>
    <row r="16" spans="1:81" ht="15" hidden="1" x14ac:dyDescent="0.25">
      <c r="A16" s="220" t="s">
        <v>348</v>
      </c>
      <c r="B16" s="220" t="s">
        <v>348</v>
      </c>
      <c r="C16" s="220" t="s">
        <v>348</v>
      </c>
      <c r="D16" s="220" t="s">
        <v>387</v>
      </c>
      <c r="E16" s="220" t="s">
        <v>387</v>
      </c>
      <c r="F16" s="220" t="s">
        <v>387</v>
      </c>
      <c r="G16" s="220" t="s">
        <v>388</v>
      </c>
      <c r="H16" s="220" t="s">
        <v>388</v>
      </c>
      <c r="I16" s="220" t="s">
        <v>388</v>
      </c>
      <c r="K16" s="25" t="s">
        <v>357</v>
      </c>
      <c r="L16" s="26" t="s">
        <v>358</v>
      </c>
      <c r="M16" s="27" t="s">
        <v>359</v>
      </c>
      <c r="N16" s="27" t="s">
        <v>360</v>
      </c>
      <c r="O16" s="27" t="s">
        <v>361</v>
      </c>
      <c r="P16" s="27" t="s">
        <v>362</v>
      </c>
      <c r="Q16" s="27" t="s">
        <v>363</v>
      </c>
      <c r="R16" s="28" t="s">
        <v>364</v>
      </c>
      <c r="S16" s="17"/>
      <c r="T16" s="29" t="s">
        <v>365</v>
      </c>
      <c r="U16" s="29" t="s">
        <v>358</v>
      </c>
      <c r="V16" s="30" t="s">
        <v>361</v>
      </c>
      <c r="W16" s="30" t="s">
        <v>362</v>
      </c>
      <c r="X16" s="30" t="s">
        <v>363</v>
      </c>
      <c r="Y16" s="29" t="s">
        <v>366</v>
      </c>
      <c r="Z16" s="31" t="s">
        <v>367</v>
      </c>
      <c r="AA16" s="23" t="s">
        <v>368</v>
      </c>
      <c r="AB16" s="23" t="s">
        <v>369</v>
      </c>
      <c r="AC16" s="22" t="s">
        <v>0</v>
      </c>
      <c r="AD16" s="22" t="s">
        <v>1</v>
      </c>
      <c r="AE16" s="22" t="s">
        <v>370</v>
      </c>
      <c r="AF16" s="22" t="s">
        <v>371</v>
      </c>
      <c r="AG16" s="22" t="s">
        <v>372</v>
      </c>
      <c r="AH16" s="32" t="s">
        <v>373</v>
      </c>
      <c r="AI16" s="213"/>
      <c r="AJ16" s="143" t="s">
        <v>365</v>
      </c>
      <c r="AK16" s="144" t="s">
        <v>498</v>
      </c>
      <c r="AL16" s="145"/>
      <c r="AM16" s="139"/>
      <c r="AN16" s="146" t="s">
        <v>499</v>
      </c>
      <c r="AO16" s="145"/>
      <c r="AP16" s="139"/>
      <c r="AQ16" s="147" t="s">
        <v>506</v>
      </c>
      <c r="AR16" s="48">
        <v>3500</v>
      </c>
      <c r="AS16" s="147" t="s">
        <v>405</v>
      </c>
      <c r="AT16" s="146" t="s">
        <v>512</v>
      </c>
      <c r="AU16" s="145"/>
      <c r="AV16" s="145"/>
      <c r="AW16" s="145"/>
      <c r="AX16" s="163" t="s">
        <v>532</v>
      </c>
      <c r="AY16" s="157" t="s">
        <v>515</v>
      </c>
      <c r="AZ16" s="169">
        <v>6.9</v>
      </c>
      <c r="BA16" s="171" t="str">
        <f>IF(MAX(AU20:AU21)&lt;=AZ16,"OK","REDIS")</f>
        <v>OK</v>
      </c>
      <c r="BB16" s="163" t="s">
        <v>536</v>
      </c>
      <c r="BC16" s="170" t="s">
        <v>515</v>
      </c>
      <c r="BD16" s="169">
        <v>8.36</v>
      </c>
      <c r="BE16" s="171" t="str">
        <f>IF(MAX(AU20:AU21)&lt;=BD16,"OK","REDIS")</f>
        <v>OK</v>
      </c>
      <c r="BG16" s="109" t="s">
        <v>199</v>
      </c>
      <c r="BH16" s="142">
        <v>1.2</v>
      </c>
      <c r="BJ16" s="109" t="s">
        <v>385</v>
      </c>
      <c r="BK16" s="142">
        <v>0.25</v>
      </c>
      <c r="BM16" s="110" t="s">
        <v>200</v>
      </c>
      <c r="BN16" s="110"/>
      <c r="BO16" s="110">
        <v>10</v>
      </c>
      <c r="BP16" s="110" t="s">
        <v>386</v>
      </c>
      <c r="BQ16" t="s">
        <v>201</v>
      </c>
    </row>
    <row r="17" spans="1:74" ht="15" hidden="1" x14ac:dyDescent="0.25">
      <c r="A17" s="216" t="s">
        <v>639</v>
      </c>
      <c r="B17" s="216" t="s">
        <v>351</v>
      </c>
      <c r="C17" s="216" t="s">
        <v>352</v>
      </c>
      <c r="D17" s="216">
        <v>2.3900000000000001E-2</v>
      </c>
      <c r="E17" s="216">
        <v>-7.8700000000000006E-2</v>
      </c>
      <c r="F17" s="216">
        <v>4.0481999999999996</v>
      </c>
      <c r="G17" s="216">
        <v>5.679E-2</v>
      </c>
      <c r="H17" s="216">
        <v>2.3810000000000001E-2</v>
      </c>
      <c r="I17" s="216">
        <v>5.0130000000000003E-5</v>
      </c>
      <c r="K17" s="33" t="str">
        <f>+A17</f>
        <v>41</v>
      </c>
      <c r="L17" s="17" t="s">
        <v>374</v>
      </c>
      <c r="M17" s="34">
        <f t="shared" ref="M17:R17" si="8">D17+D18</f>
        <v>3.8600000000000002E-2</v>
      </c>
      <c r="N17" s="34">
        <f t="shared" si="8"/>
        <v>-0.1225</v>
      </c>
      <c r="O17" s="34">
        <f t="shared" si="8"/>
        <v>6.289299999999999</v>
      </c>
      <c r="P17" s="34">
        <f t="shared" si="8"/>
        <v>8.838E-2</v>
      </c>
      <c r="Q17" s="34">
        <f t="shared" si="8"/>
        <v>3.8600000000000002E-2</v>
      </c>
      <c r="R17" s="35">
        <f t="shared" si="8"/>
        <v>8.138000000000001E-5</v>
      </c>
      <c r="S17" s="17"/>
      <c r="T17" s="29" t="str">
        <f>K17</f>
        <v>41</v>
      </c>
      <c r="U17" s="29" t="s">
        <v>374</v>
      </c>
      <c r="V17" s="23">
        <f t="shared" ref="V17:X21" si="9">O17</f>
        <v>6.289299999999999</v>
      </c>
      <c r="W17" s="23">
        <f t="shared" si="9"/>
        <v>8.838E-2</v>
      </c>
      <c r="X17" s="23">
        <f t="shared" si="9"/>
        <v>3.8600000000000002E-2</v>
      </c>
      <c r="Y17" s="29">
        <v>10</v>
      </c>
      <c r="Z17" s="31">
        <f>ABS(V17)/AC17/AD17</f>
        <v>3.9932063492063485</v>
      </c>
      <c r="AA17" s="23">
        <f>ABS(+W17/V17)</f>
        <v>1.4052438268169751E-2</v>
      </c>
      <c r="AB17" s="23">
        <f>ABS(X17/V17)</f>
        <v>6.1374079786303739E-3</v>
      </c>
      <c r="AC17" s="36">
        <v>0.5</v>
      </c>
      <c r="AD17" s="37">
        <v>3.15</v>
      </c>
      <c r="AE17" s="22">
        <f t="shared" ref="AE17:AF21" si="10">AC17-2*AA17</f>
        <v>0.47189512346366047</v>
      </c>
      <c r="AF17" s="22">
        <f t="shared" si="10"/>
        <v>3.1377251840427394</v>
      </c>
      <c r="AG17" s="22">
        <f>AF17*AE17</f>
        <v>1.4806772131188852</v>
      </c>
      <c r="AH17" s="38">
        <f>V17/AG17</f>
        <v>4.2475834329565147</v>
      </c>
      <c r="AI17" s="213"/>
      <c r="AJ17" s="48" t="str">
        <f>+K17</f>
        <v>41</v>
      </c>
      <c r="AK17" s="147" t="s">
        <v>0</v>
      </c>
      <c r="AL17" s="147" t="s">
        <v>1</v>
      </c>
      <c r="AM17" s="147" t="s">
        <v>438</v>
      </c>
      <c r="AN17" s="147" t="s">
        <v>503</v>
      </c>
      <c r="AO17" s="147" t="s">
        <v>504</v>
      </c>
      <c r="AP17" s="147" t="s">
        <v>323</v>
      </c>
      <c r="AQ17" s="48"/>
      <c r="AR17" s="48"/>
      <c r="AS17" s="48"/>
      <c r="AT17" s="147" t="s">
        <v>0</v>
      </c>
      <c r="AU17" s="147" t="s">
        <v>1</v>
      </c>
      <c r="AV17" s="147" t="s">
        <v>513</v>
      </c>
      <c r="AW17" s="159" t="s">
        <v>520</v>
      </c>
      <c r="AX17" s="141" t="s">
        <v>530</v>
      </c>
      <c r="AY17" s="157" t="s">
        <v>178</v>
      </c>
      <c r="AZ17" s="44">
        <v>12</v>
      </c>
      <c r="BA17" s="172" t="str">
        <f>IF(AW20&lt;=AZ17,"OK","REDIS")</f>
        <v>OK</v>
      </c>
      <c r="BB17" s="141" t="s">
        <v>535</v>
      </c>
      <c r="BC17" s="120" t="s">
        <v>178</v>
      </c>
      <c r="BD17" s="44">
        <v>4.3</v>
      </c>
      <c r="BE17" s="172" t="str">
        <f>IF(AW20&lt;=BD17,"OK","REDIS")</f>
        <v>OK</v>
      </c>
      <c r="BG17" s="122" t="s">
        <v>164</v>
      </c>
      <c r="BH17" s="193">
        <f>+G14</f>
        <v>0</v>
      </c>
      <c r="BI17" s="196" t="s">
        <v>165</v>
      </c>
      <c r="BJ17" s="197" t="s">
        <v>166</v>
      </c>
      <c r="BK17" s="74" t="s">
        <v>2</v>
      </c>
      <c r="BL17" s="74" t="s">
        <v>167</v>
      </c>
      <c r="BM17" s="75" t="s">
        <v>168</v>
      </c>
      <c r="BN17" s="74" t="s">
        <v>169</v>
      </c>
      <c r="BO17" s="74" t="s">
        <v>170</v>
      </c>
      <c r="BP17" s="74" t="s">
        <v>171</v>
      </c>
      <c r="BQ17" s="75" t="s">
        <v>172</v>
      </c>
      <c r="BR17" s="74" t="s">
        <v>173</v>
      </c>
      <c r="BS17" s="74" t="s">
        <v>174</v>
      </c>
      <c r="BT17" s="74" t="s">
        <v>165</v>
      </c>
      <c r="BU17" s="74" t="s">
        <v>175</v>
      </c>
      <c r="BV17" s="76" t="s">
        <v>407</v>
      </c>
    </row>
    <row r="18" spans="1:74" ht="15" hidden="1" x14ac:dyDescent="0.25">
      <c r="A18" s="216" t="s">
        <v>639</v>
      </c>
      <c r="B18" s="216" t="s">
        <v>353</v>
      </c>
      <c r="C18" s="216" t="s">
        <v>352</v>
      </c>
      <c r="D18" s="216">
        <v>1.47E-2</v>
      </c>
      <c r="E18" s="216">
        <v>-4.3799999999999999E-2</v>
      </c>
      <c r="F18" s="216">
        <v>2.2410999999999999</v>
      </c>
      <c r="G18" s="216">
        <v>3.159E-2</v>
      </c>
      <c r="H18" s="216">
        <v>1.4789999999999999E-2</v>
      </c>
      <c r="I18" s="216">
        <v>3.1250000000000001E-5</v>
      </c>
      <c r="K18" s="33"/>
      <c r="L18" s="17" t="s">
        <v>375</v>
      </c>
      <c r="M18" s="34">
        <f t="shared" ref="M18:R18" si="11">D17+0.25*D18+D19</f>
        <v>-2.1024999999999995E-2</v>
      </c>
      <c r="N18" s="34">
        <f t="shared" si="11"/>
        <v>-8.6150000000000004E-2</v>
      </c>
      <c r="O18" s="34">
        <f t="shared" si="11"/>
        <v>4.7036749999999996</v>
      </c>
      <c r="P18" s="34">
        <f t="shared" si="11"/>
        <v>8.0247499999999999E-2</v>
      </c>
      <c r="Q18" s="34">
        <f t="shared" si="11"/>
        <v>-4.7782499999999992E-2</v>
      </c>
      <c r="R18" s="35">
        <f t="shared" si="11"/>
        <v>8.2625000000000043E-6</v>
      </c>
      <c r="S18" s="17"/>
      <c r="T18" s="29"/>
      <c r="U18" s="29" t="s">
        <v>375</v>
      </c>
      <c r="V18" s="23">
        <f t="shared" si="9"/>
        <v>4.7036749999999996</v>
      </c>
      <c r="W18" s="23">
        <f t="shared" si="9"/>
        <v>8.0247499999999999E-2</v>
      </c>
      <c r="X18" s="23">
        <f t="shared" si="9"/>
        <v>-4.7782499999999992E-2</v>
      </c>
      <c r="Y18" s="29">
        <f>1.33*Y17</f>
        <v>13.3</v>
      </c>
      <c r="Z18" s="31">
        <f>ABS(V18)/AC18/AD18</f>
        <v>2.9864603174603173</v>
      </c>
      <c r="AA18" s="23">
        <f>ABS(+W18/V18)</f>
        <v>1.7060596235921915E-2</v>
      </c>
      <c r="AB18" s="23">
        <f>ABS(X18/V18)</f>
        <v>1.0158546243097151E-2</v>
      </c>
      <c r="AC18" s="36">
        <f t="shared" ref="AC18:AD21" si="12">AC17</f>
        <v>0.5</v>
      </c>
      <c r="AD18" s="37">
        <f t="shared" si="12"/>
        <v>3.15</v>
      </c>
      <c r="AE18" s="22">
        <f t="shared" si="10"/>
        <v>0.46587880752815619</v>
      </c>
      <c r="AF18" s="22">
        <f t="shared" si="10"/>
        <v>3.1296829075138057</v>
      </c>
      <c r="AG18" s="22">
        <f>AF18*AE18</f>
        <v>1.4580529408937846</v>
      </c>
      <c r="AH18" s="38">
        <f>V18/AG18</f>
        <v>3.2259974024788516</v>
      </c>
      <c r="AI18" s="213"/>
      <c r="AJ18" s="147" t="s">
        <v>539</v>
      </c>
      <c r="AK18" s="148">
        <v>160</v>
      </c>
      <c r="AL18" s="148">
        <v>300</v>
      </c>
      <c r="AM18" s="148">
        <v>4</v>
      </c>
      <c r="AN18" s="149">
        <v>250</v>
      </c>
      <c r="AO18" s="149">
        <v>500</v>
      </c>
      <c r="AP18" s="149">
        <v>18</v>
      </c>
      <c r="AQ18" s="48"/>
      <c r="AR18" s="48"/>
      <c r="AS18" s="48"/>
      <c r="AT18" s="48">
        <v>3</v>
      </c>
      <c r="AU18" s="48">
        <v>3</v>
      </c>
      <c r="AV18" s="149">
        <f>+AT18*2+(AU18-2)*2</f>
        <v>8</v>
      </c>
      <c r="AW18" s="159">
        <v>1.5</v>
      </c>
      <c r="AX18" s="155" t="s">
        <v>538</v>
      </c>
      <c r="AY18" s="180">
        <f>+AV18</f>
        <v>8</v>
      </c>
      <c r="BA18" s="154"/>
      <c r="BB18" s="177" t="s">
        <v>537</v>
      </c>
      <c r="BC18" s="179">
        <v>1</v>
      </c>
      <c r="BD18" s="166" t="s">
        <v>526</v>
      </c>
      <c r="BE18" s="154"/>
      <c r="BG18" s="123" t="s">
        <v>390</v>
      </c>
      <c r="BH18" s="43">
        <f>1.3*((BH16-0.2)/2)*1*((BH16)/4)*BO16</f>
        <v>1.9500000000000002</v>
      </c>
      <c r="BI18" s="198">
        <f>IF(BQ18=0,BT18,BM20)</f>
        <v>6.6666666666666679</v>
      </c>
      <c r="BJ18" s="199">
        <f>IF(BQ18=0,0,BK20)</f>
        <v>0</v>
      </c>
      <c r="BK18" s="82">
        <f>ABS(BH18)*100000/(BH21*BH22*BH23*BH23*BH19)</f>
        <v>2.2569444444444448E-2</v>
      </c>
      <c r="BL18" s="82">
        <f>1-2.36*BK18</f>
        <v>0.94673611111111111</v>
      </c>
      <c r="BM18" s="200" t="str">
        <f>IF(BL18&gt;=0,"OK","OTRA SECCION")</f>
        <v>OK</v>
      </c>
      <c r="BN18" s="83">
        <f>+(BH19/BH20)*((1-SQRT(BL18))/1.18)</f>
        <v>1.3073290938198695E-3</v>
      </c>
      <c r="BO18" s="84">
        <f>IF(BH19&gt;280,(IF((0.85-(0.08*(BH19-280)/70))&gt;=0.65,0.65,(0.85-(0.05*(BH19-280)))/70)),0.85)</f>
        <v>0.85</v>
      </c>
      <c r="BP18" s="85">
        <f>0.5*((0.85*BH19*BO18*6000)/(BH20*(6000+BH20)))</f>
        <v>1.2142857142857143E-2</v>
      </c>
      <c r="BQ18" s="200">
        <f>IF(BN18&gt;BP18,1,0)</f>
        <v>0</v>
      </c>
      <c r="BR18" s="86">
        <f>14/BH20*BH22*BH23</f>
        <v>6.6666666666666679</v>
      </c>
      <c r="BS18" s="82">
        <f>+BN18*BH22*BH23</f>
        <v>2.6146581876397388</v>
      </c>
      <c r="BT18" s="82">
        <f>IF(BS18&gt;BR18,BS18,BR18)</f>
        <v>6.6666666666666679</v>
      </c>
      <c r="BU18" s="82">
        <f>+BJ22*BH22*BH23</f>
        <v>16.999999999999996</v>
      </c>
      <c r="BV18" s="87">
        <f>+BU18*BH20/(0.85*BH19*BH22*BO18)</f>
        <v>4.117647058823529</v>
      </c>
    </row>
    <row r="19" spans="1:74" ht="15" hidden="1" x14ac:dyDescent="0.25">
      <c r="A19" s="216" t="s">
        <v>639</v>
      </c>
      <c r="B19" s="216" t="s">
        <v>354</v>
      </c>
      <c r="C19" s="216" t="s">
        <v>352</v>
      </c>
      <c r="D19" s="216">
        <v>-4.8599999999999997E-2</v>
      </c>
      <c r="E19" s="216">
        <v>3.5000000000000001E-3</v>
      </c>
      <c r="F19" s="216">
        <v>9.5200000000000007E-2</v>
      </c>
      <c r="G19" s="216">
        <v>1.5559999999999999E-2</v>
      </c>
      <c r="H19" s="216">
        <v>-7.5289999999999996E-2</v>
      </c>
      <c r="I19" s="216">
        <v>-4.9679999999999999E-5</v>
      </c>
      <c r="K19" s="33"/>
      <c r="L19" s="17" t="s">
        <v>376</v>
      </c>
      <c r="M19" s="34">
        <f t="shared" ref="M19:R19" si="13">D17+0.25*D18-D19</f>
        <v>7.6174999999999993E-2</v>
      </c>
      <c r="N19" s="34">
        <f t="shared" si="13"/>
        <v>-9.3150000000000011E-2</v>
      </c>
      <c r="O19" s="34">
        <f t="shared" si="13"/>
        <v>4.5132749999999993</v>
      </c>
      <c r="P19" s="34">
        <f t="shared" si="13"/>
        <v>4.9127499999999998E-2</v>
      </c>
      <c r="Q19" s="34">
        <f t="shared" si="13"/>
        <v>0.1027975</v>
      </c>
      <c r="R19" s="35">
        <f t="shared" si="13"/>
        <v>1.076225E-4</v>
      </c>
      <c r="S19" s="17"/>
      <c r="T19" s="29"/>
      <c r="U19" s="29" t="s">
        <v>376</v>
      </c>
      <c r="V19" s="23">
        <f t="shared" si="9"/>
        <v>4.5132749999999993</v>
      </c>
      <c r="W19" s="23">
        <f t="shared" si="9"/>
        <v>4.9127499999999998E-2</v>
      </c>
      <c r="X19" s="23">
        <f t="shared" si="9"/>
        <v>0.1027975</v>
      </c>
      <c r="Y19" s="29"/>
      <c r="Z19" s="31">
        <f>ABS(V19)/AC19/AD19</f>
        <v>2.8655714285714282</v>
      </c>
      <c r="AA19" s="23">
        <f>ABS(+W19/V19)</f>
        <v>1.0885111144346402E-2</v>
      </c>
      <c r="AB19" s="23">
        <f>ABS(X19/V19)</f>
        <v>2.2776697630877803E-2</v>
      </c>
      <c r="AC19" s="36">
        <f t="shared" si="12"/>
        <v>0.5</v>
      </c>
      <c r="AD19" s="37">
        <f t="shared" si="12"/>
        <v>3.15</v>
      </c>
      <c r="AE19" s="22">
        <f t="shared" si="10"/>
        <v>0.4782297777113072</v>
      </c>
      <c r="AF19" s="22">
        <f t="shared" si="10"/>
        <v>3.1044466047382442</v>
      </c>
      <c r="AG19" s="22">
        <f>AF19*AE19</f>
        <v>1.4846388097005929</v>
      </c>
      <c r="AH19" s="38">
        <f>V19/AG19</f>
        <v>3.0399818262262666</v>
      </c>
      <c r="AI19" s="213"/>
      <c r="AJ19" s="146" t="s">
        <v>514</v>
      </c>
      <c r="AK19" s="145"/>
      <c r="AL19" s="145"/>
      <c r="AM19" s="145"/>
      <c r="AN19" s="139"/>
      <c r="AO19" s="146" t="s">
        <v>507</v>
      </c>
      <c r="AP19" s="145" t="s">
        <v>626</v>
      </c>
      <c r="AQ19" s="145">
        <f>0.6*AR16</f>
        <v>2100</v>
      </c>
      <c r="AR19" s="212" t="s">
        <v>627</v>
      </c>
      <c r="AS19" s="211">
        <f>+AR20+AR21</f>
        <v>2882.1882233796296</v>
      </c>
      <c r="AT19" s="48" t="s">
        <v>515</v>
      </c>
      <c r="AU19" s="48"/>
      <c r="AV19" s="48" t="s">
        <v>518</v>
      </c>
      <c r="AW19" s="160"/>
      <c r="AX19" s="155" t="s">
        <v>524</v>
      </c>
      <c r="AY19" s="182">
        <f>IF(BC18=(1+1/4),+(1+3/8),IF(BC18=1,(1+1/8),IF(BC18=(7/8),1,IF(BC18=(3/4),+(7/8),IF(BC18=(5/8),+(3/4),IF(BC18=(1/2),(9/16),IF(BC18=(3/8),+(7/16),"no valido")))))))</f>
        <v>1.125</v>
      </c>
      <c r="AZ19" s="165" t="s">
        <v>526</v>
      </c>
      <c r="BA19" s="172" t="s">
        <v>531</v>
      </c>
      <c r="BB19" s="178" t="s">
        <v>529</v>
      </c>
      <c r="BC19" s="158">
        <f>+AY20+3</f>
        <v>12</v>
      </c>
      <c r="BD19" s="166" t="s">
        <v>526</v>
      </c>
      <c r="BE19" s="172" t="s">
        <v>531</v>
      </c>
      <c r="BG19" s="65" t="s">
        <v>179</v>
      </c>
      <c r="BH19" s="66">
        <v>240</v>
      </c>
      <c r="BI19" s="88" t="s">
        <v>180</v>
      </c>
      <c r="BJ19" s="74" t="s">
        <v>181</v>
      </c>
      <c r="BK19" s="74" t="s">
        <v>182</v>
      </c>
      <c r="BL19" s="74" t="s">
        <v>183</v>
      </c>
      <c r="BM19" s="74" t="s">
        <v>165</v>
      </c>
      <c r="BN19" s="74" t="s">
        <v>184</v>
      </c>
      <c r="BO19" s="74" t="s">
        <v>185</v>
      </c>
      <c r="BP19" s="74" t="s">
        <v>186</v>
      </c>
      <c r="BQ19" s="74" t="s">
        <v>187</v>
      </c>
      <c r="BR19" s="74" t="s">
        <v>188</v>
      </c>
      <c r="BS19" s="74" t="s">
        <v>189</v>
      </c>
      <c r="BT19" s="74" t="s">
        <v>190</v>
      </c>
      <c r="BU19" s="75" t="s">
        <v>191</v>
      </c>
      <c r="BV19" s="89"/>
    </row>
    <row r="20" spans="1:74" ht="15.75" hidden="1" thickBot="1" x14ac:dyDescent="0.3">
      <c r="A20" s="216" t="s">
        <v>639</v>
      </c>
      <c r="B20" s="216" t="s">
        <v>355</v>
      </c>
      <c r="C20" s="216" t="s">
        <v>352</v>
      </c>
      <c r="D20" s="216">
        <v>5.8999999999999999E-3</v>
      </c>
      <c r="E20" s="216">
        <v>-0.63270000000000004</v>
      </c>
      <c r="F20" s="216">
        <v>0.4713</v>
      </c>
      <c r="G20" s="216">
        <v>1.3831800000000001</v>
      </c>
      <c r="H20" s="216">
        <v>9.3299999999999998E-3</v>
      </c>
      <c r="I20" s="216">
        <v>-7.3429999999999998E-6</v>
      </c>
      <c r="K20" s="33"/>
      <c r="L20" s="17" t="s">
        <v>377</v>
      </c>
      <c r="M20" s="34">
        <f t="shared" ref="M20:R20" si="14">D17+0.25*D18+D20</f>
        <v>3.3475000000000005E-2</v>
      </c>
      <c r="N20" s="34">
        <f t="shared" si="14"/>
        <v>-0.72235000000000005</v>
      </c>
      <c r="O20" s="34">
        <f t="shared" si="14"/>
        <v>5.0797749999999997</v>
      </c>
      <c r="P20" s="34">
        <f t="shared" si="14"/>
        <v>1.4478675000000001</v>
      </c>
      <c r="Q20" s="34">
        <f t="shared" si="14"/>
        <v>3.6837500000000002E-2</v>
      </c>
      <c r="R20" s="35">
        <f t="shared" si="14"/>
        <v>5.0599500000000002E-5</v>
      </c>
      <c r="S20" s="17"/>
      <c r="T20" s="29"/>
      <c r="U20" s="29" t="s">
        <v>377</v>
      </c>
      <c r="V20" s="23">
        <f t="shared" si="9"/>
        <v>5.0797749999999997</v>
      </c>
      <c r="W20" s="23">
        <f t="shared" si="9"/>
        <v>1.4478675000000001</v>
      </c>
      <c r="X20" s="23">
        <f t="shared" si="9"/>
        <v>3.6837500000000002E-2</v>
      </c>
      <c r="Y20" s="29"/>
      <c r="Z20" s="31">
        <f>ABS(V20)/AC20/AD20</f>
        <v>3.225253968253968</v>
      </c>
      <c r="AA20" s="23">
        <f>ABS(+W20/V20)</f>
        <v>0.28502591158072949</v>
      </c>
      <c r="AB20" s="23">
        <f>ABS(X20/V20)</f>
        <v>7.2517975697742529E-3</v>
      </c>
      <c r="AC20" s="36">
        <f t="shared" si="12"/>
        <v>0.5</v>
      </c>
      <c r="AD20" s="37">
        <f t="shared" si="12"/>
        <v>3.15</v>
      </c>
      <c r="AE20" s="22">
        <f t="shared" si="10"/>
        <v>-7.005182316145897E-2</v>
      </c>
      <c r="AF20" s="22">
        <f t="shared" si="10"/>
        <v>3.1354964048604512</v>
      </c>
      <c r="AG20" s="22">
        <f>AF20*AE20</f>
        <v>-0.21964723967667468</v>
      </c>
      <c r="AH20" s="38">
        <f>V20/AG20</f>
        <v>-23.126969441899359</v>
      </c>
      <c r="AI20" s="213"/>
      <c r="AJ20" s="147" t="s">
        <v>500</v>
      </c>
      <c r="AK20" s="24">
        <f>(MAX(V17:V21)+ABS(MAX(W17:W21))/(AL18/1000))*1000</f>
        <v>11115.525</v>
      </c>
      <c r="AL20" s="150" t="s">
        <v>502</v>
      </c>
      <c r="AM20" s="24">
        <f>+ABS(MAX(AK20:AK21))/(+AK18*2/10+AL18*2/10)/(AP18/10)</f>
        <v>67.122735507246375</v>
      </c>
      <c r="AN20" s="151" t="str">
        <f>IF(AM20&lt;=AM21,"OK","REDIS")</f>
        <v>OK</v>
      </c>
      <c r="AO20" s="150" t="s">
        <v>508</v>
      </c>
      <c r="AP20" s="24">
        <f>((AO18/10/2-AL18/10/2)/2)*((MAX(ABS(MAX(W17:W21)),ABS(MIN(W17:W21)))*100000))/(AL18/10)</f>
        <v>24131.125</v>
      </c>
      <c r="AQ20" s="150" t="s">
        <v>510</v>
      </c>
      <c r="AR20" s="24">
        <f>+AP20/(AK18*AP18*AP18/6/10/10/10)</f>
        <v>2792.9542824074074</v>
      </c>
      <c r="AS20" s="152" t="str">
        <f>IF(AR20&lt;=0.6*AR16*1.1,"OK","REDIS")</f>
        <v>REDIS</v>
      </c>
      <c r="AT20" s="24" t="s">
        <v>516</v>
      </c>
      <c r="AU20" s="174">
        <f>+AW18*(AP20/100000)/((AO18-AL18)/1000/4)/(AT18-1)</f>
        <v>3.6196687500000002</v>
      </c>
      <c r="AV20" s="24" t="s">
        <v>519</v>
      </c>
      <c r="AW20" s="175">
        <f>+AW18*(ABS(MAX(M17:M21))+ABS(MIN(M17:M21)+ABS(MAX(N17:N21))+ABS(MIN(N17:N21))))/AV18</f>
        <v>0.24760312500000006</v>
      </c>
      <c r="AX20" s="155" t="s">
        <v>525</v>
      </c>
      <c r="AY20" s="182">
        <f>IF(BC18=(1+1/4),+(11-1/4),IF(BC18=1,(9),IF(BC18=(7/8),(7-7/8),IF(BC18=(3/4),+(6-3/4),IF(BC18=(5/8),+(5-5/8),IF(BC18=(1/2),(4-1/2),IF(BC18=(3-3/8),+(7/16),"no valido")))))))</f>
        <v>9</v>
      </c>
      <c r="AZ20" s="166" t="s">
        <v>526</v>
      </c>
      <c r="BA20" s="168" t="s">
        <v>533</v>
      </c>
      <c r="BB20" s="153" t="s">
        <v>521</v>
      </c>
      <c r="BC20" s="44">
        <f>+AV18</f>
        <v>8</v>
      </c>
      <c r="BD20" s="166" t="s">
        <v>527</v>
      </c>
      <c r="BE20" s="162" t="s">
        <v>534</v>
      </c>
      <c r="BG20" s="67" t="s">
        <v>192</v>
      </c>
      <c r="BH20" s="68">
        <v>4200</v>
      </c>
      <c r="BI20" s="90">
        <f>IF(6000*(1-BH24/BV18)&gt;BH20,BH20,6000*(1-BH24/BV18))</f>
        <v>-1285.7142857142865</v>
      </c>
      <c r="BJ20" s="91">
        <f>ABS(BH18)-BJ24</f>
        <v>-9.7740763500000014</v>
      </c>
      <c r="BK20" s="77">
        <f>IF(BQ18=0,0,+BJ20*100000/(BH21*BI20*(BH23-BH24)))</f>
        <v>0</v>
      </c>
      <c r="BL20" s="77">
        <f>+BK20*BI20/BH20</f>
        <v>0</v>
      </c>
      <c r="BM20" s="77">
        <f>+BL20+BU18</f>
        <v>16.999999999999996</v>
      </c>
      <c r="BN20" s="92">
        <f>2*BP18</f>
        <v>2.4285714285714285E-2</v>
      </c>
      <c r="BO20" s="92">
        <f>+BM20/BH22/BH23</f>
        <v>8.4999999999999971E-3</v>
      </c>
      <c r="BP20" s="79">
        <f>+BO20*BK20/BM20</f>
        <v>0</v>
      </c>
      <c r="BQ20" s="77">
        <f>6000*BH22/(6000+BH20)</f>
        <v>58.823529411764703</v>
      </c>
      <c r="BR20" s="79">
        <f>IF(6000*(1-BH24/BQ20)&gt;BH20,BH20,6000*(1-BH24/BQ20))</f>
        <v>4200</v>
      </c>
      <c r="BS20" s="92">
        <f>+BN20+BP20*BR20/BH20</f>
        <v>2.4285714285714285E-2</v>
      </c>
      <c r="BT20" s="92">
        <f>0.5*BS20</f>
        <v>1.2142857142857143E-2</v>
      </c>
      <c r="BU20" s="201" t="str">
        <f>IF(BN18&gt;BT20,"NO DUCTIL","DUCTIL")</f>
        <v>DUCTIL</v>
      </c>
      <c r="BV20" s="81"/>
    </row>
    <row r="21" spans="1:74" ht="15" hidden="1" x14ac:dyDescent="0.25">
      <c r="A21" s="216" t="s">
        <v>639</v>
      </c>
      <c r="B21" s="216" t="s">
        <v>624</v>
      </c>
      <c r="C21" s="216" t="s">
        <v>389</v>
      </c>
      <c r="D21" s="216">
        <v>3.3399999999999999E-2</v>
      </c>
      <c r="E21" s="216">
        <v>-0.11020000000000001</v>
      </c>
      <c r="F21" s="216">
        <v>5.6675000000000004</v>
      </c>
      <c r="G21" s="216">
        <v>7.9509999999999997E-2</v>
      </c>
      <c r="H21" s="216">
        <v>3.3340000000000002E-2</v>
      </c>
      <c r="I21" s="216">
        <v>7.0179999999999996E-5</v>
      </c>
      <c r="K21" s="39"/>
      <c r="L21" s="40" t="s">
        <v>378</v>
      </c>
      <c r="M21" s="41">
        <f t="shared" ref="M21:R21" si="15">D17+0.25*D18-D20</f>
        <v>2.1675000000000003E-2</v>
      </c>
      <c r="N21" s="41">
        <f t="shared" si="15"/>
        <v>0.54305000000000003</v>
      </c>
      <c r="O21" s="41">
        <f t="shared" si="15"/>
        <v>4.1371749999999992</v>
      </c>
      <c r="P21" s="41">
        <f t="shared" si="15"/>
        <v>-1.3184925000000001</v>
      </c>
      <c r="Q21" s="41">
        <f t="shared" si="15"/>
        <v>1.8177499999999999E-2</v>
      </c>
      <c r="R21" s="42">
        <f t="shared" si="15"/>
        <v>6.5285500000000004E-5</v>
      </c>
      <c r="S21" s="17"/>
      <c r="T21" s="29"/>
      <c r="U21" s="29" t="s">
        <v>378</v>
      </c>
      <c r="V21" s="23">
        <f t="shared" si="9"/>
        <v>4.1371749999999992</v>
      </c>
      <c r="W21" s="23">
        <f t="shared" si="9"/>
        <v>-1.3184925000000001</v>
      </c>
      <c r="X21" s="23">
        <f t="shared" si="9"/>
        <v>1.8177499999999999E-2</v>
      </c>
      <c r="Y21" s="29"/>
      <c r="Z21" s="31">
        <f>ABS(V21)/AC21/AD21</f>
        <v>2.6267777777777774</v>
      </c>
      <c r="AA21" s="23">
        <f>ABS(+W21/V21)</f>
        <v>0.31869391553415077</v>
      </c>
      <c r="AB21" s="23">
        <f>ABS(X21/V21)</f>
        <v>4.3936985986814678E-3</v>
      </c>
      <c r="AC21" s="36">
        <f t="shared" si="12"/>
        <v>0.5</v>
      </c>
      <c r="AD21" s="37">
        <f t="shared" si="12"/>
        <v>3.15</v>
      </c>
      <c r="AE21" s="22">
        <f t="shared" si="10"/>
        <v>-0.13738783106830155</v>
      </c>
      <c r="AF21" s="22">
        <f t="shared" si="10"/>
        <v>3.141212602802637</v>
      </c>
      <c r="AG21" s="22">
        <f>AF21*AE21</f>
        <v>-0.4315643864234685</v>
      </c>
      <c r="AH21" s="38">
        <f>V21/AG21</f>
        <v>-9.5864606305591558</v>
      </c>
      <c r="AI21" s="213"/>
      <c r="AJ21" s="147" t="s">
        <v>501</v>
      </c>
      <c r="AK21" s="24">
        <f>(MAX(V17:V21)+ABS(MAX(X17:X21))/(AK18/1000))*1000</f>
        <v>6931.7843749999993</v>
      </c>
      <c r="AL21" s="150" t="s">
        <v>505</v>
      </c>
      <c r="AM21" s="24">
        <f>+AR16*0.4/3</f>
        <v>466.66666666666669</v>
      </c>
      <c r="AN21" s="24"/>
      <c r="AO21" s="150" t="s">
        <v>509</v>
      </c>
      <c r="AP21" s="24">
        <f>((AN18/10/2-AK18/10/2)/2)*(MAX(+ABS(MAX(X17:X21)),ABS(MIN(X17:X21)))*100000/(AK18/10))</f>
        <v>1445.58984375</v>
      </c>
      <c r="AQ21" s="150" t="s">
        <v>511</v>
      </c>
      <c r="AR21" s="24">
        <f>+AP21/(AL18*AP18*AP18/6/1000)</f>
        <v>89.233940972222229</v>
      </c>
      <c r="AS21" s="152" t="str">
        <f>IF(AR21&lt;=0.6*AR16*1.1,"OK","REDIS")</f>
        <v>OK</v>
      </c>
      <c r="AT21" s="24" t="s">
        <v>517</v>
      </c>
      <c r="AU21" s="174">
        <f>+AW18*(AP21/100000)/((AN18-AK18)/1000/4)/(AU18-1)</f>
        <v>0.48186328125</v>
      </c>
      <c r="AV21" s="24"/>
      <c r="AW21" s="161"/>
      <c r="AX21" s="156" t="s">
        <v>522</v>
      </c>
      <c r="AY21" s="181">
        <f>IF(AY19=(1+3/8),+AV18/3,IF(AY19=(1+1/8),+AV18/6,IF(AY19=1,+AV18/8,IF(AY19=(7/8),+AV18/11,IF(AY19=0.75,+AV18/18,IF(AY19=(9/16),+AV18/45,IF(AY19=(7/16),+AV18/84,"NO HAY DATO")))))))</f>
        <v>1.3333333333333333</v>
      </c>
      <c r="AZ21" s="167" t="s">
        <v>527</v>
      </c>
      <c r="BA21" s="176"/>
      <c r="BB21" s="164" t="s">
        <v>523</v>
      </c>
      <c r="BC21" s="129">
        <f>+BC20*BC19*2.54/100</f>
        <v>2.4384000000000001</v>
      </c>
      <c r="BD21" s="173" t="s">
        <v>528</v>
      </c>
      <c r="BE21" s="130"/>
      <c r="BG21" s="67" t="s">
        <v>193</v>
      </c>
      <c r="BH21" s="68">
        <v>0.9</v>
      </c>
      <c r="BI21" s="202" t="s">
        <v>197</v>
      </c>
      <c r="BJ21" s="93">
        <v>0.7</v>
      </c>
      <c r="BK21" s="98" t="s">
        <v>202</v>
      </c>
      <c r="BL21" s="99"/>
      <c r="BM21" s="203"/>
      <c r="BN21" s="100"/>
      <c r="BO21" s="101"/>
      <c r="BR21" s="98" t="s">
        <v>203</v>
      </c>
      <c r="BS21" s="99"/>
      <c r="BT21" s="203"/>
      <c r="BU21" s="100"/>
      <c r="BV21" s="101"/>
    </row>
    <row r="22" spans="1:74" ht="15" hidden="1" x14ac:dyDescent="0.25">
      <c r="A22" s="216" t="s">
        <v>639</v>
      </c>
      <c r="B22" s="216" t="s">
        <v>625</v>
      </c>
      <c r="C22" s="216" t="s">
        <v>389</v>
      </c>
      <c r="D22" s="216">
        <v>1.32E-2</v>
      </c>
      <c r="E22" s="216">
        <v>0.56969999999999998</v>
      </c>
      <c r="F22" s="216">
        <v>2.7673000000000001</v>
      </c>
      <c r="G22" s="216">
        <v>-1.3377399999999999</v>
      </c>
      <c r="H22" s="216">
        <v>9.7199999999999995E-3</v>
      </c>
      <c r="I22" s="216">
        <v>4.7450000000000001E-5</v>
      </c>
      <c r="K22" s="25" t="s">
        <v>357</v>
      </c>
      <c r="L22" s="26" t="s">
        <v>358</v>
      </c>
      <c r="M22" s="27" t="s">
        <v>359</v>
      </c>
      <c r="N22" s="27" t="s">
        <v>360</v>
      </c>
      <c r="O22" s="27" t="s">
        <v>361</v>
      </c>
      <c r="P22" s="27" t="s">
        <v>362</v>
      </c>
      <c r="Q22" s="27" t="s">
        <v>363</v>
      </c>
      <c r="R22" s="28" t="s">
        <v>364</v>
      </c>
      <c r="S22" s="17"/>
      <c r="T22" s="29" t="s">
        <v>365</v>
      </c>
      <c r="U22" s="29" t="s">
        <v>358</v>
      </c>
      <c r="V22" s="30" t="s">
        <v>361</v>
      </c>
      <c r="W22" s="30" t="s">
        <v>362</v>
      </c>
      <c r="X22" s="30" t="s">
        <v>363</v>
      </c>
      <c r="Y22" s="29" t="s">
        <v>366</v>
      </c>
      <c r="Z22" s="31" t="s">
        <v>367</v>
      </c>
      <c r="AA22" s="23" t="s">
        <v>368</v>
      </c>
      <c r="AB22" s="23" t="s">
        <v>369</v>
      </c>
      <c r="AC22" s="22" t="s">
        <v>0</v>
      </c>
      <c r="AD22" s="22" t="s">
        <v>1</v>
      </c>
      <c r="AE22" s="22" t="s">
        <v>370</v>
      </c>
      <c r="AF22" s="22" t="s">
        <v>371</v>
      </c>
      <c r="AG22" s="22" t="s">
        <v>372</v>
      </c>
      <c r="AH22" s="32" t="s">
        <v>373</v>
      </c>
      <c r="AI22" s="213"/>
      <c r="AJ22" s="143" t="s">
        <v>365</v>
      </c>
      <c r="AK22" s="144" t="s">
        <v>498</v>
      </c>
      <c r="AL22" s="145"/>
      <c r="AM22" s="139"/>
      <c r="AN22" s="146" t="s">
        <v>499</v>
      </c>
      <c r="AO22" s="145"/>
      <c r="AP22" s="139"/>
      <c r="AQ22" s="147" t="s">
        <v>506</v>
      </c>
      <c r="AR22" s="48">
        <v>3500</v>
      </c>
      <c r="AS22" s="147" t="s">
        <v>405</v>
      </c>
      <c r="AT22" s="146" t="s">
        <v>512</v>
      </c>
      <c r="AU22" s="145"/>
      <c r="AV22" s="145"/>
      <c r="AW22" s="145"/>
      <c r="AX22" s="163" t="s">
        <v>532</v>
      </c>
      <c r="AY22" s="157" t="s">
        <v>515</v>
      </c>
      <c r="AZ22" s="169">
        <v>6.9</v>
      </c>
      <c r="BA22" s="171" t="str">
        <f>IF(MAX(AU26:AU27)&lt;=AZ22,"OK","REDIS")</f>
        <v>OK</v>
      </c>
      <c r="BB22" s="163" t="s">
        <v>536</v>
      </c>
      <c r="BC22" s="170" t="s">
        <v>515</v>
      </c>
      <c r="BD22" s="169">
        <v>8.36</v>
      </c>
      <c r="BE22" s="171" t="str">
        <f>IF(MAX(AU26:AU27)&lt;=BD22,"OK","REDIS")</f>
        <v>OK</v>
      </c>
      <c r="BG22" s="67" t="s">
        <v>194</v>
      </c>
      <c r="BH22" s="68">
        <v>100</v>
      </c>
      <c r="BI22" s="94" t="s">
        <v>169</v>
      </c>
      <c r="BJ22" s="96">
        <f>+BJ21*BP18</f>
        <v>8.4999999999999989E-3</v>
      </c>
      <c r="BK22" s="204" t="s">
        <v>380</v>
      </c>
      <c r="BL22" s="103">
        <f>1.3*1*(BH16-0.1-BK16)*BO16</f>
        <v>11.049999999999997</v>
      </c>
      <c r="BM22" s="104" t="s">
        <v>176</v>
      </c>
      <c r="BN22" s="74" t="s">
        <v>177</v>
      </c>
      <c r="BO22" s="105" t="s">
        <v>178</v>
      </c>
      <c r="BR22" s="204" t="s">
        <v>380</v>
      </c>
      <c r="BS22" s="103">
        <f>(+BH16*BH16-BK16*BK16)*1.3*BO16</f>
        <v>17.907499999999999</v>
      </c>
      <c r="BT22" s="104" t="s">
        <v>176</v>
      </c>
      <c r="BU22" s="74" t="s">
        <v>177</v>
      </c>
      <c r="BV22" s="105" t="s">
        <v>178</v>
      </c>
    </row>
    <row r="23" spans="1:74" ht="15" hidden="1" x14ac:dyDescent="0.25">
      <c r="A23" s="216" t="s">
        <v>640</v>
      </c>
      <c r="B23" s="216" t="s">
        <v>351</v>
      </c>
      <c r="C23" s="216" t="s">
        <v>352</v>
      </c>
      <c r="D23" s="216">
        <v>1.6000000000000001E-3</v>
      </c>
      <c r="E23" s="216">
        <v>-1.23E-2</v>
      </c>
      <c r="F23" s="216">
        <v>3.5095999999999998</v>
      </c>
      <c r="G23" s="216">
        <v>1.421E-2</v>
      </c>
      <c r="H23" s="216">
        <v>1.9609999999999999E-2</v>
      </c>
      <c r="I23" s="216">
        <v>-3.371E-6</v>
      </c>
      <c r="K23" s="33" t="str">
        <f>+A23</f>
        <v>49</v>
      </c>
      <c r="L23" s="17" t="s">
        <v>374</v>
      </c>
      <c r="M23" s="34">
        <f t="shared" ref="M23:R23" si="16">D23+D24</f>
        <v>3.1000000000000003E-3</v>
      </c>
      <c r="N23" s="34">
        <f t="shared" si="16"/>
        <v>-2.01E-2</v>
      </c>
      <c r="O23" s="34">
        <f t="shared" si="16"/>
        <v>5.3366999999999996</v>
      </c>
      <c r="P23" s="34">
        <f t="shared" si="16"/>
        <v>2.342E-2</v>
      </c>
      <c r="Q23" s="34">
        <f t="shared" si="16"/>
        <v>3.2000000000000001E-2</v>
      </c>
      <c r="R23" s="35">
        <f t="shared" si="16"/>
        <v>-4.1918999999999996E-6</v>
      </c>
      <c r="S23" s="17"/>
      <c r="T23" s="29" t="str">
        <f>K23</f>
        <v>49</v>
      </c>
      <c r="U23" s="29" t="s">
        <v>374</v>
      </c>
      <c r="V23" s="23">
        <f t="shared" ref="V23:X27" si="17">O23</f>
        <v>5.3366999999999996</v>
      </c>
      <c r="W23" s="23">
        <f t="shared" si="17"/>
        <v>2.342E-2</v>
      </c>
      <c r="X23" s="23">
        <f t="shared" si="17"/>
        <v>3.2000000000000001E-2</v>
      </c>
      <c r="Y23" s="29">
        <v>10</v>
      </c>
      <c r="Z23" s="31">
        <f>ABS(V23)/AC23/AD23</f>
        <v>6.5885185185185176</v>
      </c>
      <c r="AA23" s="23">
        <f>ABS(+W23/V23)</f>
        <v>4.3884797721438348E-3</v>
      </c>
      <c r="AB23" s="23">
        <f>ABS(X23/V23)</f>
        <v>5.9962148893510977E-3</v>
      </c>
      <c r="AC23" s="36">
        <v>0.5</v>
      </c>
      <c r="AD23" s="37">
        <v>1.62</v>
      </c>
      <c r="AE23" s="22">
        <f t="shared" ref="AE23:AF27" si="18">AC23-2*AA23</f>
        <v>0.49122304045571236</v>
      </c>
      <c r="AF23" s="22">
        <f t="shared" si="18"/>
        <v>1.6080075702212979</v>
      </c>
      <c r="AG23" s="22">
        <f>AF23*AE23</f>
        <v>0.78989036771990839</v>
      </c>
      <c r="AH23" s="38">
        <f>V23/AG23</f>
        <v>6.7562540551100501</v>
      </c>
      <c r="AI23" s="213"/>
      <c r="AJ23" s="48" t="str">
        <f>+K23</f>
        <v>49</v>
      </c>
      <c r="AK23" s="147" t="s">
        <v>0</v>
      </c>
      <c r="AL23" s="147" t="s">
        <v>1</v>
      </c>
      <c r="AM23" s="147" t="s">
        <v>438</v>
      </c>
      <c r="AN23" s="147" t="s">
        <v>503</v>
      </c>
      <c r="AO23" s="147" t="s">
        <v>504</v>
      </c>
      <c r="AP23" s="147" t="s">
        <v>323</v>
      </c>
      <c r="AQ23" s="48"/>
      <c r="AR23" s="48"/>
      <c r="AS23" s="48"/>
      <c r="AT23" s="147" t="s">
        <v>0</v>
      </c>
      <c r="AU23" s="147" t="s">
        <v>1</v>
      </c>
      <c r="AV23" s="147" t="s">
        <v>513</v>
      </c>
      <c r="AW23" s="159" t="s">
        <v>520</v>
      </c>
      <c r="AX23" s="141" t="s">
        <v>530</v>
      </c>
      <c r="AY23" s="157" t="s">
        <v>178</v>
      </c>
      <c r="AZ23" s="44">
        <v>12</v>
      </c>
      <c r="BA23" s="172" t="str">
        <f>IF(AW26&lt;=AZ23,"OK","REDIS")</f>
        <v>OK</v>
      </c>
      <c r="BB23" s="141" t="s">
        <v>535</v>
      </c>
      <c r="BC23" s="120" t="s">
        <v>178</v>
      </c>
      <c r="BD23" s="44">
        <v>4.3</v>
      </c>
      <c r="BE23" s="172" t="str">
        <f>IF(AW26&lt;=BD23,"OK","REDIS")</f>
        <v>OK</v>
      </c>
      <c r="BG23" s="67" t="s">
        <v>195</v>
      </c>
      <c r="BH23" s="68">
        <f>+BK16*100-5</f>
        <v>20</v>
      </c>
      <c r="BI23" s="94" t="s">
        <v>373</v>
      </c>
      <c r="BJ23" s="96">
        <f>+BJ22*BH20/BH19</f>
        <v>0.14874999999999999</v>
      </c>
      <c r="BK23" s="106"/>
      <c r="BL23" s="48"/>
      <c r="BM23" s="102">
        <f>SQRT(BH19)*0.53*BH22*BH23/1000</f>
        <v>16.421449387919449</v>
      </c>
      <c r="BN23" s="73">
        <f>SQRT(BH19)*0.93*BH22*BH23/1000</f>
        <v>28.814996095783179</v>
      </c>
      <c r="BO23" s="205" t="str">
        <f>IF(BL22&lt;BN23,"OK","REDIS")</f>
        <v>OK</v>
      </c>
      <c r="BR23" s="106"/>
      <c r="BS23" s="48"/>
      <c r="BT23" s="102">
        <f>SQRT(BH19)*0.53*(+BK16*100*4+0.3*2+0.4*2)*BK16*100/1000</f>
        <v>20.814187099187901</v>
      </c>
      <c r="BU23" s="73">
        <f>+BT23*0.93/0.53</f>
        <v>36.523007551405186</v>
      </c>
      <c r="BV23" s="205" t="str">
        <f>IF(BS22&lt;BU23,"OK","REDIS")</f>
        <v>OK</v>
      </c>
    </row>
    <row r="24" spans="1:74" ht="15.75" hidden="1" thickBot="1" x14ac:dyDescent="0.3">
      <c r="A24" s="216" t="s">
        <v>640</v>
      </c>
      <c r="B24" s="216" t="s">
        <v>353</v>
      </c>
      <c r="C24" s="216" t="s">
        <v>352</v>
      </c>
      <c r="D24" s="216">
        <v>1.5E-3</v>
      </c>
      <c r="E24" s="216">
        <v>-7.7999999999999996E-3</v>
      </c>
      <c r="F24" s="216">
        <v>1.8270999999999999</v>
      </c>
      <c r="G24" s="216">
        <v>9.2099999999999994E-3</v>
      </c>
      <c r="H24" s="216">
        <v>1.239E-2</v>
      </c>
      <c r="I24" s="216">
        <v>-8.2090000000000005E-7</v>
      </c>
      <c r="K24" s="33"/>
      <c r="L24" s="17" t="s">
        <v>375</v>
      </c>
      <c r="M24" s="34">
        <f t="shared" ref="M24:R24" si="19">D23+0.25*D24+D25</f>
        <v>-0.46442499999999998</v>
      </c>
      <c r="N24" s="34">
        <f t="shared" si="19"/>
        <v>-1.35102E-2</v>
      </c>
      <c r="O24" s="34">
        <f t="shared" si="19"/>
        <v>4.0701749999999999</v>
      </c>
      <c r="P24" s="34">
        <f t="shared" si="19"/>
        <v>1.53825E-2</v>
      </c>
      <c r="Q24" s="34">
        <f t="shared" si="19"/>
        <v>-0.73363250000000002</v>
      </c>
      <c r="R24" s="35">
        <f t="shared" si="19"/>
        <v>-2.3357622500000001E-4</v>
      </c>
      <c r="S24" s="17"/>
      <c r="T24" s="29"/>
      <c r="U24" s="29" t="s">
        <v>375</v>
      </c>
      <c r="V24" s="23">
        <f t="shared" si="17"/>
        <v>4.0701749999999999</v>
      </c>
      <c r="W24" s="23">
        <f t="shared" si="17"/>
        <v>1.53825E-2</v>
      </c>
      <c r="X24" s="23">
        <f t="shared" si="17"/>
        <v>-0.73363250000000002</v>
      </c>
      <c r="Y24" s="29">
        <f>1.33*Y23</f>
        <v>13.3</v>
      </c>
      <c r="Z24" s="31">
        <f>ABS(V24)/AC24/AD24</f>
        <v>5.0249074074074072</v>
      </c>
      <c r="AA24" s="23">
        <f>ABS(+W24/V24)</f>
        <v>3.7793215279441302E-3</v>
      </c>
      <c r="AB24" s="23">
        <f>ABS(X24/V24)</f>
        <v>0.18024593537132924</v>
      </c>
      <c r="AC24" s="36">
        <f t="shared" ref="AC24:AD27" si="20">AC23</f>
        <v>0.5</v>
      </c>
      <c r="AD24" s="37">
        <f t="shared" si="20"/>
        <v>1.62</v>
      </c>
      <c r="AE24" s="22">
        <f t="shared" si="18"/>
        <v>0.49244135694411173</v>
      </c>
      <c r="AF24" s="22">
        <f t="shared" si="18"/>
        <v>1.2595081292573416</v>
      </c>
      <c r="AG24" s="22">
        <f>AF24*AE24</f>
        <v>0.62023389225362491</v>
      </c>
      <c r="AH24" s="38">
        <f>V24/AG24</f>
        <v>6.5623227798967676</v>
      </c>
      <c r="AI24" s="213"/>
      <c r="AJ24" s="147" t="s">
        <v>539</v>
      </c>
      <c r="AK24" s="148">
        <v>180</v>
      </c>
      <c r="AL24" s="148">
        <v>95</v>
      </c>
      <c r="AM24" s="148">
        <v>4</v>
      </c>
      <c r="AN24" s="149">
        <v>350</v>
      </c>
      <c r="AO24" s="149">
        <v>250</v>
      </c>
      <c r="AP24" s="149">
        <v>24</v>
      </c>
      <c r="AQ24" s="48"/>
      <c r="AR24" s="48"/>
      <c r="AS24" s="48"/>
      <c r="AT24" s="48">
        <v>3</v>
      </c>
      <c r="AU24" s="48">
        <v>3</v>
      </c>
      <c r="AV24" s="149">
        <f>+AT24*2+(AU24-2)*2</f>
        <v>8</v>
      </c>
      <c r="AW24" s="159">
        <v>1</v>
      </c>
      <c r="AX24" s="155" t="s">
        <v>538</v>
      </c>
      <c r="AY24" s="180">
        <f>+AV24</f>
        <v>8</v>
      </c>
      <c r="BA24" s="154"/>
      <c r="BB24" s="177" t="s">
        <v>537</v>
      </c>
      <c r="BC24" s="179">
        <v>1</v>
      </c>
      <c r="BD24" s="166" t="s">
        <v>526</v>
      </c>
      <c r="BE24" s="154"/>
      <c r="BG24" s="71" t="s">
        <v>196</v>
      </c>
      <c r="BH24" s="72">
        <v>5</v>
      </c>
      <c r="BI24" s="95" t="s">
        <v>198</v>
      </c>
      <c r="BJ24" s="97">
        <f>+BH21*BH19*BH22*BH23*BH23*BJ23*(1-0.59*BJ23)/100000</f>
        <v>11.724076350000001</v>
      </c>
      <c r="BK24" s="107"/>
      <c r="BL24" s="80"/>
      <c r="BM24" s="206"/>
      <c r="BN24" s="78"/>
      <c r="BO24" s="108"/>
      <c r="BR24" s="107"/>
      <c r="BS24" s="80"/>
      <c r="BT24" s="206"/>
      <c r="BU24" s="78"/>
      <c r="BV24" s="108"/>
    </row>
    <row r="25" spans="1:74" ht="15" hidden="1" x14ac:dyDescent="0.25">
      <c r="A25" s="216" t="s">
        <v>640</v>
      </c>
      <c r="B25" s="216" t="s">
        <v>354</v>
      </c>
      <c r="C25" s="216" t="s">
        <v>352</v>
      </c>
      <c r="D25" s="216">
        <v>-0.46639999999999998</v>
      </c>
      <c r="E25" s="216">
        <v>7.3979999999999998E-4</v>
      </c>
      <c r="F25" s="216">
        <v>0.1038</v>
      </c>
      <c r="G25" s="216">
        <v>-1.1299999999999999E-3</v>
      </c>
      <c r="H25" s="216">
        <v>-0.75634000000000001</v>
      </c>
      <c r="I25" s="216">
        <v>-2.3000000000000001E-4</v>
      </c>
      <c r="K25" s="33"/>
      <c r="L25" s="17" t="s">
        <v>376</v>
      </c>
      <c r="M25" s="34">
        <f t="shared" ref="M25:R25" si="21">D23+0.25*D24-D25</f>
        <v>0.46837499999999999</v>
      </c>
      <c r="N25" s="34">
        <f t="shared" si="21"/>
        <v>-1.4989800000000001E-2</v>
      </c>
      <c r="O25" s="34">
        <f t="shared" si="21"/>
        <v>3.8625749999999996</v>
      </c>
      <c r="P25" s="34">
        <f t="shared" si="21"/>
        <v>1.7642499999999998E-2</v>
      </c>
      <c r="Q25" s="34">
        <f t="shared" si="21"/>
        <v>0.7790475</v>
      </c>
      <c r="R25" s="35">
        <f t="shared" si="21"/>
        <v>2.26423775E-4</v>
      </c>
      <c r="S25" s="17"/>
      <c r="T25" s="29"/>
      <c r="U25" s="29" t="s">
        <v>376</v>
      </c>
      <c r="V25" s="23">
        <f t="shared" si="17"/>
        <v>3.8625749999999996</v>
      </c>
      <c r="W25" s="23">
        <f t="shared" si="17"/>
        <v>1.7642499999999998E-2</v>
      </c>
      <c r="X25" s="23">
        <f t="shared" si="17"/>
        <v>0.7790475</v>
      </c>
      <c r="Y25" s="29"/>
      <c r="Z25" s="31">
        <f>ABS(V25)/AC25/AD25</f>
        <v>4.7686111111111105</v>
      </c>
      <c r="AA25" s="23">
        <f>ABS(+W25/V25)</f>
        <v>4.5675488501841386E-3</v>
      </c>
      <c r="AB25" s="23">
        <f>ABS(X25/V25)</f>
        <v>0.20169122929651853</v>
      </c>
      <c r="AC25" s="36">
        <f t="shared" si="20"/>
        <v>0.5</v>
      </c>
      <c r="AD25" s="37">
        <f t="shared" si="20"/>
        <v>1.62</v>
      </c>
      <c r="AE25" s="22">
        <f t="shared" si="18"/>
        <v>0.4908649022996317</v>
      </c>
      <c r="AF25" s="22">
        <f t="shared" si="18"/>
        <v>1.2166175414069631</v>
      </c>
      <c r="AG25" s="22">
        <f>AF25*AE25</f>
        <v>0.59719485059874711</v>
      </c>
      <c r="AH25" s="38">
        <f>V25/AG25</f>
        <v>6.467863874123136</v>
      </c>
      <c r="AI25" s="213"/>
      <c r="AJ25" s="146" t="s">
        <v>514</v>
      </c>
      <c r="AK25" s="145"/>
      <c r="AL25" s="145"/>
      <c r="AM25" s="145"/>
      <c r="AN25" s="139"/>
      <c r="AO25" s="146" t="s">
        <v>507</v>
      </c>
      <c r="AP25" s="145" t="s">
        <v>626</v>
      </c>
      <c r="AQ25" s="145">
        <f>0.6*AR22</f>
        <v>2100</v>
      </c>
      <c r="AR25" s="212" t="s">
        <v>627</v>
      </c>
      <c r="AS25" s="211">
        <f>+AR26+AR27</f>
        <v>2315.1607044956145</v>
      </c>
      <c r="AT25" s="48" t="s">
        <v>515</v>
      </c>
      <c r="AU25" s="48"/>
      <c r="AV25" s="48" t="s">
        <v>518</v>
      </c>
      <c r="AW25" s="160"/>
      <c r="AX25" s="155" t="s">
        <v>524</v>
      </c>
      <c r="AY25" s="182">
        <f>IF(BC24=(1+1/4),+(1+3/8),IF(BC24=1,(1+1/8),IF(BC24=(7/8),1,IF(BC24=(3/4),+(7/8),IF(BC24=(5/8),+(3/4),IF(BC24=(1/2),(9/16),IF(BC24=(3/8),+(7/16),"no valido")))))))</f>
        <v>1.125</v>
      </c>
      <c r="AZ25" s="165" t="s">
        <v>526</v>
      </c>
      <c r="BA25" s="172" t="s">
        <v>531</v>
      </c>
      <c r="BB25" s="178" t="s">
        <v>529</v>
      </c>
      <c r="BC25" s="158">
        <f>+AY26+3</f>
        <v>12</v>
      </c>
      <c r="BD25" s="166" t="s">
        <v>526</v>
      </c>
      <c r="BE25" s="172" t="s">
        <v>531</v>
      </c>
    </row>
    <row r="26" spans="1:74" ht="15" hidden="1" x14ac:dyDescent="0.25">
      <c r="A26" s="216" t="s">
        <v>640</v>
      </c>
      <c r="B26" s="216" t="s">
        <v>355</v>
      </c>
      <c r="C26" s="216" t="s">
        <v>352</v>
      </c>
      <c r="D26" s="216">
        <v>1.66E-2</v>
      </c>
      <c r="E26" s="216">
        <v>-7.2599999999999998E-2</v>
      </c>
      <c r="F26" s="216">
        <v>-0.30030000000000001</v>
      </c>
      <c r="G26" s="216">
        <v>0.10983999999999999</v>
      </c>
      <c r="H26" s="216">
        <v>2.8150000000000001E-2</v>
      </c>
      <c r="I26" s="216">
        <v>7.8560000000000007E-5</v>
      </c>
      <c r="K26" s="33"/>
      <c r="L26" s="17" t="s">
        <v>377</v>
      </c>
      <c r="M26" s="34">
        <f t="shared" ref="M26:R26" si="22">D23+0.25*D24+D26</f>
        <v>1.8575000000000001E-2</v>
      </c>
      <c r="N26" s="34">
        <f t="shared" si="22"/>
        <v>-8.6849999999999997E-2</v>
      </c>
      <c r="O26" s="34">
        <f t="shared" si="22"/>
        <v>3.6660749999999998</v>
      </c>
      <c r="P26" s="34">
        <f t="shared" si="22"/>
        <v>0.12635249999999998</v>
      </c>
      <c r="Q26" s="34">
        <f t="shared" si="22"/>
        <v>5.08575E-2</v>
      </c>
      <c r="R26" s="35">
        <f t="shared" si="22"/>
        <v>7.4983775000000004E-5</v>
      </c>
      <c r="S26" s="17"/>
      <c r="T26" s="29"/>
      <c r="U26" s="29" t="s">
        <v>377</v>
      </c>
      <c r="V26" s="23">
        <f t="shared" si="17"/>
        <v>3.6660749999999998</v>
      </c>
      <c r="W26" s="23">
        <f t="shared" si="17"/>
        <v>0.12635249999999998</v>
      </c>
      <c r="X26" s="23">
        <f t="shared" si="17"/>
        <v>5.08575E-2</v>
      </c>
      <c r="Y26" s="29"/>
      <c r="Z26" s="31">
        <f>ABS(V26)/AC26/AD26</f>
        <v>4.5260185185185176</v>
      </c>
      <c r="AA26" s="23">
        <f>ABS(+W26/V26)</f>
        <v>3.446533417892432E-2</v>
      </c>
      <c r="AB26" s="23">
        <f>ABS(X26/V26)</f>
        <v>1.3872465784251551E-2</v>
      </c>
      <c r="AC26" s="36">
        <f t="shared" si="20"/>
        <v>0.5</v>
      </c>
      <c r="AD26" s="37">
        <f t="shared" si="20"/>
        <v>1.62</v>
      </c>
      <c r="AE26" s="22">
        <f t="shared" si="18"/>
        <v>0.43106933164215133</v>
      </c>
      <c r="AF26" s="22">
        <f t="shared" si="18"/>
        <v>1.5922550684314971</v>
      </c>
      <c r="AG26" s="22">
        <f>AF26*AE26</f>
        <v>0.68637232815259341</v>
      </c>
      <c r="AH26" s="38">
        <f>V26/AG26</f>
        <v>5.3412336856111757</v>
      </c>
      <c r="AI26" s="213"/>
      <c r="AJ26" s="147" t="s">
        <v>500</v>
      </c>
      <c r="AK26" s="24">
        <f>(MAX(V23:V27)+ABS(MAX(W23:W27))/(AL24/1000))*1000</f>
        <v>6666.7263157894731</v>
      </c>
      <c r="AL26" s="150" t="s">
        <v>502</v>
      </c>
      <c r="AM26" s="24">
        <f>+ABS(MAX(AK26:AK27))/(+AK24*2/10+AL24*2/10)/(AP24/10)</f>
        <v>73.217739898989905</v>
      </c>
      <c r="AN26" s="151" t="str">
        <f>IF(AM26&lt;=AM27,"OK","REDIS")</f>
        <v>OK</v>
      </c>
      <c r="AO26" s="150" t="s">
        <v>508</v>
      </c>
      <c r="AP26" s="24">
        <f>((AO24/10/2-AL24/10/2)/2)*((MAX(ABS(MAX(W23:W27)),ABS(MIN(W23:W27)))*100000))/(AL24/10)</f>
        <v>5153.85197368421</v>
      </c>
      <c r="AQ26" s="150" t="s">
        <v>510</v>
      </c>
      <c r="AR26" s="24">
        <f>+AP26/(AK24*AP24*AP24/6/10/10/10)</f>
        <v>298.25532255116951</v>
      </c>
      <c r="AS26" s="152" t="str">
        <f>IF(AR26&lt;=0.6*AR22*1.1,"OK","REDIS")</f>
        <v>OK</v>
      </c>
      <c r="AT26" s="24" t="s">
        <v>516</v>
      </c>
      <c r="AU26" s="174">
        <f>+AW24*(AP26/100000)/((AO24-AL24)/1000/4)/(AT24-1)</f>
        <v>0.66501315789473681</v>
      </c>
      <c r="AV26" s="24" t="s">
        <v>519</v>
      </c>
      <c r="AW26" s="175">
        <f>+AW24*(ABS(MAX(M23:M27))+ABS(MIN(M23:M27)+ABS(MAX(N23:N27))+ABS(MIN(N23:N27))))/AV24</f>
        <v>9.8449999999999996E-2</v>
      </c>
      <c r="AX26" s="155" t="s">
        <v>525</v>
      </c>
      <c r="AY26" s="182">
        <f>IF(BC24=(1+1/4),+(11-1/4),IF(BC24=1,(9),IF(BC24=(7/8),(7-7/8),IF(BC24=(3/4),+(6-3/4),IF(BC24=(5/8),+(5-5/8),IF(BC24=(1/2),(4-1/2),IF(BC24=(3-3/8),+(7/16),"no valido")))))))</f>
        <v>9</v>
      </c>
      <c r="AZ26" s="166" t="s">
        <v>526</v>
      </c>
      <c r="BA26" s="168" t="s">
        <v>533</v>
      </c>
      <c r="BB26" s="153" t="s">
        <v>521</v>
      </c>
      <c r="BC26" s="44">
        <f>+AV24</f>
        <v>8</v>
      </c>
      <c r="BD26" s="166" t="s">
        <v>527</v>
      </c>
      <c r="BE26" s="162" t="s">
        <v>534</v>
      </c>
      <c r="BG26" s="109" t="s">
        <v>199</v>
      </c>
      <c r="BH26" s="142">
        <v>1.6</v>
      </c>
      <c r="BJ26" s="109" t="s">
        <v>385</v>
      </c>
      <c r="BK26" s="142">
        <v>0.2</v>
      </c>
      <c r="BM26" s="110" t="s">
        <v>200</v>
      </c>
      <c r="BN26" s="110"/>
      <c r="BO26" s="110">
        <v>10</v>
      </c>
      <c r="BP26" s="110" t="s">
        <v>386</v>
      </c>
      <c r="BQ26" t="s">
        <v>201</v>
      </c>
    </row>
    <row r="27" spans="1:74" ht="15" hidden="1" x14ac:dyDescent="0.25">
      <c r="A27" s="216" t="s">
        <v>640</v>
      </c>
      <c r="B27" s="216" t="s">
        <v>624</v>
      </c>
      <c r="C27" s="216" t="s">
        <v>389</v>
      </c>
      <c r="D27" s="216">
        <v>2.3E-3</v>
      </c>
      <c r="E27" s="216">
        <v>-1.72E-2</v>
      </c>
      <c r="F27" s="216">
        <v>4.9135</v>
      </c>
      <c r="G27" s="216">
        <v>1.9900000000000001E-2</v>
      </c>
      <c r="H27" s="216">
        <v>2.7449999999999999E-2</v>
      </c>
      <c r="I27" s="216">
        <v>-4.7199999999999997E-6</v>
      </c>
      <c r="K27" s="39"/>
      <c r="L27" s="40" t="s">
        <v>378</v>
      </c>
      <c r="M27" s="41">
        <f t="shared" ref="M27:R27" si="23">D23+0.25*D24-D26</f>
        <v>-1.4624999999999999E-2</v>
      </c>
      <c r="N27" s="41">
        <f t="shared" si="23"/>
        <v>5.8349999999999999E-2</v>
      </c>
      <c r="O27" s="41">
        <f t="shared" si="23"/>
        <v>4.2666749999999993</v>
      </c>
      <c r="P27" s="41">
        <f t="shared" si="23"/>
        <v>-9.3327499999999994E-2</v>
      </c>
      <c r="Q27" s="41">
        <f t="shared" si="23"/>
        <v>-5.4425000000000029E-3</v>
      </c>
      <c r="R27" s="42">
        <f t="shared" si="23"/>
        <v>-8.213622500000001E-5</v>
      </c>
      <c r="S27" s="17"/>
      <c r="T27" s="29"/>
      <c r="U27" s="29" t="s">
        <v>378</v>
      </c>
      <c r="V27" s="23">
        <f t="shared" si="17"/>
        <v>4.2666749999999993</v>
      </c>
      <c r="W27" s="23">
        <f t="shared" si="17"/>
        <v>-9.3327499999999994E-2</v>
      </c>
      <c r="X27" s="23">
        <f t="shared" si="17"/>
        <v>-5.4425000000000029E-3</v>
      </c>
      <c r="Y27" s="29"/>
      <c r="Z27" s="31">
        <f>ABS(V27)/AC27/AD27</f>
        <v>5.2674999999999992</v>
      </c>
      <c r="AA27" s="23">
        <f>ABS(+W27/V27)</f>
        <v>2.1873590090644355E-2</v>
      </c>
      <c r="AB27" s="23">
        <f>ABS(X27/V27)</f>
        <v>1.2755834461260827E-3</v>
      </c>
      <c r="AC27" s="36">
        <f t="shared" si="20"/>
        <v>0.5</v>
      </c>
      <c r="AD27" s="37">
        <f t="shared" si="20"/>
        <v>1.62</v>
      </c>
      <c r="AE27" s="22">
        <f t="shared" si="18"/>
        <v>0.4562528198187113</v>
      </c>
      <c r="AF27" s="22">
        <f t="shared" si="18"/>
        <v>1.6174488331077479</v>
      </c>
      <c r="AG27" s="22">
        <f>AF27*AE27</f>
        <v>0.73796559101789416</v>
      </c>
      <c r="AH27" s="38">
        <f>V27/AG27</f>
        <v>5.7816720073829853</v>
      </c>
      <c r="AI27" s="213"/>
      <c r="AJ27" s="147" t="s">
        <v>501</v>
      </c>
      <c r="AK27" s="24">
        <f>(MAX(V23:V27)+ABS(MAX(X23:X27))/(AK24/1000))*1000</f>
        <v>9664.7416666666668</v>
      </c>
      <c r="AL27" s="150" t="s">
        <v>505</v>
      </c>
      <c r="AM27" s="24">
        <f>+AR22*0.4/3</f>
        <v>466.66666666666669</v>
      </c>
      <c r="AN27" s="24"/>
      <c r="AO27" s="150" t="s">
        <v>509</v>
      </c>
      <c r="AP27" s="24">
        <f>((AN24/10/2-AK24/10/2)/2)*(MAX(+ABS(MAX(X23:X27)),ABS(MIN(X23:X27)))*100000/(AK24/10))</f>
        <v>18394.177083333336</v>
      </c>
      <c r="AQ27" s="150" t="s">
        <v>511</v>
      </c>
      <c r="AR27" s="24">
        <f>+AP27/(AL24*AP24*AP24/6/1000)</f>
        <v>2016.9053819444448</v>
      </c>
      <c r="AS27" s="152" t="str">
        <f>IF(AR27&lt;=0.6*AR22*1.1,"OK","REDIS")</f>
        <v>OK</v>
      </c>
      <c r="AT27" s="24" t="s">
        <v>517</v>
      </c>
      <c r="AU27" s="174">
        <f>+AW24*(AP27/100000)/((AN24-AK24)/1000/4)/(AU24-1)</f>
        <v>2.1640208333333333</v>
      </c>
      <c r="AV27" s="24"/>
      <c r="AW27" s="161"/>
      <c r="AX27" s="156" t="s">
        <v>522</v>
      </c>
      <c r="AY27" s="181">
        <f>IF(AY25=(1+3/8),+AV24/3,IF(AY25=(1+1/8),+AV24/6,IF(AY25=1,+AV24/8,IF(AY25=(7/8),+AV24/11,IF(AY25=0.75,+AV24/18,IF(AY25=(9/16),+AV24/45,IF(AY25=(7/16),+AV24/84,"NO HAY DATO")))))))</f>
        <v>1.3333333333333333</v>
      </c>
      <c r="AZ27" s="167" t="s">
        <v>527</v>
      </c>
      <c r="BA27" s="176"/>
      <c r="BB27" s="164" t="s">
        <v>523</v>
      </c>
      <c r="BC27" s="129">
        <f>+BC26*BC25*2.54/100</f>
        <v>2.4384000000000001</v>
      </c>
      <c r="BD27" s="173" t="s">
        <v>528</v>
      </c>
      <c r="BE27" s="130"/>
      <c r="BG27" s="122" t="s">
        <v>164</v>
      </c>
      <c r="BH27" s="193">
        <f>+G24</f>
        <v>9.2099999999999994E-3</v>
      </c>
      <c r="BI27" s="196" t="s">
        <v>165</v>
      </c>
      <c r="BJ27" s="197" t="s">
        <v>166</v>
      </c>
      <c r="BK27" s="74" t="s">
        <v>2</v>
      </c>
      <c r="BL27" s="74" t="s">
        <v>167</v>
      </c>
      <c r="BM27" s="75" t="s">
        <v>168</v>
      </c>
      <c r="BN27" s="74" t="s">
        <v>169</v>
      </c>
      <c r="BO27" s="74" t="s">
        <v>170</v>
      </c>
      <c r="BP27" s="74" t="s">
        <v>171</v>
      </c>
      <c r="BQ27" s="75" t="s">
        <v>172</v>
      </c>
      <c r="BR27" s="74" t="s">
        <v>173</v>
      </c>
      <c r="BS27" s="74" t="s">
        <v>174</v>
      </c>
      <c r="BT27" s="74" t="s">
        <v>165</v>
      </c>
      <c r="BU27" s="74" t="s">
        <v>175</v>
      </c>
      <c r="BV27" s="76" t="s">
        <v>407</v>
      </c>
    </row>
    <row r="28" spans="1:74" ht="15" hidden="1" x14ac:dyDescent="0.25">
      <c r="A28" s="216" t="s">
        <v>640</v>
      </c>
      <c r="B28" s="216" t="s">
        <v>625</v>
      </c>
      <c r="C28" s="216" t="s">
        <v>389</v>
      </c>
      <c r="D28" s="216">
        <v>-1.5299999999999999E-2</v>
      </c>
      <c r="E28" s="216">
        <v>6.2700000000000006E-2</v>
      </c>
      <c r="F28" s="216">
        <v>3.1080000000000001</v>
      </c>
      <c r="G28" s="216">
        <v>-9.8470000000000002E-2</v>
      </c>
      <c r="H28" s="216">
        <v>-1.2460000000000001E-2</v>
      </c>
      <c r="I28" s="216">
        <v>-8.1249999999999996E-5</v>
      </c>
      <c r="K28" s="25" t="s">
        <v>357</v>
      </c>
      <c r="L28" s="26" t="s">
        <v>358</v>
      </c>
      <c r="M28" s="27" t="s">
        <v>359</v>
      </c>
      <c r="N28" s="27" t="s">
        <v>360</v>
      </c>
      <c r="O28" s="27" t="s">
        <v>361</v>
      </c>
      <c r="P28" s="27" t="s">
        <v>362</v>
      </c>
      <c r="Q28" s="27" t="s">
        <v>363</v>
      </c>
      <c r="R28" s="28" t="s">
        <v>364</v>
      </c>
      <c r="S28" s="17"/>
      <c r="T28" s="29" t="s">
        <v>365</v>
      </c>
      <c r="U28" s="29" t="s">
        <v>358</v>
      </c>
      <c r="V28" s="30" t="s">
        <v>361</v>
      </c>
      <c r="W28" s="30" t="s">
        <v>362</v>
      </c>
      <c r="X28" s="30" t="s">
        <v>363</v>
      </c>
      <c r="Y28" s="29" t="s">
        <v>366</v>
      </c>
      <c r="Z28" s="31" t="s">
        <v>367</v>
      </c>
      <c r="AA28" s="23" t="s">
        <v>368</v>
      </c>
      <c r="AB28" s="23" t="s">
        <v>369</v>
      </c>
      <c r="AC28" s="22" t="s">
        <v>0</v>
      </c>
      <c r="AD28" s="22" t="s">
        <v>1</v>
      </c>
      <c r="AE28" s="22" t="s">
        <v>370</v>
      </c>
      <c r="AF28" s="22" t="s">
        <v>371</v>
      </c>
      <c r="AG28" s="22" t="s">
        <v>372</v>
      </c>
      <c r="AH28" s="32" t="s">
        <v>373</v>
      </c>
      <c r="AI28" s="210"/>
      <c r="AJ28" s="265" t="s">
        <v>365</v>
      </c>
      <c r="AK28" s="266" t="s">
        <v>498</v>
      </c>
      <c r="AL28" s="238"/>
      <c r="AM28" s="239"/>
      <c r="AN28" s="237" t="s">
        <v>499</v>
      </c>
      <c r="AO28" s="238"/>
      <c r="AP28" s="239"/>
      <c r="AQ28" s="222" t="s">
        <v>506</v>
      </c>
      <c r="AR28" s="221">
        <v>3500</v>
      </c>
      <c r="AS28" s="222" t="s">
        <v>405</v>
      </c>
      <c r="AT28" s="237" t="s">
        <v>512</v>
      </c>
      <c r="AU28" s="238"/>
      <c r="AV28" s="238"/>
      <c r="AW28" s="238"/>
      <c r="AX28" s="267" t="s">
        <v>532</v>
      </c>
      <c r="AY28" s="225" t="s">
        <v>515</v>
      </c>
      <c r="AZ28" s="268">
        <v>6.9</v>
      </c>
      <c r="BA28" s="269" t="str">
        <f>IF(MAX(AU32:AU33)&lt;=AZ28,"OK","REDIS")</f>
        <v>OK</v>
      </c>
      <c r="BB28" s="267" t="s">
        <v>536</v>
      </c>
      <c r="BC28" s="270" t="s">
        <v>515</v>
      </c>
      <c r="BD28" s="268">
        <v>8.36</v>
      </c>
      <c r="BE28" s="269" t="str">
        <f>IF(MAX(AU32:AU33)&lt;=BD28,"OK","REDIS")</f>
        <v>OK</v>
      </c>
      <c r="BG28" s="123" t="s">
        <v>390</v>
      </c>
      <c r="BH28" s="43">
        <f>1.3*((BH26-0.2)/2)*1*((BH26)/4)*BO26</f>
        <v>3.640000000000001</v>
      </c>
      <c r="BI28" s="198">
        <f>IF(BQ28=0,BT28,BM30)</f>
        <v>6.731674363247194</v>
      </c>
      <c r="BJ28" s="199">
        <f>IF(BQ28=0,0,BK30)</f>
        <v>0</v>
      </c>
      <c r="BK28" s="82">
        <f>ABS(BH28)*100000/(BH31*BH32*BH33*BH33*BH29)</f>
        <v>7.4897119341563803E-2</v>
      </c>
      <c r="BL28" s="82">
        <f>1-2.36*BK28</f>
        <v>0.82324279835390946</v>
      </c>
      <c r="BM28" s="200" t="str">
        <f>IF(BL28&gt;=0,"OK","OTRA SECCION")</f>
        <v>OK</v>
      </c>
      <c r="BN28" s="83">
        <f>+(BH29/BH30)*((1-SQRT(BL28))/1.18)</f>
        <v>4.4877829088314624E-3</v>
      </c>
      <c r="BO28" s="84">
        <f>IF(BH29&gt;280,(IF((0.85-(0.08*(BH29-280)/70))&gt;=0.65,0.65,(0.85-(0.05*(BH29-280)))/70)),0.85)</f>
        <v>0.85</v>
      </c>
      <c r="BP28" s="85">
        <f>0.5*((0.85*BH29*BO28*6000)/(BH30*(6000+BH30)))</f>
        <v>1.2142857142857143E-2</v>
      </c>
      <c r="BQ28" s="200">
        <f>IF(BN28&gt;BP28,1,0)</f>
        <v>0</v>
      </c>
      <c r="BR28" s="86">
        <f>14/BH30*BH32*BH33</f>
        <v>5.0000000000000009</v>
      </c>
      <c r="BS28" s="82">
        <f>+BN28*BH32*BH33</f>
        <v>6.731674363247194</v>
      </c>
      <c r="BT28" s="82">
        <f>IF(BS28&gt;BR28,BS28,BR28)</f>
        <v>6.731674363247194</v>
      </c>
      <c r="BU28" s="82">
        <f>+BJ32*BH32*BH33</f>
        <v>12.749999999999998</v>
      </c>
      <c r="BV28" s="87">
        <f>+BU28*BH30/(0.85*BH29*BH32*BO28)</f>
        <v>3.0882352941176467</v>
      </c>
    </row>
    <row r="29" spans="1:74" ht="15" hidden="1" x14ac:dyDescent="0.25">
      <c r="A29" s="216" t="s">
        <v>641</v>
      </c>
      <c r="B29" s="216" t="s">
        <v>351</v>
      </c>
      <c r="C29" s="216" t="s">
        <v>352</v>
      </c>
      <c r="D29" s="216">
        <v>1.0698000000000001</v>
      </c>
      <c r="E29" s="216">
        <v>4.0899999999999999E-2</v>
      </c>
      <c r="F29" s="216">
        <v>2.2572999999999999</v>
      </c>
      <c r="G29" s="216">
        <v>-4.163E-2</v>
      </c>
      <c r="H29" s="216">
        <v>0.96533000000000002</v>
      </c>
      <c r="I29" s="216">
        <v>-1.2999999999999999E-4</v>
      </c>
      <c r="K29" s="33" t="str">
        <f>+A29</f>
        <v>61</v>
      </c>
      <c r="L29" s="17" t="s">
        <v>374</v>
      </c>
      <c r="M29" s="34">
        <f t="shared" ref="M29:R29" si="24">D29+D30</f>
        <v>1.6633</v>
      </c>
      <c r="N29" s="34">
        <f t="shared" si="24"/>
        <v>6.5599999999999992E-2</v>
      </c>
      <c r="O29" s="34">
        <f t="shared" si="24"/>
        <v>3.4529999999999998</v>
      </c>
      <c r="P29" s="34">
        <f t="shared" si="24"/>
        <v>-6.6739999999999994E-2</v>
      </c>
      <c r="Q29" s="34">
        <f t="shared" si="24"/>
        <v>1.5045000000000002</v>
      </c>
      <c r="R29" s="35">
        <f t="shared" si="24"/>
        <v>-2.1677999999999999E-4</v>
      </c>
      <c r="S29" s="17"/>
      <c r="T29" s="29" t="str">
        <f>K29</f>
        <v>61</v>
      </c>
      <c r="U29" s="29" t="s">
        <v>374</v>
      </c>
      <c r="V29" s="23">
        <f t="shared" ref="V29:X33" si="25">O29</f>
        <v>3.4529999999999998</v>
      </c>
      <c r="W29" s="23">
        <f t="shared" si="25"/>
        <v>-6.6739999999999994E-2</v>
      </c>
      <c r="X29" s="23">
        <f t="shared" si="25"/>
        <v>1.5045000000000002</v>
      </c>
      <c r="Y29" s="29">
        <v>10</v>
      </c>
      <c r="Z29" s="31">
        <f>ABS(V29)/AC29/AD29</f>
        <v>3.2885714285714283</v>
      </c>
      <c r="AA29" s="23">
        <f>ABS(+W29/V29)</f>
        <v>1.932812047494932E-2</v>
      </c>
      <c r="AB29" s="23">
        <f>ABS(X29/V29)</f>
        <v>0.43570807993049532</v>
      </c>
      <c r="AC29" s="36">
        <v>0.5</v>
      </c>
      <c r="AD29" s="37">
        <v>2.1</v>
      </c>
      <c r="AE29" s="22">
        <f t="shared" ref="AE29:AF33" si="26">AC29-2*AA29</f>
        <v>0.46134375905010139</v>
      </c>
      <c r="AF29" s="22">
        <f t="shared" si="26"/>
        <v>1.2285838401390095</v>
      </c>
      <c r="AG29" s="22">
        <f>AF29*AE29</f>
        <v>0.56679948711793948</v>
      </c>
      <c r="AH29" s="38">
        <f>V29/AG29</f>
        <v>6.092101489995704</v>
      </c>
      <c r="AI29" s="210"/>
      <c r="AJ29" s="221" t="str">
        <f>+K29</f>
        <v>61</v>
      </c>
      <c r="AK29" s="222" t="s">
        <v>0</v>
      </c>
      <c r="AL29" s="222" t="s">
        <v>1</v>
      </c>
      <c r="AM29" s="222" t="s">
        <v>438</v>
      </c>
      <c r="AN29" s="222" t="s">
        <v>503</v>
      </c>
      <c r="AO29" s="222" t="s">
        <v>504</v>
      </c>
      <c r="AP29" s="222" t="s">
        <v>323</v>
      </c>
      <c r="AQ29" s="221"/>
      <c r="AR29" s="221"/>
      <c r="AS29" s="221"/>
      <c r="AT29" s="222" t="s">
        <v>0</v>
      </c>
      <c r="AU29" s="222" t="s">
        <v>1</v>
      </c>
      <c r="AV29" s="222" t="s">
        <v>513</v>
      </c>
      <c r="AW29" s="223" t="s">
        <v>520</v>
      </c>
      <c r="AX29" s="224" t="s">
        <v>530</v>
      </c>
      <c r="AY29" s="225" t="s">
        <v>178</v>
      </c>
      <c r="AZ29" s="226">
        <v>12</v>
      </c>
      <c r="BA29" s="227" t="str">
        <f>IF(AW32&lt;=AZ29,"OK","REDIS")</f>
        <v>OK</v>
      </c>
      <c r="BB29" s="224" t="s">
        <v>535</v>
      </c>
      <c r="BC29" s="228" t="s">
        <v>178</v>
      </c>
      <c r="BD29" s="226">
        <v>4.3</v>
      </c>
      <c r="BE29" s="227" t="str">
        <f>IF(AW32&lt;=BD29,"OK","REDIS")</f>
        <v>OK</v>
      </c>
      <c r="BG29" s="65" t="s">
        <v>179</v>
      </c>
      <c r="BH29" s="66">
        <v>240</v>
      </c>
      <c r="BI29" s="88" t="s">
        <v>180</v>
      </c>
      <c r="BJ29" s="74" t="s">
        <v>181</v>
      </c>
      <c r="BK29" s="74" t="s">
        <v>182</v>
      </c>
      <c r="BL29" s="74" t="s">
        <v>183</v>
      </c>
      <c r="BM29" s="74" t="s">
        <v>165</v>
      </c>
      <c r="BN29" s="74" t="s">
        <v>184</v>
      </c>
      <c r="BO29" s="74" t="s">
        <v>185</v>
      </c>
      <c r="BP29" s="74" t="s">
        <v>186</v>
      </c>
      <c r="BQ29" s="74" t="s">
        <v>187</v>
      </c>
      <c r="BR29" s="74" t="s">
        <v>188</v>
      </c>
      <c r="BS29" s="74" t="s">
        <v>189</v>
      </c>
      <c r="BT29" s="74" t="s">
        <v>190</v>
      </c>
      <c r="BU29" s="75" t="s">
        <v>191</v>
      </c>
      <c r="BV29" s="89"/>
    </row>
    <row r="30" spans="1:74" ht="15.75" hidden="1" thickBot="1" x14ac:dyDescent="0.3">
      <c r="A30" s="216" t="s">
        <v>641</v>
      </c>
      <c r="B30" s="216" t="s">
        <v>353</v>
      </c>
      <c r="C30" s="216" t="s">
        <v>352</v>
      </c>
      <c r="D30" s="216">
        <v>0.59350000000000003</v>
      </c>
      <c r="E30" s="216">
        <v>2.47E-2</v>
      </c>
      <c r="F30" s="216">
        <v>1.1957</v>
      </c>
      <c r="G30" s="216">
        <v>-2.511E-2</v>
      </c>
      <c r="H30" s="216">
        <v>0.53917000000000004</v>
      </c>
      <c r="I30" s="216">
        <v>-8.6780000000000006E-5</v>
      </c>
      <c r="K30" s="33"/>
      <c r="L30" s="17" t="s">
        <v>375</v>
      </c>
      <c r="M30" s="34">
        <f t="shared" ref="M30:R30" si="27">D29+0.25*D30+D31</f>
        <v>0.80837500000000007</v>
      </c>
      <c r="N30" s="34">
        <f t="shared" si="27"/>
        <v>4.7422899999999997E-2</v>
      </c>
      <c r="O30" s="34">
        <f t="shared" si="27"/>
        <v>2.4461249999999999</v>
      </c>
      <c r="P30" s="34">
        <f t="shared" si="27"/>
        <v>-4.8867500000000001E-2</v>
      </c>
      <c r="Q30" s="34">
        <f t="shared" si="27"/>
        <v>0.24285250000000014</v>
      </c>
      <c r="R30" s="35">
        <f t="shared" si="27"/>
        <v>-2.1694999999999988E-5</v>
      </c>
      <c r="S30" s="17"/>
      <c r="T30" s="29"/>
      <c r="U30" s="29" t="s">
        <v>375</v>
      </c>
      <c r="V30" s="23">
        <f t="shared" si="25"/>
        <v>2.4461249999999999</v>
      </c>
      <c r="W30" s="23">
        <f t="shared" si="25"/>
        <v>-4.8867500000000001E-2</v>
      </c>
      <c r="X30" s="23">
        <f t="shared" si="25"/>
        <v>0.24285250000000014</v>
      </c>
      <c r="Y30" s="29">
        <f>1.33*Y29</f>
        <v>13.3</v>
      </c>
      <c r="Z30" s="31">
        <f>ABS(V30)/AC30/AD30</f>
        <v>2.3296428571428569</v>
      </c>
      <c r="AA30" s="23">
        <f>ABS(+W30/V30)</f>
        <v>1.9977515458122541E-2</v>
      </c>
      <c r="AB30" s="23">
        <f>ABS(X30/V30)</f>
        <v>9.9280494659921364E-2</v>
      </c>
      <c r="AC30" s="36">
        <f t="shared" ref="AC30:AD33" si="28">AC29</f>
        <v>0.5</v>
      </c>
      <c r="AD30" s="37">
        <f t="shared" si="28"/>
        <v>2.1</v>
      </c>
      <c r="AE30" s="22">
        <f t="shared" si="26"/>
        <v>0.46004496908375492</v>
      </c>
      <c r="AF30" s="22">
        <f t="shared" si="26"/>
        <v>1.9014390106801573</v>
      </c>
      <c r="AG30" s="22">
        <f>AF30*AE30</f>
        <v>0.87474745088299855</v>
      </c>
      <c r="AH30" s="38">
        <f>V30/AG30</f>
        <v>2.7963785404928037</v>
      </c>
      <c r="AI30" s="210"/>
      <c r="AJ30" s="222" t="s">
        <v>539</v>
      </c>
      <c r="AK30" s="229">
        <v>300</v>
      </c>
      <c r="AL30" s="229">
        <v>150</v>
      </c>
      <c r="AM30" s="229">
        <v>4</v>
      </c>
      <c r="AN30" s="230">
        <v>360</v>
      </c>
      <c r="AO30" s="230">
        <v>500</v>
      </c>
      <c r="AP30" s="230">
        <v>20</v>
      </c>
      <c r="AQ30" s="221"/>
      <c r="AR30" s="221"/>
      <c r="AS30" s="221"/>
      <c r="AT30" s="221">
        <v>3</v>
      </c>
      <c r="AU30" s="221">
        <v>4</v>
      </c>
      <c r="AV30" s="230">
        <f>+AT30*2+(AU30-2)*2</f>
        <v>10</v>
      </c>
      <c r="AW30" s="223">
        <v>1</v>
      </c>
      <c r="AX30" s="231" t="s">
        <v>538</v>
      </c>
      <c r="AY30" s="232">
        <f>+AV30</f>
        <v>10</v>
      </c>
      <c r="AZ30" s="210"/>
      <c r="BA30" s="233"/>
      <c r="BB30" s="234" t="s">
        <v>537</v>
      </c>
      <c r="BC30" s="235">
        <v>1</v>
      </c>
      <c r="BD30" s="236" t="s">
        <v>526</v>
      </c>
      <c r="BE30" s="233"/>
      <c r="BG30" s="67" t="s">
        <v>192</v>
      </c>
      <c r="BH30" s="68">
        <v>4200</v>
      </c>
      <c r="BI30" s="90">
        <f>IF(6000*(1-BH34/BV28)&gt;BH30,BH30,6000*(1-BH34/BV28))</f>
        <v>-3714.2857142857156</v>
      </c>
      <c r="BJ30" s="91">
        <f>ABS(BH28)-BJ34</f>
        <v>-2.9547929468749987</v>
      </c>
      <c r="BK30" s="77">
        <f>IF(BQ28=0,0,+BJ30*100000/(BH31*BI30*(BH33-BH34)))</f>
        <v>0</v>
      </c>
      <c r="BL30" s="77">
        <f>+BK30*BI30/BH30</f>
        <v>0</v>
      </c>
      <c r="BM30" s="77">
        <f>+BL30+BU28</f>
        <v>12.749999999999998</v>
      </c>
      <c r="BN30" s="92">
        <f>2*BP28</f>
        <v>2.4285714285714285E-2</v>
      </c>
      <c r="BO30" s="92">
        <f>+BM30/BH32/BH33</f>
        <v>8.4999999999999989E-3</v>
      </c>
      <c r="BP30" s="79">
        <f>+BO30*BK30/BM30</f>
        <v>0</v>
      </c>
      <c r="BQ30" s="77">
        <f>6000*BH32/(6000+BH30)</f>
        <v>58.823529411764703</v>
      </c>
      <c r="BR30" s="79">
        <f>IF(6000*(1-BH34/BQ30)&gt;BH30,BH30,6000*(1-BH34/BQ30))</f>
        <v>4200</v>
      </c>
      <c r="BS30" s="92">
        <f>+BN30+BP30*BR30/BH30</f>
        <v>2.4285714285714285E-2</v>
      </c>
      <c r="BT30" s="92">
        <f>0.5*BS30</f>
        <v>1.2142857142857143E-2</v>
      </c>
      <c r="BU30" s="201" t="str">
        <f>IF(BN28&gt;BT30,"NO DUCTIL","DUCTIL")</f>
        <v>DUCTIL</v>
      </c>
      <c r="BV30" s="81"/>
    </row>
    <row r="31" spans="1:74" ht="15" hidden="1" x14ac:dyDescent="0.25">
      <c r="A31" s="216" t="s">
        <v>641</v>
      </c>
      <c r="B31" s="216" t="s">
        <v>354</v>
      </c>
      <c r="C31" s="216" t="s">
        <v>352</v>
      </c>
      <c r="D31" s="216">
        <v>-0.4098</v>
      </c>
      <c r="E31" s="216">
        <v>3.479E-4</v>
      </c>
      <c r="F31" s="216">
        <v>-0.1101</v>
      </c>
      <c r="G31" s="216">
        <v>-9.6000000000000002E-4</v>
      </c>
      <c r="H31" s="216">
        <v>-0.85726999999999998</v>
      </c>
      <c r="I31" s="216">
        <v>1.2999999999999999E-4</v>
      </c>
      <c r="K31" s="33"/>
      <c r="L31" s="17" t="s">
        <v>376</v>
      </c>
      <c r="M31" s="34">
        <f t="shared" ref="M31:R31" si="29">D29+0.25*D30-D31</f>
        <v>1.6279749999999999</v>
      </c>
      <c r="N31" s="34">
        <f t="shared" si="29"/>
        <v>4.6727100000000001E-2</v>
      </c>
      <c r="O31" s="34">
        <f t="shared" si="29"/>
        <v>2.6663250000000001</v>
      </c>
      <c r="P31" s="34">
        <f t="shared" si="29"/>
        <v>-4.6947499999999996E-2</v>
      </c>
      <c r="Q31" s="34">
        <f t="shared" si="29"/>
        <v>1.9573925000000001</v>
      </c>
      <c r="R31" s="35">
        <f t="shared" si="29"/>
        <v>-2.8169499999999999E-4</v>
      </c>
      <c r="S31" s="17"/>
      <c r="T31" s="29"/>
      <c r="U31" s="29" t="s">
        <v>376</v>
      </c>
      <c r="V31" s="23">
        <f t="shared" si="25"/>
        <v>2.6663250000000001</v>
      </c>
      <c r="W31" s="23">
        <f t="shared" si="25"/>
        <v>-4.6947499999999996E-2</v>
      </c>
      <c r="X31" s="23">
        <f t="shared" si="25"/>
        <v>1.9573925000000001</v>
      </c>
      <c r="Y31" s="29"/>
      <c r="Z31" s="31">
        <f>ABS(V31)/AC31/AD31</f>
        <v>2.5393571428571429</v>
      </c>
      <c r="AA31" s="23">
        <f>ABS(+W31/V31)</f>
        <v>1.7607568469710181E-2</v>
      </c>
      <c r="AB31" s="23">
        <f>ABS(X31/V31)</f>
        <v>0.73411624614403725</v>
      </c>
      <c r="AC31" s="36">
        <f t="shared" si="28"/>
        <v>0.5</v>
      </c>
      <c r="AD31" s="37">
        <f t="shared" si="28"/>
        <v>2.1</v>
      </c>
      <c r="AE31" s="22">
        <f t="shared" si="26"/>
        <v>0.46478486306057964</v>
      </c>
      <c r="AF31" s="22">
        <f t="shared" si="26"/>
        <v>0.63176750771192558</v>
      </c>
      <c r="AG31" s="22">
        <f>AF31*AE31</f>
        <v>0.29363597455801105</v>
      </c>
      <c r="AH31" s="38">
        <f>V31/AG31</f>
        <v>9.0803758089022502</v>
      </c>
      <c r="AI31" s="210"/>
      <c r="AJ31" s="237" t="s">
        <v>514</v>
      </c>
      <c r="AK31" s="238"/>
      <c r="AL31" s="238"/>
      <c r="AM31" s="238"/>
      <c r="AN31" s="239"/>
      <c r="AO31" s="237" t="s">
        <v>507</v>
      </c>
      <c r="AP31" s="238" t="s">
        <v>626</v>
      </c>
      <c r="AQ31" s="238">
        <f>0.6*AR28</f>
        <v>2100</v>
      </c>
      <c r="AR31" s="240" t="s">
        <v>627</v>
      </c>
      <c r="AS31" s="241">
        <f>+AR32+AR33</f>
        <v>1582.8764583333332</v>
      </c>
      <c r="AT31" s="221" t="s">
        <v>515</v>
      </c>
      <c r="AU31" s="221"/>
      <c r="AV31" s="221" t="s">
        <v>518</v>
      </c>
      <c r="AW31" s="242"/>
      <c r="AX31" s="231" t="s">
        <v>524</v>
      </c>
      <c r="AY31" s="243">
        <f>IF(BC30=(1+1/4),+(1+3/8),IF(BC30=1,(1+1/8),IF(BC30=(7/8),1,IF(BC30=(3/4),+(7/8),IF(BC30=(5/8),+(3/4),IF(BC30=(1/2),(9/16),IF(BC30=(3/8),+(7/16),"no valido")))))))</f>
        <v>1.125</v>
      </c>
      <c r="AZ31" s="244" t="s">
        <v>526</v>
      </c>
      <c r="BA31" s="227" t="s">
        <v>531</v>
      </c>
      <c r="BB31" s="245" t="s">
        <v>529</v>
      </c>
      <c r="BC31" s="246">
        <f>+AY32+3</f>
        <v>12</v>
      </c>
      <c r="BD31" s="236" t="s">
        <v>526</v>
      </c>
      <c r="BE31" s="227" t="s">
        <v>531</v>
      </c>
      <c r="BG31" s="67" t="s">
        <v>193</v>
      </c>
      <c r="BH31" s="68">
        <v>0.9</v>
      </c>
      <c r="BI31" s="202" t="s">
        <v>197</v>
      </c>
      <c r="BJ31" s="93">
        <v>0.7</v>
      </c>
      <c r="BK31" s="98" t="s">
        <v>202</v>
      </c>
      <c r="BL31" s="99"/>
      <c r="BM31" s="203"/>
      <c r="BN31" s="100"/>
      <c r="BO31" s="101"/>
      <c r="BR31" s="98" t="s">
        <v>203</v>
      </c>
      <c r="BS31" s="99"/>
      <c r="BT31" s="203"/>
      <c r="BU31" s="100"/>
      <c r="BV31" s="101"/>
    </row>
    <row r="32" spans="1:74" ht="15" hidden="1" x14ac:dyDescent="0.25">
      <c r="A32" s="216" t="s">
        <v>641</v>
      </c>
      <c r="B32" s="216" t="s">
        <v>355</v>
      </c>
      <c r="C32" s="216" t="s">
        <v>352</v>
      </c>
      <c r="D32" s="216">
        <v>-0.14860000000000001</v>
      </c>
      <c r="E32" s="216">
        <v>-7.9399999999999998E-2</v>
      </c>
      <c r="F32" s="216">
        <v>-0.24410000000000001</v>
      </c>
      <c r="G32" s="216">
        <v>0.15923999999999999</v>
      </c>
      <c r="H32" s="216">
        <v>-0.17752999999999999</v>
      </c>
      <c r="I32" s="216">
        <v>-1.6299999999999999E-3</v>
      </c>
      <c r="K32" s="33"/>
      <c r="L32" s="17" t="s">
        <v>377</v>
      </c>
      <c r="M32" s="34">
        <f t="shared" ref="M32:R32" si="30">D29+0.25*D30+D32</f>
        <v>1.0695749999999999</v>
      </c>
      <c r="N32" s="34">
        <f t="shared" si="30"/>
        <v>-3.2325E-2</v>
      </c>
      <c r="O32" s="34">
        <f t="shared" si="30"/>
        <v>2.312125</v>
      </c>
      <c r="P32" s="34">
        <f t="shared" si="30"/>
        <v>0.1113325</v>
      </c>
      <c r="Q32" s="34">
        <f t="shared" si="30"/>
        <v>0.92259250000000015</v>
      </c>
      <c r="R32" s="35">
        <f t="shared" si="30"/>
        <v>-1.7816949999999998E-3</v>
      </c>
      <c r="S32" s="17"/>
      <c r="T32" s="29"/>
      <c r="U32" s="29" t="s">
        <v>377</v>
      </c>
      <c r="V32" s="23">
        <f t="shared" si="25"/>
        <v>2.312125</v>
      </c>
      <c r="W32" s="23">
        <f t="shared" si="25"/>
        <v>0.1113325</v>
      </c>
      <c r="X32" s="23">
        <f t="shared" si="25"/>
        <v>0.92259250000000015</v>
      </c>
      <c r="Y32" s="29"/>
      <c r="Z32" s="31">
        <f>ABS(V32)/AC32/AD32</f>
        <v>2.2020238095238094</v>
      </c>
      <c r="AA32" s="23">
        <f>ABS(+W32/V32)</f>
        <v>4.8151592150078394E-2</v>
      </c>
      <c r="AB32" s="23">
        <f>ABS(X32/V32)</f>
        <v>0.3990236254527762</v>
      </c>
      <c r="AC32" s="36">
        <f t="shared" si="28"/>
        <v>0.5</v>
      </c>
      <c r="AD32" s="37">
        <f t="shared" si="28"/>
        <v>2.1</v>
      </c>
      <c r="AE32" s="22">
        <f t="shared" si="26"/>
        <v>0.40369681569984323</v>
      </c>
      <c r="AF32" s="22">
        <f t="shared" si="26"/>
        <v>1.3019527490944478</v>
      </c>
      <c r="AG32" s="22">
        <f>AF32*AE32</f>
        <v>0.52559417900108552</v>
      </c>
      <c r="AH32" s="38">
        <f>V32/AG32</f>
        <v>4.3990688869391468</v>
      </c>
      <c r="AI32" s="210"/>
      <c r="AJ32" s="222" t="s">
        <v>500</v>
      </c>
      <c r="AK32" s="247">
        <f>(MAX(V29:V33)+ABS(MAX(W29:W33))/(AL30/1000))*1000</f>
        <v>4195.2166666666672</v>
      </c>
      <c r="AL32" s="248" t="s">
        <v>502</v>
      </c>
      <c r="AM32" s="247">
        <f>+ABS(MAX(AK32:AK33))/(+AK30*2/10+AL30*2/10)/(AP30/10)</f>
        <v>55.431342592592593</v>
      </c>
      <c r="AN32" s="249" t="str">
        <f>IF(AM32&lt;=AM33,"OK","REDIS")</f>
        <v>OK</v>
      </c>
      <c r="AO32" s="248" t="s">
        <v>508</v>
      </c>
      <c r="AP32" s="247">
        <f>((AO30/10/2-AL30/10/2)/2)*((MAX(ABS(MAX(W29:W33)),ABS(MIN(W29:W33)))*100000))/(AL30/10)</f>
        <v>12083.604166666666</v>
      </c>
      <c r="AQ32" s="248" t="s">
        <v>510</v>
      </c>
      <c r="AR32" s="247">
        <f>+AP32/(AK30*AP30*AP30/6/10/10/10)</f>
        <v>604.18020833333333</v>
      </c>
      <c r="AS32" s="250" t="str">
        <f>IF(AR32&lt;=0.6*AR28*1.1,"OK","REDIS")</f>
        <v>OK</v>
      </c>
      <c r="AT32" s="247" t="s">
        <v>516</v>
      </c>
      <c r="AU32" s="251">
        <f>+AW30*(AP32/100000)/((AO30-AL30)/1000/4)/(AT30-1)</f>
        <v>0.69049166666666661</v>
      </c>
      <c r="AV32" s="247" t="s">
        <v>519</v>
      </c>
      <c r="AW32" s="252">
        <f>+AW30*(ABS(MAX(M29:M33))+ABS(MIN(M29:M33)+ABS(MAX(N29:N33))+ABS(MIN(N29:N33))))/AV30</f>
        <v>0.26304749999999999</v>
      </c>
      <c r="AX32" s="231" t="s">
        <v>525</v>
      </c>
      <c r="AY32" s="243">
        <f>IF(BC30=(1+1/4),+(11-1/4),IF(BC30=1,(9),IF(BC30=(7/8),(7-7/8),IF(BC30=(3/4),+(6-3/4),IF(BC30=(5/8),+(5-5/8),IF(BC30=(1/2),(4-1/2),IF(BC30=(3-3/8),+(7/16),"no valido")))))))</f>
        <v>9</v>
      </c>
      <c r="AZ32" s="236" t="s">
        <v>526</v>
      </c>
      <c r="BA32" s="253" t="s">
        <v>533</v>
      </c>
      <c r="BB32" s="254" t="s">
        <v>521</v>
      </c>
      <c r="BC32" s="226">
        <f>+AV30</f>
        <v>10</v>
      </c>
      <c r="BD32" s="236" t="s">
        <v>527</v>
      </c>
      <c r="BE32" s="255" t="s">
        <v>534</v>
      </c>
      <c r="BG32" s="67" t="s">
        <v>194</v>
      </c>
      <c r="BH32" s="68">
        <v>100</v>
      </c>
      <c r="BI32" s="94" t="s">
        <v>169</v>
      </c>
      <c r="BJ32" s="96">
        <f>+BJ31*BP28</f>
        <v>8.4999999999999989E-3</v>
      </c>
      <c r="BK32" s="204" t="s">
        <v>380</v>
      </c>
      <c r="BL32" s="103">
        <f>1.3*1*(BH26-0.1-BK26)*BO26</f>
        <v>16.900000000000002</v>
      </c>
      <c r="BM32" s="104" t="s">
        <v>176</v>
      </c>
      <c r="BN32" s="74" t="s">
        <v>177</v>
      </c>
      <c r="BO32" s="105" t="s">
        <v>178</v>
      </c>
      <c r="BR32" s="204" t="s">
        <v>380</v>
      </c>
      <c r="BS32" s="103">
        <f>(+BH26*BH26-BK26*BK26)*1.3*BO26</f>
        <v>32.760000000000005</v>
      </c>
      <c r="BT32" s="104" t="s">
        <v>176</v>
      </c>
      <c r="BU32" s="74" t="s">
        <v>177</v>
      </c>
      <c r="BV32" s="105" t="s">
        <v>178</v>
      </c>
    </row>
    <row r="33" spans="1:74" ht="15" hidden="1" x14ac:dyDescent="0.25">
      <c r="A33" s="216" t="s">
        <v>641</v>
      </c>
      <c r="B33" s="216" t="s">
        <v>624</v>
      </c>
      <c r="C33" s="216" t="s">
        <v>389</v>
      </c>
      <c r="D33" s="216">
        <v>1.4978</v>
      </c>
      <c r="E33" s="216">
        <v>5.7200000000000001E-2</v>
      </c>
      <c r="F33" s="216">
        <v>3.1602000000000001</v>
      </c>
      <c r="G33" s="216">
        <v>-5.8279999999999998E-2</v>
      </c>
      <c r="H33" s="216">
        <v>1.3514600000000001</v>
      </c>
      <c r="I33" s="216">
        <v>-1.8000000000000001E-4</v>
      </c>
      <c r="K33" s="39"/>
      <c r="L33" s="40" t="s">
        <v>378</v>
      </c>
      <c r="M33" s="41">
        <f t="shared" ref="M33:R33" si="31">D29+0.25*D30-D32</f>
        <v>1.3667750000000001</v>
      </c>
      <c r="N33" s="41">
        <f t="shared" si="31"/>
        <v>0.126475</v>
      </c>
      <c r="O33" s="41">
        <f t="shared" si="31"/>
        <v>2.800325</v>
      </c>
      <c r="P33" s="41">
        <f t="shared" si="31"/>
        <v>-0.20714749999999998</v>
      </c>
      <c r="Q33" s="41">
        <f t="shared" si="31"/>
        <v>1.2776525000000001</v>
      </c>
      <c r="R33" s="42">
        <f t="shared" si="31"/>
        <v>1.4783050000000001E-3</v>
      </c>
      <c r="S33" s="17"/>
      <c r="T33" s="29"/>
      <c r="U33" s="29" t="s">
        <v>378</v>
      </c>
      <c r="V33" s="23">
        <f t="shared" si="25"/>
        <v>2.800325</v>
      </c>
      <c r="W33" s="23">
        <f t="shared" si="25"/>
        <v>-0.20714749999999998</v>
      </c>
      <c r="X33" s="23">
        <f t="shared" si="25"/>
        <v>1.2776525000000001</v>
      </c>
      <c r="Y33" s="29"/>
      <c r="Z33" s="31">
        <f>ABS(V33)/AC33/AD33</f>
        <v>2.6669761904761904</v>
      </c>
      <c r="AA33" s="23">
        <f>ABS(+W33/V33)</f>
        <v>7.3972663887227369E-2</v>
      </c>
      <c r="AB33" s="23">
        <f>ABS(X33/V33)</f>
        <v>0.45625150652156449</v>
      </c>
      <c r="AC33" s="36">
        <f t="shared" si="28"/>
        <v>0.5</v>
      </c>
      <c r="AD33" s="37">
        <f t="shared" si="28"/>
        <v>2.1</v>
      </c>
      <c r="AE33" s="22">
        <f t="shared" si="26"/>
        <v>0.35205467222554526</v>
      </c>
      <c r="AF33" s="22">
        <f t="shared" si="26"/>
        <v>1.1874969869568712</v>
      </c>
      <c r="AG33" s="22">
        <f>AF33*AE33</f>
        <v>0.4180638625119239</v>
      </c>
      <c r="AH33" s="38">
        <f>V33/AG33</f>
        <v>6.6983187285653756</v>
      </c>
      <c r="AI33" s="210"/>
      <c r="AJ33" s="222" t="s">
        <v>501</v>
      </c>
      <c r="AK33" s="247">
        <f>(MAX(V29:V33)+ABS(MAX(X29:X33))/(AK30/1000))*1000</f>
        <v>9977.6416666666664</v>
      </c>
      <c r="AL33" s="248" t="s">
        <v>505</v>
      </c>
      <c r="AM33" s="247">
        <f>+AR28*0.4/3</f>
        <v>466.66666666666669</v>
      </c>
      <c r="AN33" s="247"/>
      <c r="AO33" s="248" t="s">
        <v>509</v>
      </c>
      <c r="AP33" s="247">
        <f>((AN30/10/2-AK30/10/2)/2)*(MAX(+ABS(MAX(X29:X33)),ABS(MIN(X29:X33)))*100000/(AK30/10))</f>
        <v>9786.9624999999996</v>
      </c>
      <c r="AQ33" s="248" t="s">
        <v>511</v>
      </c>
      <c r="AR33" s="247">
        <f>+AP33/(AL30*AP30*AP30/6/1000)</f>
        <v>978.69624999999996</v>
      </c>
      <c r="AS33" s="250" t="str">
        <f>IF(AR33&lt;=0.6*AR28*1.1,"OK","REDIS")</f>
        <v>OK</v>
      </c>
      <c r="AT33" s="247" t="s">
        <v>517</v>
      </c>
      <c r="AU33" s="251">
        <f>+AW30*(AP33/100000)/((AN30-AK30)/1000/4)/(AU30-1)</f>
        <v>2.1748805555555557</v>
      </c>
      <c r="AV33" s="247"/>
      <c r="AW33" s="256"/>
      <c r="AX33" s="257" t="s">
        <v>522</v>
      </c>
      <c r="AY33" s="258">
        <f>IF(AY31=(1+3/8),+AV30/3,IF(AY31=(1+1/8),+AV30/6,IF(AY31=1,+AV30/8,IF(AY31=(7/8),+AV30/11,IF(AY31=0.75,+AV30/18,IF(AY31=(9/16),+AV30/45,IF(AY31=(7/16),+AV30/84,"NO HAY DATO")))))))</f>
        <v>1.6666666666666667</v>
      </c>
      <c r="AZ33" s="259" t="s">
        <v>527</v>
      </c>
      <c r="BA33" s="260"/>
      <c r="BB33" s="261" t="s">
        <v>523</v>
      </c>
      <c r="BC33" s="262">
        <f>+BC32*BC31*2.54/100</f>
        <v>3.048</v>
      </c>
      <c r="BD33" s="263" t="s">
        <v>528</v>
      </c>
      <c r="BE33" s="264"/>
      <c r="BG33" s="67" t="s">
        <v>195</v>
      </c>
      <c r="BH33" s="68">
        <f>+BK26*100-5</f>
        <v>15</v>
      </c>
      <c r="BI33" s="94" t="s">
        <v>373</v>
      </c>
      <c r="BJ33" s="96">
        <f>+BJ32*BH30/BH29</f>
        <v>0.14874999999999999</v>
      </c>
      <c r="BK33" s="106"/>
      <c r="BL33" s="48"/>
      <c r="BM33" s="102">
        <f>SQRT(BH29)*0.53*BH32*BH33/1000</f>
        <v>12.316087040939587</v>
      </c>
      <c r="BN33" s="73">
        <f>SQRT(BH29)*0.93*BH32*BH33/1000</f>
        <v>21.611247071837383</v>
      </c>
      <c r="BO33" s="205" t="str">
        <f>IF(BL32&lt;BN33,"OK","REDIS")</f>
        <v>OK</v>
      </c>
      <c r="BR33" s="106"/>
      <c r="BS33" s="48"/>
      <c r="BT33" s="102">
        <f>SQRT(BH29)*0.53*(+BK26*100*4+0.3*2+0.4*2)*BK26*100/1000</f>
        <v>13.36705980176643</v>
      </c>
      <c r="BU33" s="73">
        <f>+BT33*0.93/0.53</f>
        <v>23.455406821967511</v>
      </c>
      <c r="BV33" s="205" t="str">
        <f>IF(BS32&lt;BU33,"OK","REDIS")</f>
        <v>REDIS</v>
      </c>
    </row>
    <row r="34" spans="1:74" ht="15.75" hidden="1" thickBot="1" x14ac:dyDescent="0.3">
      <c r="A34" s="216" t="s">
        <v>641</v>
      </c>
      <c r="B34" s="216" t="s">
        <v>625</v>
      </c>
      <c r="C34" s="216" t="s">
        <v>389</v>
      </c>
      <c r="D34" s="216">
        <v>1.0044</v>
      </c>
      <c r="E34" s="216">
        <v>0.11210000000000001</v>
      </c>
      <c r="F34" s="216">
        <v>2.0499000000000001</v>
      </c>
      <c r="G34" s="216">
        <v>-0.19253999999999999</v>
      </c>
      <c r="H34" s="216">
        <v>0.94979999999999998</v>
      </c>
      <c r="I34" s="216">
        <v>1.5299999999999999E-3</v>
      </c>
      <c r="K34" s="25" t="s">
        <v>357</v>
      </c>
      <c r="L34" s="26" t="s">
        <v>358</v>
      </c>
      <c r="M34" s="27" t="s">
        <v>359</v>
      </c>
      <c r="N34" s="27" t="s">
        <v>360</v>
      </c>
      <c r="O34" s="27" t="s">
        <v>361</v>
      </c>
      <c r="P34" s="27" t="s">
        <v>362</v>
      </c>
      <c r="Q34" s="27" t="s">
        <v>363</v>
      </c>
      <c r="R34" s="28" t="s">
        <v>364</v>
      </c>
      <c r="S34" s="17"/>
      <c r="T34" s="29" t="s">
        <v>365</v>
      </c>
      <c r="U34" s="29" t="s">
        <v>358</v>
      </c>
      <c r="V34" s="30" t="s">
        <v>361</v>
      </c>
      <c r="W34" s="30" t="s">
        <v>362</v>
      </c>
      <c r="X34" s="30" t="s">
        <v>363</v>
      </c>
      <c r="Y34" s="29" t="s">
        <v>366</v>
      </c>
      <c r="Z34" s="31" t="s">
        <v>367</v>
      </c>
      <c r="AA34" s="23" t="s">
        <v>368</v>
      </c>
      <c r="AB34" s="23" t="s">
        <v>369</v>
      </c>
      <c r="AC34" s="22" t="s">
        <v>0</v>
      </c>
      <c r="AD34" s="22" t="s">
        <v>1</v>
      </c>
      <c r="AE34" s="22" t="s">
        <v>370</v>
      </c>
      <c r="AF34" s="22" t="s">
        <v>371</v>
      </c>
      <c r="AG34" s="22" t="s">
        <v>372</v>
      </c>
      <c r="AH34" s="32" t="s">
        <v>373</v>
      </c>
      <c r="AI34" s="210"/>
      <c r="AJ34" s="265" t="s">
        <v>365</v>
      </c>
      <c r="AK34" s="266" t="s">
        <v>498</v>
      </c>
      <c r="AL34" s="238"/>
      <c r="AM34" s="239"/>
      <c r="AN34" s="237" t="s">
        <v>499</v>
      </c>
      <c r="AO34" s="238"/>
      <c r="AP34" s="239"/>
      <c r="AQ34" s="222" t="s">
        <v>506</v>
      </c>
      <c r="AR34" s="221">
        <v>3500</v>
      </c>
      <c r="AS34" s="222" t="s">
        <v>405</v>
      </c>
      <c r="AT34" s="237" t="s">
        <v>512</v>
      </c>
      <c r="AU34" s="238"/>
      <c r="AV34" s="238"/>
      <c r="AW34" s="238"/>
      <c r="AX34" s="267" t="s">
        <v>532</v>
      </c>
      <c r="AY34" s="225" t="s">
        <v>515</v>
      </c>
      <c r="AZ34" s="268">
        <v>6.9</v>
      </c>
      <c r="BA34" s="269" t="str">
        <f>IF(MAX(AU38:AU39)&lt;=AZ34,"OK","REDIS")</f>
        <v>OK</v>
      </c>
      <c r="BB34" s="267" t="s">
        <v>536</v>
      </c>
      <c r="BC34" s="270" t="s">
        <v>515</v>
      </c>
      <c r="BD34" s="268">
        <v>8.36</v>
      </c>
      <c r="BE34" s="269" t="str">
        <f>IF(MAX(AU38:AU39)&lt;=BD34,"OK","REDIS")</f>
        <v>OK</v>
      </c>
      <c r="BG34" s="71" t="s">
        <v>196</v>
      </c>
      <c r="BH34" s="72">
        <v>5</v>
      </c>
      <c r="BI34" s="95" t="s">
        <v>198</v>
      </c>
      <c r="BJ34" s="97">
        <f>+BH31*BH29*BH32*BH33*BH33*BJ33*(1-0.59*BJ33)/100000</f>
        <v>6.5947929468749997</v>
      </c>
      <c r="BK34" s="107"/>
      <c r="BL34" s="80"/>
      <c r="BM34" s="206"/>
      <c r="BN34" s="78"/>
      <c r="BO34" s="108"/>
      <c r="BR34" s="107"/>
      <c r="BS34" s="80"/>
      <c r="BT34" s="206"/>
      <c r="BU34" s="78"/>
      <c r="BV34" s="108"/>
    </row>
    <row r="35" spans="1:74" ht="15" hidden="1" x14ac:dyDescent="0.25">
      <c r="A35" s="216" t="s">
        <v>642</v>
      </c>
      <c r="B35" s="216" t="s">
        <v>351</v>
      </c>
      <c r="C35" s="216" t="s">
        <v>352</v>
      </c>
      <c r="D35" s="216">
        <v>1.4268000000000001</v>
      </c>
      <c r="E35" s="216">
        <v>-1.77E-2</v>
      </c>
      <c r="F35" s="216">
        <v>3.6789000000000001</v>
      </c>
      <c r="G35" s="216">
        <v>1.7760000000000001E-2</v>
      </c>
      <c r="H35" s="216">
        <v>1.2163900000000001</v>
      </c>
      <c r="I35" s="216">
        <v>-1.1E-4</v>
      </c>
      <c r="K35" s="33" t="str">
        <f>+A35</f>
        <v>62</v>
      </c>
      <c r="L35" s="17" t="s">
        <v>374</v>
      </c>
      <c r="M35" s="34">
        <f t="shared" ref="M35:R35" si="32">D35+D36</f>
        <v>2.2000999999999999</v>
      </c>
      <c r="N35" s="34">
        <f t="shared" si="32"/>
        <v>-2.86E-2</v>
      </c>
      <c r="O35" s="34">
        <f t="shared" si="32"/>
        <v>5.6571999999999996</v>
      </c>
      <c r="P35" s="34">
        <f t="shared" si="32"/>
        <v>2.8799999999999999E-2</v>
      </c>
      <c r="Q35" s="34">
        <f t="shared" si="32"/>
        <v>1.88487</v>
      </c>
      <c r="R35" s="35">
        <f t="shared" si="32"/>
        <v>-1.8644000000000001E-4</v>
      </c>
      <c r="S35" s="17"/>
      <c r="T35" s="29" t="str">
        <f>K35</f>
        <v>62</v>
      </c>
      <c r="U35" s="29" t="s">
        <v>374</v>
      </c>
      <c r="V35" s="23">
        <f t="shared" ref="V35:X39" si="33">O35</f>
        <v>5.6571999999999996</v>
      </c>
      <c r="W35" s="23">
        <f t="shared" si="33"/>
        <v>2.8799999999999999E-2</v>
      </c>
      <c r="X35" s="23">
        <f t="shared" si="33"/>
        <v>1.88487</v>
      </c>
      <c r="Y35" s="29">
        <v>10</v>
      </c>
      <c r="Z35" s="31">
        <f>ABS(V35)/AC35/AD35</f>
        <v>7.80303448275862</v>
      </c>
      <c r="AA35" s="23">
        <f>ABS(+W35/V35)</f>
        <v>5.0908576681043625E-3</v>
      </c>
      <c r="AB35" s="23">
        <f>ABS(X35/V35)</f>
        <v>0.33318072544721772</v>
      </c>
      <c r="AC35" s="36">
        <v>0.5</v>
      </c>
      <c r="AD35" s="37">
        <v>1.45</v>
      </c>
      <c r="AE35" s="22">
        <f t="shared" ref="AE35:AF39" si="34">AC35-2*AA35</f>
        <v>0.48981828466379129</v>
      </c>
      <c r="AF35" s="22">
        <f t="shared" si="34"/>
        <v>0.78363854910556452</v>
      </c>
      <c r="AG35" s="22">
        <f>AF35*AE35</f>
        <v>0.3838404899193098</v>
      </c>
      <c r="AH35" s="38">
        <f>V35/AG35</f>
        <v>14.738413868712092</v>
      </c>
      <c r="AI35" s="210"/>
      <c r="AJ35" s="221" t="str">
        <f>+K35</f>
        <v>62</v>
      </c>
      <c r="AK35" s="222" t="s">
        <v>0</v>
      </c>
      <c r="AL35" s="222" t="s">
        <v>1</v>
      </c>
      <c r="AM35" s="222" t="s">
        <v>438</v>
      </c>
      <c r="AN35" s="222" t="s">
        <v>503</v>
      </c>
      <c r="AO35" s="222" t="s">
        <v>504</v>
      </c>
      <c r="AP35" s="222" t="s">
        <v>323</v>
      </c>
      <c r="AQ35" s="221"/>
      <c r="AR35" s="221"/>
      <c r="AS35" s="221"/>
      <c r="AT35" s="222" t="s">
        <v>0</v>
      </c>
      <c r="AU35" s="222" t="s">
        <v>1</v>
      </c>
      <c r="AV35" s="222" t="s">
        <v>513</v>
      </c>
      <c r="AW35" s="223" t="s">
        <v>520</v>
      </c>
      <c r="AX35" s="224" t="s">
        <v>530</v>
      </c>
      <c r="AY35" s="225" t="s">
        <v>178</v>
      </c>
      <c r="AZ35" s="226">
        <v>12</v>
      </c>
      <c r="BA35" s="227" t="str">
        <f>IF(AW38&lt;=AZ35,"OK","REDIS")</f>
        <v>OK</v>
      </c>
      <c r="BB35" s="224" t="s">
        <v>535</v>
      </c>
      <c r="BC35" s="228" t="s">
        <v>178</v>
      </c>
      <c r="BD35" s="226">
        <v>4.3</v>
      </c>
      <c r="BE35" s="227" t="str">
        <f>IF(AW38&lt;=BD35,"OK","REDIS")</f>
        <v>OK</v>
      </c>
      <c r="BI35" s="69"/>
      <c r="BJ35" s="45"/>
      <c r="BK35" s="63"/>
      <c r="BL35" s="63"/>
      <c r="BM35" s="63"/>
      <c r="BN35" s="70"/>
      <c r="BO35" s="70"/>
      <c r="BP35" s="64"/>
      <c r="BQ35" s="63"/>
      <c r="BR35" s="44"/>
      <c r="BS35" s="70"/>
      <c r="BT35" s="70"/>
      <c r="BU35" s="127"/>
    </row>
    <row r="36" spans="1:74" ht="15" hidden="1" x14ac:dyDescent="0.25">
      <c r="A36" s="216" t="s">
        <v>642</v>
      </c>
      <c r="B36" s="216" t="s">
        <v>353</v>
      </c>
      <c r="C36" s="216" t="s">
        <v>352</v>
      </c>
      <c r="D36" s="216">
        <v>0.77329999999999999</v>
      </c>
      <c r="E36" s="216">
        <v>-1.09E-2</v>
      </c>
      <c r="F36" s="216">
        <v>1.9782999999999999</v>
      </c>
      <c r="G36" s="216">
        <v>1.1039999999999999E-2</v>
      </c>
      <c r="H36" s="216">
        <v>0.66847999999999996</v>
      </c>
      <c r="I36" s="216">
        <v>-7.6440000000000007E-5</v>
      </c>
      <c r="K36" s="33"/>
      <c r="L36" s="17" t="s">
        <v>375</v>
      </c>
      <c r="M36" s="34">
        <f t="shared" ref="M36:R36" si="35">D35+0.25*D36+D37</f>
        <v>0.1377250000000001</v>
      </c>
      <c r="N36" s="34">
        <f t="shared" si="35"/>
        <v>-1.9743399999999998E-2</v>
      </c>
      <c r="O36" s="34">
        <f t="shared" si="35"/>
        <v>3.6407749999999997</v>
      </c>
      <c r="P36" s="34">
        <f t="shared" si="35"/>
        <v>1.9179999999999999E-2</v>
      </c>
      <c r="Q36" s="34">
        <f t="shared" si="35"/>
        <v>-1.4497699999999998</v>
      </c>
      <c r="R36" s="35">
        <f t="shared" si="35"/>
        <v>5.0889999999999996E-5</v>
      </c>
      <c r="S36" s="17"/>
      <c r="T36" s="29"/>
      <c r="U36" s="29" t="s">
        <v>375</v>
      </c>
      <c r="V36" s="23">
        <f t="shared" si="33"/>
        <v>3.6407749999999997</v>
      </c>
      <c r="W36" s="23">
        <f t="shared" si="33"/>
        <v>1.9179999999999999E-2</v>
      </c>
      <c r="X36" s="23">
        <f t="shared" si="33"/>
        <v>-1.4497699999999998</v>
      </c>
      <c r="Y36" s="29">
        <f>1.33*Y35</f>
        <v>13.3</v>
      </c>
      <c r="Z36" s="31">
        <f>ABS(V36)/AC36/AD36</f>
        <v>5.0217586206896545</v>
      </c>
      <c r="AA36" s="23">
        <f>ABS(+W36/V36)</f>
        <v>5.2681091251175916E-3</v>
      </c>
      <c r="AB36" s="23">
        <f>ABS(X36/V36)</f>
        <v>0.39820367916171689</v>
      </c>
      <c r="AC36" s="36">
        <f t="shared" ref="AC36:AD39" si="36">AC35</f>
        <v>0.5</v>
      </c>
      <c r="AD36" s="37">
        <f t="shared" si="36"/>
        <v>1.45</v>
      </c>
      <c r="AE36" s="22">
        <f t="shared" si="34"/>
        <v>0.48946378174976479</v>
      </c>
      <c r="AF36" s="22">
        <f t="shared" si="34"/>
        <v>0.65359264167656617</v>
      </c>
      <c r="AG36" s="22">
        <f>AF36*AE36</f>
        <v>0.31990992611883101</v>
      </c>
      <c r="AH36" s="38">
        <f>V36/AG36</f>
        <v>11.380625303410024</v>
      </c>
      <c r="AI36" s="210"/>
      <c r="AJ36" s="222" t="s">
        <v>539</v>
      </c>
      <c r="AK36" s="229">
        <v>300</v>
      </c>
      <c r="AL36" s="229">
        <v>150</v>
      </c>
      <c r="AM36" s="229">
        <v>4</v>
      </c>
      <c r="AN36" s="230">
        <v>360</v>
      </c>
      <c r="AO36" s="230">
        <v>500</v>
      </c>
      <c r="AP36" s="230">
        <v>20</v>
      </c>
      <c r="AQ36" s="221"/>
      <c r="AR36" s="221"/>
      <c r="AS36" s="221"/>
      <c r="AT36" s="221">
        <v>3</v>
      </c>
      <c r="AU36" s="221">
        <v>4</v>
      </c>
      <c r="AV36" s="230">
        <f>+AT36*2+(AU36-2)*2</f>
        <v>10</v>
      </c>
      <c r="AW36" s="223">
        <v>1.2</v>
      </c>
      <c r="AX36" s="231" t="s">
        <v>538</v>
      </c>
      <c r="AY36" s="232">
        <f>+AV36</f>
        <v>10</v>
      </c>
      <c r="AZ36" s="210"/>
      <c r="BA36" s="233"/>
      <c r="BB36" s="234" t="s">
        <v>537</v>
      </c>
      <c r="BC36" s="235">
        <v>1</v>
      </c>
      <c r="BD36" s="236" t="s">
        <v>526</v>
      </c>
      <c r="BE36" s="233"/>
      <c r="BG36" s="109" t="s">
        <v>199</v>
      </c>
      <c r="BH36" s="142">
        <v>1.75</v>
      </c>
      <c r="BJ36" s="109" t="s">
        <v>385</v>
      </c>
      <c r="BK36" s="142">
        <v>0.4</v>
      </c>
      <c r="BM36" s="110" t="s">
        <v>200</v>
      </c>
      <c r="BN36" s="110"/>
      <c r="BO36" s="110">
        <v>14.17</v>
      </c>
      <c r="BP36" s="110" t="s">
        <v>386</v>
      </c>
      <c r="BQ36" t="s">
        <v>201</v>
      </c>
    </row>
    <row r="37" spans="1:74" ht="15" hidden="1" x14ac:dyDescent="0.25">
      <c r="A37" s="216" t="s">
        <v>642</v>
      </c>
      <c r="B37" s="216" t="s">
        <v>354</v>
      </c>
      <c r="C37" s="216" t="s">
        <v>352</v>
      </c>
      <c r="D37" s="216">
        <v>-1.4823999999999999</v>
      </c>
      <c r="E37" s="216">
        <v>6.8159999999999998E-4</v>
      </c>
      <c r="F37" s="216">
        <v>-0.53269999999999995</v>
      </c>
      <c r="G37" s="216">
        <v>-1.34E-3</v>
      </c>
      <c r="H37" s="216">
        <v>-2.8332799999999998</v>
      </c>
      <c r="I37" s="216">
        <v>1.8000000000000001E-4</v>
      </c>
      <c r="K37" s="33"/>
      <c r="L37" s="17" t="s">
        <v>376</v>
      </c>
      <c r="M37" s="34">
        <f t="shared" ref="M37:R37" si="37">D35+0.25*D36-D37</f>
        <v>3.102525</v>
      </c>
      <c r="N37" s="34">
        <f t="shared" si="37"/>
        <v>-2.11066E-2</v>
      </c>
      <c r="O37" s="34">
        <f t="shared" si="37"/>
        <v>4.706175</v>
      </c>
      <c r="P37" s="34">
        <f t="shared" si="37"/>
        <v>2.1860000000000001E-2</v>
      </c>
      <c r="Q37" s="34">
        <f t="shared" si="37"/>
        <v>4.2167899999999996</v>
      </c>
      <c r="R37" s="35">
        <f t="shared" si="37"/>
        <v>-3.0911000000000003E-4</v>
      </c>
      <c r="S37" s="17"/>
      <c r="T37" s="29"/>
      <c r="U37" s="29" t="s">
        <v>376</v>
      </c>
      <c r="V37" s="23">
        <f t="shared" si="33"/>
        <v>4.706175</v>
      </c>
      <c r="W37" s="23">
        <f t="shared" si="33"/>
        <v>2.1860000000000001E-2</v>
      </c>
      <c r="X37" s="23">
        <f t="shared" si="33"/>
        <v>4.2167899999999996</v>
      </c>
      <c r="Y37" s="29"/>
      <c r="Z37" s="31">
        <f>ABS(V37)/AC37/AD37</f>
        <v>6.4912758620689655</v>
      </c>
      <c r="AA37" s="23">
        <f>ABS(+W37/V37)</f>
        <v>4.6449611414790147E-3</v>
      </c>
      <c r="AB37" s="23">
        <f>ABS(X37/V37)</f>
        <v>0.89601215424415781</v>
      </c>
      <c r="AC37" s="36">
        <f t="shared" si="36"/>
        <v>0.5</v>
      </c>
      <c r="AD37" s="37">
        <f t="shared" si="36"/>
        <v>1.45</v>
      </c>
      <c r="AE37" s="22">
        <f t="shared" si="34"/>
        <v>0.49071007771704195</v>
      </c>
      <c r="AF37" s="22">
        <f t="shared" si="34"/>
        <v>-0.34202430848831566</v>
      </c>
      <c r="AG37" s="22">
        <f>AF37*AE37</f>
        <v>-0.1678347749994189</v>
      </c>
      <c r="AH37" s="38">
        <f>V37/AG37</f>
        <v>-28.040523783085444</v>
      </c>
      <c r="AI37" s="210"/>
      <c r="AJ37" s="237" t="s">
        <v>514</v>
      </c>
      <c r="AK37" s="238"/>
      <c r="AL37" s="238"/>
      <c r="AM37" s="238"/>
      <c r="AN37" s="239"/>
      <c r="AO37" s="237" t="s">
        <v>507</v>
      </c>
      <c r="AP37" s="238" t="s">
        <v>626</v>
      </c>
      <c r="AQ37" s="238">
        <f>0.6*AR34</f>
        <v>2100</v>
      </c>
      <c r="AR37" s="240" t="s">
        <v>627</v>
      </c>
      <c r="AS37" s="241">
        <f>+AR38+AR39</f>
        <v>2712.4658333333327</v>
      </c>
      <c r="AT37" s="221" t="s">
        <v>515</v>
      </c>
      <c r="AU37" s="221"/>
      <c r="AV37" s="221" t="s">
        <v>518</v>
      </c>
      <c r="AW37" s="242"/>
      <c r="AX37" s="231" t="s">
        <v>524</v>
      </c>
      <c r="AY37" s="243">
        <f>IF(BC36=(1+1/4),+(1+3/8),IF(BC36=1,(1+1/8),IF(BC36=(7/8),1,IF(BC36=(3/4),+(7/8),IF(BC36=(5/8),+(3/4),IF(BC36=(1/2),(9/16),IF(BC36=(3/8),+(7/16),"no valido")))))))</f>
        <v>1.125</v>
      </c>
      <c r="AZ37" s="244" t="s">
        <v>526</v>
      </c>
      <c r="BA37" s="227" t="s">
        <v>531</v>
      </c>
      <c r="BB37" s="245" t="s">
        <v>529</v>
      </c>
      <c r="BC37" s="246">
        <f>+AY38+3</f>
        <v>12</v>
      </c>
      <c r="BD37" s="236" t="s">
        <v>526</v>
      </c>
      <c r="BE37" s="227" t="s">
        <v>531</v>
      </c>
      <c r="BG37" s="122" t="s">
        <v>164</v>
      </c>
      <c r="BH37" s="193">
        <f>+G34</f>
        <v>-0.19253999999999999</v>
      </c>
      <c r="BI37" s="196" t="s">
        <v>165</v>
      </c>
      <c r="BJ37" s="197" t="s">
        <v>166</v>
      </c>
      <c r="BK37" s="74" t="s">
        <v>2</v>
      </c>
      <c r="BL37" s="74" t="s">
        <v>167</v>
      </c>
      <c r="BM37" s="75" t="s">
        <v>168</v>
      </c>
      <c r="BN37" s="74" t="s">
        <v>169</v>
      </c>
      <c r="BO37" s="74" t="s">
        <v>170</v>
      </c>
      <c r="BP37" s="74" t="s">
        <v>171</v>
      </c>
      <c r="BQ37" s="75" t="s">
        <v>172</v>
      </c>
      <c r="BR37" s="74" t="s">
        <v>173</v>
      </c>
      <c r="BS37" s="74" t="s">
        <v>174</v>
      </c>
      <c r="BT37" s="74" t="s">
        <v>165</v>
      </c>
      <c r="BU37" s="74" t="s">
        <v>175</v>
      </c>
      <c r="BV37" s="76" t="s">
        <v>407</v>
      </c>
    </row>
    <row r="38" spans="1:74" ht="15" hidden="1" x14ac:dyDescent="0.25">
      <c r="A38" s="216" t="s">
        <v>642</v>
      </c>
      <c r="B38" s="216" t="s">
        <v>355</v>
      </c>
      <c r="C38" s="216" t="s">
        <v>352</v>
      </c>
      <c r="D38" s="216">
        <v>-2.6200000000000001E-2</v>
      </c>
      <c r="E38" s="216">
        <v>-0.1071</v>
      </c>
      <c r="F38" s="216">
        <v>-0.28039999999999998</v>
      </c>
      <c r="G38" s="216">
        <v>0.18659000000000001</v>
      </c>
      <c r="H38" s="216">
        <v>0.15403</v>
      </c>
      <c r="I38" s="216">
        <v>-1.64E-3</v>
      </c>
      <c r="K38" s="33"/>
      <c r="L38" s="17" t="s">
        <v>377</v>
      </c>
      <c r="M38" s="34">
        <f t="shared" ref="M38:R38" si="38">D35+0.25*D36+D38</f>
        <v>1.593925</v>
      </c>
      <c r="N38" s="34">
        <f t="shared" si="38"/>
        <v>-0.127525</v>
      </c>
      <c r="O38" s="34">
        <f t="shared" si="38"/>
        <v>3.8930749999999996</v>
      </c>
      <c r="P38" s="34">
        <f t="shared" si="38"/>
        <v>0.20711000000000002</v>
      </c>
      <c r="Q38" s="34">
        <f t="shared" si="38"/>
        <v>1.5375399999999999</v>
      </c>
      <c r="R38" s="35">
        <f t="shared" si="38"/>
        <v>-1.76911E-3</v>
      </c>
      <c r="S38" s="17"/>
      <c r="T38" s="29"/>
      <c r="U38" s="29" t="s">
        <v>377</v>
      </c>
      <c r="V38" s="23">
        <f t="shared" si="33"/>
        <v>3.8930749999999996</v>
      </c>
      <c r="W38" s="23">
        <f t="shared" si="33"/>
        <v>0.20711000000000002</v>
      </c>
      <c r="X38" s="23">
        <f t="shared" si="33"/>
        <v>1.5375399999999999</v>
      </c>
      <c r="Y38" s="29"/>
      <c r="Z38" s="31">
        <f>ABS(V38)/AC38/AD38</f>
        <v>5.3697586206896544</v>
      </c>
      <c r="AA38" s="23">
        <f>ABS(+W38/V38)</f>
        <v>5.3199591582489429E-2</v>
      </c>
      <c r="AB38" s="23">
        <f>ABS(X38/V38)</f>
        <v>0.39494230139414216</v>
      </c>
      <c r="AC38" s="36">
        <f t="shared" si="36"/>
        <v>0.5</v>
      </c>
      <c r="AD38" s="37">
        <f t="shared" si="36"/>
        <v>1.45</v>
      </c>
      <c r="AE38" s="22">
        <f t="shared" si="34"/>
        <v>0.39360081683502113</v>
      </c>
      <c r="AF38" s="22">
        <f t="shared" si="34"/>
        <v>0.66011539721171564</v>
      </c>
      <c r="AG38" s="22">
        <f>AF38*AE38</f>
        <v>0.25982195954790571</v>
      </c>
      <c r="AH38" s="38">
        <f>V38/AG38</f>
        <v>14.983625736539018</v>
      </c>
      <c r="AI38" s="210"/>
      <c r="AJ38" s="222" t="s">
        <v>500</v>
      </c>
      <c r="AK38" s="247">
        <f>(MAX(V35:V39)+ABS(MAX(W35:W39))/(AL36/1000))*1000</f>
        <v>7037.9333333333334</v>
      </c>
      <c r="AL38" s="248" t="s">
        <v>502</v>
      </c>
      <c r="AM38" s="247">
        <f>+ABS(MAX(AK38:AK39))/(+AK36*2/10+AL36*2/10)/(AP36/10)</f>
        <v>109.51759259259258</v>
      </c>
      <c r="AN38" s="249" t="str">
        <f>IF(AM38&lt;=AM39,"OK","REDIS")</f>
        <v>OK</v>
      </c>
      <c r="AO38" s="248" t="s">
        <v>508</v>
      </c>
      <c r="AP38" s="247">
        <f>((AO36/10/2-AL36/10/2)/2)*((MAX(ABS(MAX(W35:W39)),ABS(MIN(W35:W39)))*100000))/(AL36/10)</f>
        <v>12081.416666666666</v>
      </c>
      <c r="AQ38" s="248" t="s">
        <v>510</v>
      </c>
      <c r="AR38" s="247">
        <f>+AP38/(AK36*AP36*AP36/6/10/10/10)</f>
        <v>604.07083333333333</v>
      </c>
      <c r="AS38" s="250" t="str">
        <f>IF(AR38&lt;=0.6*AR34*1.1,"OK","REDIS")</f>
        <v>OK</v>
      </c>
      <c r="AT38" s="247" t="s">
        <v>516</v>
      </c>
      <c r="AU38" s="251">
        <f>+AW36*(AP38/100000)/((AO36-AL36)/1000/4)/(AT36-1)</f>
        <v>0.82844000000000007</v>
      </c>
      <c r="AV38" s="247" t="s">
        <v>519</v>
      </c>
      <c r="AW38" s="252">
        <f>+AW36*(ABS(MAX(M35:M39))+ABS(MIN(M35:M39)+ABS(MAX(N35:N39))+ABS(MIN(N35:N39))))/AV36</f>
        <v>0.41453400000000001</v>
      </c>
      <c r="AX38" s="231" t="s">
        <v>525</v>
      </c>
      <c r="AY38" s="243">
        <f>IF(BC36=(1+1/4),+(11-1/4),IF(BC36=1,(9),IF(BC36=(7/8),(7-7/8),IF(BC36=(3/4),+(6-3/4),IF(BC36=(5/8),+(5-5/8),IF(BC36=(1/2),(4-1/2),IF(BC36=(3-3/8),+(7/16),"no valido")))))))</f>
        <v>9</v>
      </c>
      <c r="AZ38" s="236" t="s">
        <v>526</v>
      </c>
      <c r="BA38" s="253" t="s">
        <v>533</v>
      </c>
      <c r="BB38" s="254" t="s">
        <v>521</v>
      </c>
      <c r="BC38" s="226">
        <f>+AV36</f>
        <v>10</v>
      </c>
      <c r="BD38" s="236" t="s">
        <v>527</v>
      </c>
      <c r="BE38" s="255" t="s">
        <v>534</v>
      </c>
      <c r="BG38" s="123" t="s">
        <v>390</v>
      </c>
      <c r="BH38" s="43">
        <f>1.3*((BH36-0.2)/2)*1*((BH36)/4)*BO36</f>
        <v>6.2458703125000001</v>
      </c>
      <c r="BI38" s="198">
        <f>IF(BQ38=0,BT38,BM40)</f>
        <v>11.666666666666668</v>
      </c>
      <c r="BJ38" s="199">
        <f>IF(BQ38=0,0,BK40)</f>
        <v>0</v>
      </c>
      <c r="BK38" s="82">
        <f>ABS(BH38)*100000/(BH41*BH42*BH43*BH43*BH39)</f>
        <v>2.3604952050264551E-2</v>
      </c>
      <c r="BL38" s="82">
        <f>1-2.36*BK38</f>
        <v>0.94429231316137563</v>
      </c>
      <c r="BM38" s="200" t="str">
        <f>IF(BL38&gt;=0,"OK","OTRA SECCION")</f>
        <v>OK</v>
      </c>
      <c r="BN38" s="83">
        <f>+(BH39/BH40)*((1-SQRT(BL38))/1.18)</f>
        <v>1.3681819972921616E-3</v>
      </c>
      <c r="BO38" s="84">
        <f>IF(BH39&gt;280,(IF((0.85-(0.08*(BH39-280)/70))&gt;=0.65,0.65,(0.85-(0.05*(BH39-280)))/70)),0.85)</f>
        <v>0.85</v>
      </c>
      <c r="BP38" s="85">
        <f>0.5*((0.85*BH39*BO38*6000)/(BH40*(6000+BH40)))</f>
        <v>1.2142857142857143E-2</v>
      </c>
      <c r="BQ38" s="200">
        <f>IF(BN38&gt;BP38,1,0)</f>
        <v>0</v>
      </c>
      <c r="BR38" s="86">
        <f>14/BH40*BH42*BH43</f>
        <v>11.666666666666668</v>
      </c>
      <c r="BS38" s="82">
        <f>+BN38*BH42*BH43</f>
        <v>4.7886369905225656</v>
      </c>
      <c r="BT38" s="82">
        <f>IF(BS38&gt;BR38,BS38,BR38)</f>
        <v>11.666666666666668</v>
      </c>
      <c r="BU38" s="82">
        <f>+BJ42*BH42*BH43</f>
        <v>29.749999999999996</v>
      </c>
      <c r="BV38" s="87">
        <f>+BU38*BH40/(0.85*BH39*BH42*BO38)</f>
        <v>7.2058823529411757</v>
      </c>
    </row>
    <row r="39" spans="1:74" ht="15" hidden="1" x14ac:dyDescent="0.25">
      <c r="A39" s="216" t="s">
        <v>642</v>
      </c>
      <c r="B39" s="216" t="s">
        <v>624</v>
      </c>
      <c r="C39" s="216" t="s">
        <v>389</v>
      </c>
      <c r="D39" s="216">
        <v>1.9975000000000001</v>
      </c>
      <c r="E39" s="216">
        <v>-2.4799999999999999E-2</v>
      </c>
      <c r="F39" s="216">
        <v>5.1505000000000001</v>
      </c>
      <c r="G39" s="216">
        <v>2.486E-2</v>
      </c>
      <c r="H39" s="216">
        <v>1.7029399999999999</v>
      </c>
      <c r="I39" s="216">
        <v>-1.6000000000000001E-4</v>
      </c>
      <c r="K39" s="39"/>
      <c r="L39" s="40" t="s">
        <v>378</v>
      </c>
      <c r="M39" s="41">
        <f t="shared" ref="M39:R39" si="39">D35+0.25*D36-D38</f>
        <v>1.646325</v>
      </c>
      <c r="N39" s="41">
        <f t="shared" si="39"/>
        <v>8.6675000000000002E-2</v>
      </c>
      <c r="O39" s="41">
        <f t="shared" si="39"/>
        <v>4.453875</v>
      </c>
      <c r="P39" s="41">
        <f t="shared" si="39"/>
        <v>-0.16607</v>
      </c>
      <c r="Q39" s="41">
        <f t="shared" si="39"/>
        <v>1.2294800000000001</v>
      </c>
      <c r="R39" s="42">
        <f t="shared" si="39"/>
        <v>1.51089E-3</v>
      </c>
      <c r="S39" s="17"/>
      <c r="T39" s="29"/>
      <c r="U39" s="29" t="s">
        <v>378</v>
      </c>
      <c r="V39" s="23">
        <f t="shared" si="33"/>
        <v>4.453875</v>
      </c>
      <c r="W39" s="23">
        <f t="shared" si="33"/>
        <v>-0.16607</v>
      </c>
      <c r="X39" s="23">
        <f t="shared" si="33"/>
        <v>1.2294800000000001</v>
      </c>
      <c r="Y39" s="29"/>
      <c r="Z39" s="31">
        <f>ABS(V39)/AC39/AD39</f>
        <v>6.1432758620689656</v>
      </c>
      <c r="AA39" s="23">
        <f>ABS(+W39/V39)</f>
        <v>3.7286632426819344E-2</v>
      </c>
      <c r="AB39" s="23">
        <f>ABS(X39/V39)</f>
        <v>0.27604726221548653</v>
      </c>
      <c r="AC39" s="36">
        <f t="shared" si="36"/>
        <v>0.5</v>
      </c>
      <c r="AD39" s="37">
        <f t="shared" si="36"/>
        <v>1.45</v>
      </c>
      <c r="AE39" s="22">
        <f t="shared" si="34"/>
        <v>0.42542673514636131</v>
      </c>
      <c r="AF39" s="22">
        <f t="shared" si="34"/>
        <v>0.89790547556902689</v>
      </c>
      <c r="AG39" s="22">
        <f>AF39*AE39</f>
        <v>0.38199299494137201</v>
      </c>
      <c r="AH39" s="38">
        <f>V39/AG39</f>
        <v>11.659572450231915</v>
      </c>
      <c r="AI39" s="210"/>
      <c r="AJ39" s="222" t="s">
        <v>501</v>
      </c>
      <c r="AK39" s="247">
        <f>(MAX(V35:V39)+ABS(MAX(X35:X39))/(AK36/1000))*1000</f>
        <v>19713.166666666664</v>
      </c>
      <c r="AL39" s="248" t="s">
        <v>505</v>
      </c>
      <c r="AM39" s="247">
        <f>+AR34*0.4/3</f>
        <v>466.66666666666669</v>
      </c>
      <c r="AN39" s="247"/>
      <c r="AO39" s="248" t="s">
        <v>509</v>
      </c>
      <c r="AP39" s="247">
        <f>((AN36/10/2-AK36/10/2)/2)*(MAX(+ABS(MAX(X35:X39)),ABS(MIN(X35:X39)))*100000/(AK36/10))</f>
        <v>21083.949999999997</v>
      </c>
      <c r="AQ39" s="248" t="s">
        <v>511</v>
      </c>
      <c r="AR39" s="247">
        <f>+AP39/(AL36*AP36*AP36/6/1000)</f>
        <v>2108.3949999999995</v>
      </c>
      <c r="AS39" s="250" t="str">
        <f>IF(AR39&lt;=0.6*AR34*1.1,"OK","REDIS")</f>
        <v>OK</v>
      </c>
      <c r="AT39" s="247" t="s">
        <v>517</v>
      </c>
      <c r="AU39" s="251">
        <f>+AW36*(AP39/100000)/((AN36-AK36)/1000/4)/(AU36-1)</f>
        <v>5.6223866666666646</v>
      </c>
      <c r="AV39" s="247"/>
      <c r="AW39" s="256"/>
      <c r="AX39" s="257" t="s">
        <v>522</v>
      </c>
      <c r="AY39" s="258">
        <f>IF(AY37=(1+3/8),+AV36/3,IF(AY37=(1+1/8),+AV36/6,IF(AY37=1,+AV36/8,IF(AY37=(7/8),+AV36/11,IF(AY37=0.75,+AV36/18,IF(AY37=(9/16),+AV36/45,IF(AY37=(7/16),+AV36/84,"NO HAY DATO")))))))</f>
        <v>1.6666666666666667</v>
      </c>
      <c r="AZ39" s="259" t="s">
        <v>527</v>
      </c>
      <c r="BA39" s="260"/>
      <c r="BB39" s="261" t="s">
        <v>523</v>
      </c>
      <c r="BC39" s="262">
        <f>+BC38*BC37*2.54/100</f>
        <v>3.048</v>
      </c>
      <c r="BD39" s="263" t="s">
        <v>528</v>
      </c>
      <c r="BE39" s="264"/>
      <c r="BG39" s="65" t="s">
        <v>179</v>
      </c>
      <c r="BH39" s="66">
        <v>240</v>
      </c>
      <c r="BI39" s="88" t="s">
        <v>180</v>
      </c>
      <c r="BJ39" s="74" t="s">
        <v>181</v>
      </c>
      <c r="BK39" s="74" t="s">
        <v>182</v>
      </c>
      <c r="BL39" s="74" t="s">
        <v>183</v>
      </c>
      <c r="BM39" s="74" t="s">
        <v>165</v>
      </c>
      <c r="BN39" s="74" t="s">
        <v>184</v>
      </c>
      <c r="BO39" s="74" t="s">
        <v>185</v>
      </c>
      <c r="BP39" s="74" t="s">
        <v>186</v>
      </c>
      <c r="BQ39" s="74" t="s">
        <v>187</v>
      </c>
      <c r="BR39" s="74" t="s">
        <v>188</v>
      </c>
      <c r="BS39" s="74" t="s">
        <v>189</v>
      </c>
      <c r="BT39" s="74" t="s">
        <v>190</v>
      </c>
      <c r="BU39" s="75" t="s">
        <v>191</v>
      </c>
      <c r="BV39" s="89"/>
    </row>
    <row r="40" spans="1:74" ht="15.75" hidden="1" thickBot="1" x14ac:dyDescent="0.3">
      <c r="A40" s="216" t="s">
        <v>642</v>
      </c>
      <c r="B40" s="216" t="s">
        <v>625</v>
      </c>
      <c r="C40" s="216" t="s">
        <v>389</v>
      </c>
      <c r="D40" s="216">
        <v>1.1677</v>
      </c>
      <c r="E40" s="216">
        <v>9.2899999999999996E-2</v>
      </c>
      <c r="F40" s="216">
        <v>3.2235</v>
      </c>
      <c r="G40" s="216">
        <v>-0.17238000000000001</v>
      </c>
      <c r="H40" s="216">
        <v>0.81908000000000003</v>
      </c>
      <c r="I40" s="216">
        <v>1.5499999999999999E-3</v>
      </c>
      <c r="K40" s="25" t="s">
        <v>357</v>
      </c>
      <c r="L40" s="26" t="s">
        <v>358</v>
      </c>
      <c r="M40" s="27" t="s">
        <v>359</v>
      </c>
      <c r="N40" s="27" t="s">
        <v>360</v>
      </c>
      <c r="O40" s="27" t="s">
        <v>361</v>
      </c>
      <c r="P40" s="27" t="s">
        <v>362</v>
      </c>
      <c r="Q40" s="27" t="s">
        <v>363</v>
      </c>
      <c r="R40" s="28" t="s">
        <v>364</v>
      </c>
      <c r="S40" s="17"/>
      <c r="T40" s="29" t="s">
        <v>365</v>
      </c>
      <c r="U40" s="29" t="s">
        <v>358</v>
      </c>
      <c r="V40" s="30" t="s">
        <v>361</v>
      </c>
      <c r="W40" s="30" t="s">
        <v>362</v>
      </c>
      <c r="X40" s="30" t="s">
        <v>363</v>
      </c>
      <c r="Y40" s="29" t="s">
        <v>366</v>
      </c>
      <c r="Z40" s="31" t="s">
        <v>367</v>
      </c>
      <c r="AA40" s="23" t="s">
        <v>368</v>
      </c>
      <c r="AB40" s="23" t="s">
        <v>369</v>
      </c>
      <c r="AC40" s="22" t="s">
        <v>0</v>
      </c>
      <c r="AD40" s="22" t="s">
        <v>1</v>
      </c>
      <c r="AE40" s="22" t="s">
        <v>370</v>
      </c>
      <c r="AF40" s="22" t="s">
        <v>371</v>
      </c>
      <c r="AG40" s="22" t="s">
        <v>372</v>
      </c>
      <c r="AH40" s="32" t="s">
        <v>373</v>
      </c>
      <c r="AI40" s="210"/>
      <c r="AJ40" s="265" t="s">
        <v>365</v>
      </c>
      <c r="AK40" s="266" t="s">
        <v>498</v>
      </c>
      <c r="AL40" s="238"/>
      <c r="AM40" s="239"/>
      <c r="AN40" s="237" t="s">
        <v>499</v>
      </c>
      <c r="AO40" s="238"/>
      <c r="AP40" s="239"/>
      <c r="AQ40" s="222" t="s">
        <v>506</v>
      </c>
      <c r="AR40" s="221">
        <v>3500</v>
      </c>
      <c r="AS40" s="222" t="s">
        <v>405</v>
      </c>
      <c r="AT40" s="237" t="s">
        <v>512</v>
      </c>
      <c r="AU40" s="238"/>
      <c r="AV40" s="238"/>
      <c r="AW40" s="238"/>
      <c r="AX40" s="267" t="s">
        <v>532</v>
      </c>
      <c r="AY40" s="225" t="s">
        <v>515</v>
      </c>
      <c r="AZ40" s="268">
        <v>6.9</v>
      </c>
      <c r="BA40" s="269" t="str">
        <f>IF(MAX(AU44:AU45)&lt;=AZ40,"OK","REDIS")</f>
        <v>OK</v>
      </c>
      <c r="BB40" s="267" t="s">
        <v>536</v>
      </c>
      <c r="BC40" s="270" t="s">
        <v>515</v>
      </c>
      <c r="BD40" s="268">
        <v>8.36</v>
      </c>
      <c r="BE40" s="269" t="str">
        <f>IF(MAX(AU44:AU45)&lt;=BD40,"OK","REDIS")</f>
        <v>OK</v>
      </c>
      <c r="BG40" s="67" t="s">
        <v>192</v>
      </c>
      <c r="BH40" s="68">
        <v>4200</v>
      </c>
      <c r="BI40" s="90">
        <f>IF(6000*(1-BH44/BV38)&gt;BH40,BH40,6000*(1-BH44/BV38))</f>
        <v>1836.7346938775504</v>
      </c>
      <c r="BJ40" s="91">
        <f>ABS(BH38)-BJ44</f>
        <v>-29.659113509375</v>
      </c>
      <c r="BK40" s="77">
        <f>IF(BQ38=0,0,+BJ40*100000/(BH41*BI40*(BH43-BH44)))</f>
        <v>0</v>
      </c>
      <c r="BL40" s="77">
        <f>+BK40*BI40/BH40</f>
        <v>0</v>
      </c>
      <c r="BM40" s="77">
        <f>+BL40+BU38</f>
        <v>29.749999999999996</v>
      </c>
      <c r="BN40" s="92">
        <f>2*BP38</f>
        <v>2.4285714285714285E-2</v>
      </c>
      <c r="BO40" s="92">
        <f>+BM40/BH42/BH43</f>
        <v>8.4999999999999989E-3</v>
      </c>
      <c r="BP40" s="79">
        <f>+BO40*BK40/BM40</f>
        <v>0</v>
      </c>
      <c r="BQ40" s="77">
        <f>6000*BH42/(6000+BH40)</f>
        <v>58.823529411764703</v>
      </c>
      <c r="BR40" s="79">
        <f>IF(6000*(1-BH44/BQ40)&gt;BH40,BH40,6000*(1-BH44/BQ40))</f>
        <v>4200</v>
      </c>
      <c r="BS40" s="92">
        <f>+BN40+BP40*BR40/BH40</f>
        <v>2.4285714285714285E-2</v>
      </c>
      <c r="BT40" s="92">
        <f>0.5*BS40</f>
        <v>1.2142857142857143E-2</v>
      </c>
      <c r="BU40" s="201" t="str">
        <f>IF(BN38&gt;BT40,"NO DUCTIL","DUCTIL")</f>
        <v>DUCTIL</v>
      </c>
      <c r="BV40" s="81"/>
    </row>
    <row r="41" spans="1:74" ht="15" hidden="1" x14ac:dyDescent="0.25">
      <c r="A41" s="216" t="s">
        <v>643</v>
      </c>
      <c r="B41" s="216" t="s">
        <v>351</v>
      </c>
      <c r="C41" s="216" t="s">
        <v>352</v>
      </c>
      <c r="D41" s="216">
        <v>1.2241</v>
      </c>
      <c r="E41" s="216">
        <v>3.4700000000000002E-2</v>
      </c>
      <c r="F41" s="216">
        <v>3.5049000000000001</v>
      </c>
      <c r="G41" s="216">
        <v>-3.5560000000000001E-2</v>
      </c>
      <c r="H41" s="216">
        <v>1.10324</v>
      </c>
      <c r="I41" s="216">
        <v>-1.1E-4</v>
      </c>
      <c r="K41" s="33" t="str">
        <f>+A41</f>
        <v>63</v>
      </c>
      <c r="L41" s="17" t="s">
        <v>374</v>
      </c>
      <c r="M41" s="34">
        <f t="shared" ref="M41:R41" si="40">D41+D42</f>
        <v>1.8929</v>
      </c>
      <c r="N41" s="34">
        <f t="shared" si="40"/>
        <v>5.5800000000000002E-2</v>
      </c>
      <c r="O41" s="34">
        <f t="shared" si="40"/>
        <v>5.4190000000000005</v>
      </c>
      <c r="P41" s="34">
        <f t="shared" si="40"/>
        <v>-5.7110000000000001E-2</v>
      </c>
      <c r="Q41" s="34">
        <f t="shared" si="40"/>
        <v>1.7115</v>
      </c>
      <c r="R41" s="35">
        <f t="shared" si="40"/>
        <v>-1.8892E-4</v>
      </c>
      <c r="S41" s="17"/>
      <c r="T41" s="29" t="str">
        <f>K41</f>
        <v>63</v>
      </c>
      <c r="U41" s="29" t="s">
        <v>374</v>
      </c>
      <c r="V41" s="23">
        <f t="shared" ref="V41:X45" si="41">O41</f>
        <v>5.4190000000000005</v>
      </c>
      <c r="W41" s="23">
        <f t="shared" si="41"/>
        <v>-5.7110000000000001E-2</v>
      </c>
      <c r="X41" s="23">
        <f t="shared" si="41"/>
        <v>1.7115</v>
      </c>
      <c r="Y41" s="29">
        <v>10</v>
      </c>
      <c r="Z41" s="31">
        <f>ABS(V41)/AC41/AD41</f>
        <v>4.0140740740740739</v>
      </c>
      <c r="AA41" s="23">
        <f>ABS(+W41/V41)</f>
        <v>1.0538844805314633E-2</v>
      </c>
      <c r="AB41" s="23">
        <f>ABS(X41/V41)</f>
        <v>0.3158331795534231</v>
      </c>
      <c r="AC41" s="36">
        <v>0.5</v>
      </c>
      <c r="AD41" s="37">
        <v>2.7</v>
      </c>
      <c r="AE41" s="22">
        <f t="shared" ref="AE41:AF45" si="42">AC41-2*AA41</f>
        <v>0.47892231038937072</v>
      </c>
      <c r="AF41" s="22">
        <f t="shared" si="42"/>
        <v>2.0683336408931541</v>
      </c>
      <c r="AG41" s="22">
        <f>AF41*AE41</f>
        <v>0.99057112595260832</v>
      </c>
      <c r="AH41" s="38">
        <f>V41/AG41</f>
        <v>5.4705814232054051</v>
      </c>
      <c r="AI41" s="210"/>
      <c r="AJ41" s="221" t="str">
        <f>+K41</f>
        <v>63</v>
      </c>
      <c r="AK41" s="222" t="s">
        <v>0</v>
      </c>
      <c r="AL41" s="222" t="s">
        <v>1</v>
      </c>
      <c r="AM41" s="222" t="s">
        <v>438</v>
      </c>
      <c r="AN41" s="222" t="s">
        <v>503</v>
      </c>
      <c r="AO41" s="222" t="s">
        <v>504</v>
      </c>
      <c r="AP41" s="222" t="s">
        <v>323</v>
      </c>
      <c r="AQ41" s="221"/>
      <c r="AR41" s="221"/>
      <c r="AS41" s="221"/>
      <c r="AT41" s="222" t="s">
        <v>0</v>
      </c>
      <c r="AU41" s="222" t="s">
        <v>1</v>
      </c>
      <c r="AV41" s="222" t="s">
        <v>513</v>
      </c>
      <c r="AW41" s="223" t="s">
        <v>520</v>
      </c>
      <c r="AX41" s="224" t="s">
        <v>530</v>
      </c>
      <c r="AY41" s="225" t="s">
        <v>178</v>
      </c>
      <c r="AZ41" s="226">
        <v>12</v>
      </c>
      <c r="BA41" s="227" t="str">
        <f>IF(AW44&lt;=AZ41,"OK","REDIS")</f>
        <v>OK</v>
      </c>
      <c r="BB41" s="224" t="s">
        <v>535</v>
      </c>
      <c r="BC41" s="228" t="s">
        <v>178</v>
      </c>
      <c r="BD41" s="226">
        <v>4.3</v>
      </c>
      <c r="BE41" s="227" t="str">
        <f>IF(AW44&lt;=BD41,"OK","REDIS")</f>
        <v>OK</v>
      </c>
      <c r="BG41" s="67" t="s">
        <v>193</v>
      </c>
      <c r="BH41" s="68">
        <v>0.9</v>
      </c>
      <c r="BI41" s="202" t="s">
        <v>197</v>
      </c>
      <c r="BJ41" s="93">
        <v>0.7</v>
      </c>
      <c r="BK41" s="98" t="s">
        <v>202</v>
      </c>
      <c r="BL41" s="99"/>
      <c r="BM41" s="203"/>
      <c r="BN41" s="100"/>
      <c r="BO41" s="101"/>
      <c r="BR41" s="98" t="s">
        <v>203</v>
      </c>
      <c r="BS41" s="99"/>
      <c r="BT41" s="203"/>
      <c r="BU41" s="100"/>
      <c r="BV41" s="101"/>
    </row>
    <row r="42" spans="1:74" ht="15" hidden="1" x14ac:dyDescent="0.25">
      <c r="A42" s="216" t="s">
        <v>643</v>
      </c>
      <c r="B42" s="216" t="s">
        <v>353</v>
      </c>
      <c r="C42" s="216" t="s">
        <v>352</v>
      </c>
      <c r="D42" s="216">
        <v>0.66879999999999995</v>
      </c>
      <c r="E42" s="216">
        <v>2.1100000000000001E-2</v>
      </c>
      <c r="F42" s="216">
        <v>1.9140999999999999</v>
      </c>
      <c r="G42" s="216">
        <v>-2.155E-2</v>
      </c>
      <c r="H42" s="216">
        <v>0.60826000000000002</v>
      </c>
      <c r="I42" s="216">
        <v>-7.8919999999999997E-5</v>
      </c>
      <c r="K42" s="33"/>
      <c r="L42" s="17" t="s">
        <v>375</v>
      </c>
      <c r="M42" s="34">
        <f t="shared" ref="M42:R42" si="43">D41+0.25*D42+D43</f>
        <v>-0.11149999999999993</v>
      </c>
      <c r="N42" s="34">
        <f t="shared" si="43"/>
        <v>4.0975000000000004E-2</v>
      </c>
      <c r="O42" s="34">
        <f t="shared" si="43"/>
        <v>3.479025</v>
      </c>
      <c r="P42" s="34">
        <f t="shared" si="43"/>
        <v>-4.2657500000000001E-2</v>
      </c>
      <c r="Q42" s="34">
        <f t="shared" si="43"/>
        <v>-1.6458949999999999</v>
      </c>
      <c r="R42" s="35">
        <f t="shared" si="43"/>
        <v>9.0270000000000015E-5</v>
      </c>
      <c r="S42" s="17"/>
      <c r="T42" s="29"/>
      <c r="U42" s="29" t="s">
        <v>375</v>
      </c>
      <c r="V42" s="23">
        <f t="shared" si="41"/>
        <v>3.479025</v>
      </c>
      <c r="W42" s="23">
        <f t="shared" si="41"/>
        <v>-4.2657500000000001E-2</v>
      </c>
      <c r="X42" s="23">
        <f t="shared" si="41"/>
        <v>-1.6458949999999999</v>
      </c>
      <c r="Y42" s="29">
        <f>1.33*Y41</f>
        <v>13.3</v>
      </c>
      <c r="Z42" s="31">
        <f>ABS(V42)/AC42/AD42</f>
        <v>2.5770555555555554</v>
      </c>
      <c r="AA42" s="23">
        <f>ABS(+W42/V42)</f>
        <v>1.2261337587398769E-2</v>
      </c>
      <c r="AB42" s="23">
        <f>ABS(X42/V42)</f>
        <v>0.47309088034722369</v>
      </c>
      <c r="AC42" s="36">
        <f t="shared" ref="AC42:AD45" si="44">AC41</f>
        <v>0.5</v>
      </c>
      <c r="AD42" s="37">
        <f t="shared" si="44"/>
        <v>2.7</v>
      </c>
      <c r="AE42" s="22">
        <f t="shared" si="42"/>
        <v>0.47547732482520244</v>
      </c>
      <c r="AF42" s="22">
        <f t="shared" si="42"/>
        <v>1.7538182393055528</v>
      </c>
      <c r="AG42" s="22">
        <f>AF42*AE42</f>
        <v>0.833900804654651</v>
      </c>
      <c r="AH42" s="38">
        <f>V42/AG42</f>
        <v>4.1719890190546014</v>
      </c>
      <c r="AI42" s="210"/>
      <c r="AJ42" s="222" t="s">
        <v>539</v>
      </c>
      <c r="AK42" s="229">
        <v>300</v>
      </c>
      <c r="AL42" s="229">
        <v>150</v>
      </c>
      <c r="AM42" s="229">
        <v>4</v>
      </c>
      <c r="AN42" s="230">
        <v>360</v>
      </c>
      <c r="AO42" s="230">
        <v>500</v>
      </c>
      <c r="AP42" s="230">
        <v>24</v>
      </c>
      <c r="AQ42" s="221"/>
      <c r="AR42" s="221"/>
      <c r="AS42" s="221"/>
      <c r="AT42" s="221">
        <v>3</v>
      </c>
      <c r="AU42" s="221">
        <v>4</v>
      </c>
      <c r="AV42" s="230">
        <f>+AT42*2+(AU42-2)*2</f>
        <v>10</v>
      </c>
      <c r="AW42" s="223">
        <v>1</v>
      </c>
      <c r="AX42" s="231" t="s">
        <v>538</v>
      </c>
      <c r="AY42" s="232">
        <f>+AV42</f>
        <v>10</v>
      </c>
      <c r="AZ42" s="210"/>
      <c r="BA42" s="233"/>
      <c r="BB42" s="234" t="s">
        <v>537</v>
      </c>
      <c r="BC42" s="235">
        <v>1</v>
      </c>
      <c r="BD42" s="236" t="s">
        <v>526</v>
      </c>
      <c r="BE42" s="233"/>
      <c r="BG42" s="67" t="s">
        <v>194</v>
      </c>
      <c r="BH42" s="68">
        <v>100</v>
      </c>
      <c r="BI42" s="94" t="s">
        <v>169</v>
      </c>
      <c r="BJ42" s="96">
        <f>+BJ41*BP38</f>
        <v>8.4999999999999989E-3</v>
      </c>
      <c r="BK42" s="204" t="s">
        <v>380</v>
      </c>
      <c r="BL42" s="103">
        <f>1.3*1*(BH36-0.1-BK36)*BO36</f>
        <v>23.026250000000001</v>
      </c>
      <c r="BM42" s="104" t="s">
        <v>176</v>
      </c>
      <c r="BN42" s="74" t="s">
        <v>177</v>
      </c>
      <c r="BO42" s="105" t="s">
        <v>178</v>
      </c>
      <c r="BR42" s="204" t="s">
        <v>380</v>
      </c>
      <c r="BS42" s="103">
        <f>(+BH36*BH36-BK36*BK36)*1.3*BO36</f>
        <v>53.466952499999998</v>
      </c>
      <c r="BT42" s="104" t="s">
        <v>176</v>
      </c>
      <c r="BU42" s="74" t="s">
        <v>177</v>
      </c>
      <c r="BV42" s="105" t="s">
        <v>178</v>
      </c>
    </row>
    <row r="43" spans="1:74" ht="15" hidden="1" x14ac:dyDescent="0.25">
      <c r="A43" s="216" t="s">
        <v>643</v>
      </c>
      <c r="B43" s="216" t="s">
        <v>354</v>
      </c>
      <c r="C43" s="216" t="s">
        <v>352</v>
      </c>
      <c r="D43" s="216">
        <v>-1.5027999999999999</v>
      </c>
      <c r="E43" s="216">
        <v>1E-3</v>
      </c>
      <c r="F43" s="216">
        <v>-0.50439999999999996</v>
      </c>
      <c r="G43" s="216">
        <v>-1.7099999999999999E-3</v>
      </c>
      <c r="H43" s="216">
        <v>-2.9011999999999998</v>
      </c>
      <c r="I43" s="216">
        <v>2.2000000000000001E-4</v>
      </c>
      <c r="K43" s="33"/>
      <c r="L43" s="17" t="s">
        <v>376</v>
      </c>
      <c r="M43" s="34">
        <f t="shared" ref="M43:R43" si="45">D41+0.25*D42-D43</f>
        <v>2.8940999999999999</v>
      </c>
      <c r="N43" s="34">
        <f t="shared" si="45"/>
        <v>3.8975000000000003E-2</v>
      </c>
      <c r="O43" s="34">
        <f t="shared" si="45"/>
        <v>4.487825</v>
      </c>
      <c r="P43" s="34">
        <f t="shared" si="45"/>
        <v>-3.9237499999999995E-2</v>
      </c>
      <c r="Q43" s="34">
        <f t="shared" si="45"/>
        <v>4.1565049999999992</v>
      </c>
      <c r="R43" s="35">
        <f t="shared" si="45"/>
        <v>-3.4973000000000003E-4</v>
      </c>
      <c r="S43" s="17"/>
      <c r="T43" s="29"/>
      <c r="U43" s="29" t="s">
        <v>376</v>
      </c>
      <c r="V43" s="23">
        <f t="shared" si="41"/>
        <v>4.487825</v>
      </c>
      <c r="W43" s="23">
        <f t="shared" si="41"/>
        <v>-3.9237499999999995E-2</v>
      </c>
      <c r="X43" s="23">
        <f t="shared" si="41"/>
        <v>4.1565049999999992</v>
      </c>
      <c r="Y43" s="29"/>
      <c r="Z43" s="31">
        <f>ABS(V43)/AC43/AD43</f>
        <v>3.3243148148148145</v>
      </c>
      <c r="AA43" s="23">
        <f>ABS(+W43/V43)</f>
        <v>8.7430993855598192E-3</v>
      </c>
      <c r="AB43" s="23">
        <f>ABS(X43/V43)</f>
        <v>0.92617359188471016</v>
      </c>
      <c r="AC43" s="36">
        <f t="shared" si="44"/>
        <v>0.5</v>
      </c>
      <c r="AD43" s="37">
        <f t="shared" si="44"/>
        <v>2.7</v>
      </c>
      <c r="AE43" s="22">
        <f t="shared" si="42"/>
        <v>0.48251380122888038</v>
      </c>
      <c r="AF43" s="22">
        <f t="shared" si="42"/>
        <v>0.84765281623057986</v>
      </c>
      <c r="AG43" s="22">
        <f>AF43*AE43</f>
        <v>0.40900418248178266</v>
      </c>
      <c r="AH43" s="38">
        <f>V43/AG43</f>
        <v>10.972565054881537</v>
      </c>
      <c r="AI43" s="210"/>
      <c r="AJ43" s="237" t="s">
        <v>514</v>
      </c>
      <c r="AK43" s="238"/>
      <c r="AL43" s="238"/>
      <c r="AM43" s="238"/>
      <c r="AN43" s="239"/>
      <c r="AO43" s="237" t="s">
        <v>507</v>
      </c>
      <c r="AP43" s="238" t="s">
        <v>626</v>
      </c>
      <c r="AQ43" s="238">
        <f>0.6*AR40</f>
        <v>2100</v>
      </c>
      <c r="AR43" s="240" t="s">
        <v>627</v>
      </c>
      <c r="AS43" s="241">
        <f>+AR44+AR45</f>
        <v>1892.8988715277776</v>
      </c>
      <c r="AT43" s="221" t="s">
        <v>515</v>
      </c>
      <c r="AU43" s="221"/>
      <c r="AV43" s="221" t="s">
        <v>518</v>
      </c>
      <c r="AW43" s="242"/>
      <c r="AX43" s="231" t="s">
        <v>524</v>
      </c>
      <c r="AY43" s="243">
        <f>IF(BC42=(1+1/4),+(1+3/8),IF(BC42=1,(1+1/8),IF(BC42=(7/8),1,IF(BC42=(3/4),+(7/8),IF(BC42=(5/8),+(3/4),IF(BC42=(1/2),(9/16),IF(BC42=(3/8),+(7/16),"no valido")))))))</f>
        <v>1.125</v>
      </c>
      <c r="AZ43" s="244" t="s">
        <v>526</v>
      </c>
      <c r="BA43" s="227" t="s">
        <v>531</v>
      </c>
      <c r="BB43" s="245" t="s">
        <v>529</v>
      </c>
      <c r="BC43" s="246">
        <f>+AY44+3</f>
        <v>12</v>
      </c>
      <c r="BD43" s="236" t="s">
        <v>526</v>
      </c>
      <c r="BE43" s="227" t="s">
        <v>531</v>
      </c>
      <c r="BG43" s="67" t="s">
        <v>195</v>
      </c>
      <c r="BH43" s="68">
        <f>+BK36*100-5</f>
        <v>35</v>
      </c>
      <c r="BI43" s="94" t="s">
        <v>373</v>
      </c>
      <c r="BJ43" s="96">
        <f>+BJ42*BH40/BH39</f>
        <v>0.14874999999999999</v>
      </c>
      <c r="BK43" s="106"/>
      <c r="BL43" s="48"/>
      <c r="BM43" s="102">
        <f>SQRT(BH39)*0.53*BH42*BH43/1000</f>
        <v>28.737536428859034</v>
      </c>
      <c r="BN43" s="73">
        <f>SQRT(BH39)*0.93*BH42*BH43/1000</f>
        <v>50.426243167620569</v>
      </c>
      <c r="BO43" s="205" t="str">
        <f>IF(BL42&lt;BN43,"OK","REDIS")</f>
        <v>OK</v>
      </c>
      <c r="BR43" s="106"/>
      <c r="BS43" s="48"/>
      <c r="BT43" s="102">
        <f>SQRT(BH39)*0.53*(+BK36*100*4+0.3*2+0.4*2)*BK36*100/1000</f>
        <v>53.008438624203983</v>
      </c>
      <c r="BU43" s="73">
        <f>+BT43*0.93/0.53</f>
        <v>93.014807397188108</v>
      </c>
      <c r="BV43" s="205" t="str">
        <f>IF(BS42&lt;BU43,"OK","REDIS")</f>
        <v>OK</v>
      </c>
    </row>
    <row r="44" spans="1:74" ht="15.75" hidden="1" thickBot="1" x14ac:dyDescent="0.3">
      <c r="A44" s="216" t="s">
        <v>643</v>
      </c>
      <c r="B44" s="216" t="s">
        <v>355</v>
      </c>
      <c r="C44" s="216" t="s">
        <v>352</v>
      </c>
      <c r="D44" s="216">
        <v>1.5800000000000002E-2</v>
      </c>
      <c r="E44" s="216">
        <v>-0.10290000000000001</v>
      </c>
      <c r="F44" s="216">
        <v>-0.1867</v>
      </c>
      <c r="G44" s="216">
        <v>0.18106</v>
      </c>
      <c r="H44" s="216">
        <v>0.21129999999999999</v>
      </c>
      <c r="I44" s="216">
        <v>-1.65E-3</v>
      </c>
      <c r="K44" s="33"/>
      <c r="L44" s="17" t="s">
        <v>377</v>
      </c>
      <c r="M44" s="34">
        <f t="shared" ref="M44:R44" si="46">D41+0.25*D42+D44</f>
        <v>1.4071</v>
      </c>
      <c r="N44" s="34">
        <f t="shared" si="46"/>
        <v>-6.2925000000000009E-2</v>
      </c>
      <c r="O44" s="34">
        <f t="shared" si="46"/>
        <v>3.7967249999999999</v>
      </c>
      <c r="P44" s="34">
        <f t="shared" si="46"/>
        <v>0.1401125</v>
      </c>
      <c r="Q44" s="34">
        <f t="shared" si="46"/>
        <v>1.4666049999999999</v>
      </c>
      <c r="R44" s="35">
        <f t="shared" si="46"/>
        <v>-1.77973E-3</v>
      </c>
      <c r="S44" s="17"/>
      <c r="T44" s="29"/>
      <c r="U44" s="29" t="s">
        <v>377</v>
      </c>
      <c r="V44" s="23">
        <f t="shared" si="41"/>
        <v>3.7967249999999999</v>
      </c>
      <c r="W44" s="23">
        <f t="shared" si="41"/>
        <v>0.1401125</v>
      </c>
      <c r="X44" s="23">
        <f t="shared" si="41"/>
        <v>1.4666049999999999</v>
      </c>
      <c r="Y44" s="29"/>
      <c r="Z44" s="31">
        <f>ABS(V44)/AC44/AD44</f>
        <v>2.8123888888888886</v>
      </c>
      <c r="AA44" s="23">
        <f>ABS(+W44/V44)</f>
        <v>3.6903515529831635E-2</v>
      </c>
      <c r="AB44" s="23">
        <f>ABS(X44/V44)</f>
        <v>0.38628159795613326</v>
      </c>
      <c r="AC44" s="36">
        <f t="shared" si="44"/>
        <v>0.5</v>
      </c>
      <c r="AD44" s="37">
        <f t="shared" si="44"/>
        <v>2.7</v>
      </c>
      <c r="AE44" s="22">
        <f t="shared" si="42"/>
        <v>0.42619296894033676</v>
      </c>
      <c r="AF44" s="22">
        <f t="shared" si="42"/>
        <v>1.9274368040877337</v>
      </c>
      <c r="AG44" s="22">
        <f>AF44*AE44</f>
        <v>0.82146001397902546</v>
      </c>
      <c r="AH44" s="38">
        <f>V44/AG44</f>
        <v>4.6219230825481699</v>
      </c>
      <c r="AI44" s="210"/>
      <c r="AJ44" s="222" t="s">
        <v>500</v>
      </c>
      <c r="AK44" s="247">
        <f>(MAX(V41:V45)+ABS(MAX(W41:W45))/(AL42/1000))*1000</f>
        <v>6353.0833333333339</v>
      </c>
      <c r="AL44" s="248" t="s">
        <v>502</v>
      </c>
      <c r="AM44" s="247">
        <f>+ABS(MAX(AK44:AK45))/(+AK42*2/10+AL42*2/10)/(AP42/10)</f>
        <v>89.231558641975298</v>
      </c>
      <c r="AN44" s="249" t="str">
        <f>IF(AM44&lt;=AM45,"OK","REDIS")</f>
        <v>OK</v>
      </c>
      <c r="AO44" s="248" t="s">
        <v>508</v>
      </c>
      <c r="AP44" s="247">
        <f>((AO42/10/2-AL42/10/2)/2)*((MAX(ABS(MAX(W41:W45)),ABS(MIN(W41:W45)))*100000))/(AL42/10)</f>
        <v>12950.4375</v>
      </c>
      <c r="AQ44" s="248" t="s">
        <v>510</v>
      </c>
      <c r="AR44" s="247">
        <f>+AP44/(AK42*AP42*AP42/6/10/10/10)</f>
        <v>449.66796875</v>
      </c>
      <c r="AS44" s="250" t="str">
        <f>IF(AR44&lt;=0.6*AR40*1.1,"OK","REDIS")</f>
        <v>OK</v>
      </c>
      <c r="AT44" s="247" t="s">
        <v>516</v>
      </c>
      <c r="AU44" s="251">
        <f>+AW42*(AP44/100000)/((AO42-AL42)/1000/4)/(AT42-1)</f>
        <v>0.74002500000000004</v>
      </c>
      <c r="AV44" s="247" t="s">
        <v>519</v>
      </c>
      <c r="AW44" s="252">
        <f>+AW42*(ABS(MAX(M41:M45))+ABS(MIN(M41:M45)+ABS(MAX(N41:N45))+ABS(MIN(N41:N45))))/AV42</f>
        <v>0.29883999999999999</v>
      </c>
      <c r="AX44" s="231" t="s">
        <v>525</v>
      </c>
      <c r="AY44" s="243">
        <f>IF(BC42=(1+1/4),+(11-1/4),IF(BC42=1,(9),IF(BC42=(7/8),(7-7/8),IF(BC42=(3/4),+(6-3/4),IF(BC42=(5/8),+(5-5/8),IF(BC42=(1/2),(4-1/2),IF(BC42=(3-3/8),+(7/16),"no valido")))))))</f>
        <v>9</v>
      </c>
      <c r="AZ44" s="236" t="s">
        <v>526</v>
      </c>
      <c r="BA44" s="253" t="s">
        <v>533</v>
      </c>
      <c r="BB44" s="254" t="s">
        <v>521</v>
      </c>
      <c r="BC44" s="226">
        <f>+AV42</f>
        <v>10</v>
      </c>
      <c r="BD44" s="236" t="s">
        <v>527</v>
      </c>
      <c r="BE44" s="255" t="s">
        <v>534</v>
      </c>
      <c r="BG44" s="71" t="s">
        <v>196</v>
      </c>
      <c r="BH44" s="72">
        <v>5</v>
      </c>
      <c r="BI44" s="95" t="s">
        <v>198</v>
      </c>
      <c r="BJ44" s="97">
        <f>+BH41*BH39*BH42*BH43*BH43*BJ43*(1-0.59*BJ43)/100000</f>
        <v>35.904983821875</v>
      </c>
      <c r="BK44" s="107"/>
      <c r="BL44" s="80"/>
      <c r="BM44" s="206"/>
      <c r="BN44" s="78"/>
      <c r="BO44" s="108"/>
      <c r="BR44" s="107"/>
      <c r="BS44" s="80"/>
      <c r="BT44" s="206"/>
      <c r="BU44" s="78"/>
      <c r="BV44" s="108"/>
    </row>
    <row r="45" spans="1:74" ht="15" hidden="1" x14ac:dyDescent="0.25">
      <c r="A45" s="216" t="s">
        <v>643</v>
      </c>
      <c r="B45" s="216" t="s">
        <v>624</v>
      </c>
      <c r="C45" s="216" t="s">
        <v>389</v>
      </c>
      <c r="D45" s="216">
        <v>1.7137</v>
      </c>
      <c r="E45" s="216">
        <v>4.8599999999999997E-2</v>
      </c>
      <c r="F45" s="216">
        <v>4.9067999999999996</v>
      </c>
      <c r="G45" s="216">
        <v>-4.9779999999999998E-2</v>
      </c>
      <c r="H45" s="216">
        <v>1.54453</v>
      </c>
      <c r="I45" s="216">
        <v>-1.6000000000000001E-4</v>
      </c>
      <c r="K45" s="39"/>
      <c r="L45" s="40" t="s">
        <v>378</v>
      </c>
      <c r="M45" s="41">
        <f t="shared" ref="M45:R45" si="47">D41+0.25*D42-D44</f>
        <v>1.3754999999999999</v>
      </c>
      <c r="N45" s="41">
        <f t="shared" si="47"/>
        <v>0.142875</v>
      </c>
      <c r="O45" s="41">
        <f t="shared" si="47"/>
        <v>4.1701249999999996</v>
      </c>
      <c r="P45" s="41">
        <f t="shared" si="47"/>
        <v>-0.2220075</v>
      </c>
      <c r="Q45" s="41">
        <f t="shared" si="47"/>
        <v>1.0440049999999998</v>
      </c>
      <c r="R45" s="42">
        <f t="shared" si="47"/>
        <v>1.52027E-3</v>
      </c>
      <c r="S45" s="17"/>
      <c r="T45" s="29"/>
      <c r="U45" s="29" t="s">
        <v>378</v>
      </c>
      <c r="V45" s="23">
        <f t="shared" si="41"/>
        <v>4.1701249999999996</v>
      </c>
      <c r="W45" s="23">
        <f t="shared" si="41"/>
        <v>-0.2220075</v>
      </c>
      <c r="X45" s="23">
        <f t="shared" si="41"/>
        <v>1.0440049999999998</v>
      </c>
      <c r="Y45" s="29"/>
      <c r="Z45" s="31">
        <f>ABS(V45)/AC45/AD45</f>
        <v>3.0889814814814809</v>
      </c>
      <c r="AA45" s="23">
        <f>ABS(+W45/V45)</f>
        <v>5.3237612781391448E-2</v>
      </c>
      <c r="AB45" s="23">
        <f>ABS(X45/V45)</f>
        <v>0.25035340667246186</v>
      </c>
      <c r="AC45" s="36">
        <f t="shared" si="44"/>
        <v>0.5</v>
      </c>
      <c r="AD45" s="37">
        <f t="shared" si="44"/>
        <v>2.7</v>
      </c>
      <c r="AE45" s="22">
        <f t="shared" si="42"/>
        <v>0.39352477443721712</v>
      </c>
      <c r="AF45" s="22">
        <f t="shared" si="42"/>
        <v>2.1992931866550762</v>
      </c>
      <c r="AG45" s="22">
        <f>AF45*AE45</f>
        <v>0.8654763551997473</v>
      </c>
      <c r="AH45" s="38">
        <f>V45/AG45</f>
        <v>4.8183003209112014</v>
      </c>
      <c r="AI45" s="210"/>
      <c r="AJ45" s="222" t="s">
        <v>501</v>
      </c>
      <c r="AK45" s="247">
        <f>(MAX(V41:V45)+ABS(MAX(X41:X45))/(AK42/1000))*1000</f>
        <v>19274.016666666663</v>
      </c>
      <c r="AL45" s="248" t="s">
        <v>505</v>
      </c>
      <c r="AM45" s="247">
        <f>+AR40*0.4/3</f>
        <v>466.66666666666669</v>
      </c>
      <c r="AN45" s="247"/>
      <c r="AO45" s="248" t="s">
        <v>509</v>
      </c>
      <c r="AP45" s="247">
        <f>((AN42/10/2-AK42/10/2)/2)*(MAX(+ABS(MAX(X41:X45)),ABS(MIN(X41:X45)))*100000/(AK42/10))</f>
        <v>20782.524999999998</v>
      </c>
      <c r="AQ45" s="248" t="s">
        <v>511</v>
      </c>
      <c r="AR45" s="247">
        <f>+AP45/(AL42*AP42*AP42/6/1000)</f>
        <v>1443.2309027777776</v>
      </c>
      <c r="AS45" s="250" t="str">
        <f>IF(AR45&lt;=0.6*AR40*1.1,"OK","REDIS")</f>
        <v>OK</v>
      </c>
      <c r="AT45" s="247" t="s">
        <v>517</v>
      </c>
      <c r="AU45" s="251">
        <f>+AW42*(AP45/100000)/((AN42-AK42)/1000/4)/(AU42-1)</f>
        <v>4.6183388888888883</v>
      </c>
      <c r="AV45" s="247"/>
      <c r="AW45" s="256"/>
      <c r="AX45" s="257" t="s">
        <v>522</v>
      </c>
      <c r="AY45" s="258">
        <f>IF(AY43=(1+3/8),+AV42/3,IF(AY43=(1+1/8),+AV42/6,IF(AY43=1,+AV42/8,IF(AY43=(7/8),+AV42/11,IF(AY43=0.75,+AV42/18,IF(AY43=(9/16),+AV42/45,IF(AY43=(7/16),+AV42/84,"NO HAY DATO")))))))</f>
        <v>1.6666666666666667</v>
      </c>
      <c r="AZ45" s="259" t="s">
        <v>527</v>
      </c>
      <c r="BA45" s="260"/>
      <c r="BB45" s="261" t="s">
        <v>523</v>
      </c>
      <c r="BC45" s="262">
        <f>+BC44*BC43*2.54/100</f>
        <v>3.048</v>
      </c>
      <c r="BD45" s="263" t="s">
        <v>528</v>
      </c>
      <c r="BE45" s="264"/>
    </row>
    <row r="46" spans="1:74" ht="15" hidden="1" x14ac:dyDescent="0.25">
      <c r="A46" s="216" t="s">
        <v>643</v>
      </c>
      <c r="B46" s="216" t="s">
        <v>625</v>
      </c>
      <c r="C46" s="216" t="s">
        <v>389</v>
      </c>
      <c r="D46" s="216">
        <v>0.96350000000000002</v>
      </c>
      <c r="E46" s="216">
        <v>0.13059999999999999</v>
      </c>
      <c r="F46" s="216">
        <v>2.9904999999999999</v>
      </c>
      <c r="G46" s="216">
        <v>-0.20951</v>
      </c>
      <c r="H46" s="216">
        <v>0.67129000000000005</v>
      </c>
      <c r="I46" s="216">
        <v>1.56E-3</v>
      </c>
      <c r="K46" s="25" t="s">
        <v>357</v>
      </c>
      <c r="L46" s="26" t="s">
        <v>358</v>
      </c>
      <c r="M46" s="27" t="s">
        <v>359</v>
      </c>
      <c r="N46" s="27" t="s">
        <v>360</v>
      </c>
      <c r="O46" s="27" t="s">
        <v>361</v>
      </c>
      <c r="P46" s="27" t="s">
        <v>362</v>
      </c>
      <c r="Q46" s="27" t="s">
        <v>363</v>
      </c>
      <c r="R46" s="28" t="s">
        <v>364</v>
      </c>
      <c r="S46" s="17"/>
      <c r="T46" s="29" t="s">
        <v>365</v>
      </c>
      <c r="U46" s="29" t="s">
        <v>358</v>
      </c>
      <c r="V46" s="30" t="s">
        <v>361</v>
      </c>
      <c r="W46" s="30" t="s">
        <v>362</v>
      </c>
      <c r="X46" s="30" t="s">
        <v>363</v>
      </c>
      <c r="Y46" s="29" t="s">
        <v>366</v>
      </c>
      <c r="Z46" s="31" t="s">
        <v>367</v>
      </c>
      <c r="AA46" s="23" t="s">
        <v>368</v>
      </c>
      <c r="AB46" s="23" t="s">
        <v>369</v>
      </c>
      <c r="AC46" s="22" t="s">
        <v>0</v>
      </c>
      <c r="AD46" s="22" t="s">
        <v>1</v>
      </c>
      <c r="AE46" s="22" t="s">
        <v>370</v>
      </c>
      <c r="AF46" s="22" t="s">
        <v>371</v>
      </c>
      <c r="AG46" s="22" t="s">
        <v>372</v>
      </c>
      <c r="AH46" s="32" t="s">
        <v>373</v>
      </c>
      <c r="AI46" s="210"/>
      <c r="AJ46" s="265" t="s">
        <v>365</v>
      </c>
      <c r="AK46" s="266" t="s">
        <v>498</v>
      </c>
      <c r="AL46" s="238"/>
      <c r="AM46" s="239"/>
      <c r="AN46" s="237" t="s">
        <v>499</v>
      </c>
      <c r="AO46" s="238"/>
      <c r="AP46" s="239"/>
      <c r="AQ46" s="222" t="s">
        <v>506</v>
      </c>
      <c r="AR46" s="221">
        <v>3500</v>
      </c>
      <c r="AS46" s="222" t="s">
        <v>405</v>
      </c>
      <c r="AT46" s="237" t="s">
        <v>512</v>
      </c>
      <c r="AU46" s="238"/>
      <c r="AV46" s="238"/>
      <c r="AW46" s="238"/>
      <c r="AX46" s="267" t="s">
        <v>532</v>
      </c>
      <c r="AY46" s="225" t="s">
        <v>515</v>
      </c>
      <c r="AZ46" s="268">
        <v>6.9</v>
      </c>
      <c r="BA46" s="269" t="str">
        <f>IF(MAX(AU50:AU51)&lt;=AZ46,"OK","REDIS")</f>
        <v>OK</v>
      </c>
      <c r="BB46" s="267" t="s">
        <v>536</v>
      </c>
      <c r="BC46" s="270" t="s">
        <v>515</v>
      </c>
      <c r="BD46" s="268">
        <v>8.36</v>
      </c>
      <c r="BE46" s="269" t="str">
        <f>IF(MAX(AU50:AU51)&lt;=BD46,"OK","REDIS")</f>
        <v>OK</v>
      </c>
      <c r="BG46" s="109" t="s">
        <v>199</v>
      </c>
      <c r="BH46" s="142">
        <v>1.8</v>
      </c>
      <c r="BJ46" s="109" t="s">
        <v>385</v>
      </c>
      <c r="BK46" s="142">
        <v>0.4</v>
      </c>
      <c r="BM46" s="110" t="s">
        <v>200</v>
      </c>
      <c r="BN46" s="110"/>
      <c r="BO46" s="110">
        <v>16.05</v>
      </c>
      <c r="BP46" s="110" t="s">
        <v>386</v>
      </c>
      <c r="BQ46" t="s">
        <v>201</v>
      </c>
    </row>
    <row r="47" spans="1:74" ht="15" hidden="1" x14ac:dyDescent="0.25">
      <c r="A47" s="216" t="s">
        <v>644</v>
      </c>
      <c r="B47" s="216" t="s">
        <v>351</v>
      </c>
      <c r="C47" s="216" t="s">
        <v>352</v>
      </c>
      <c r="D47" s="216">
        <v>0.10050000000000001</v>
      </c>
      <c r="E47" s="216">
        <v>-5.7700000000000001E-2</v>
      </c>
      <c r="F47" s="216">
        <v>1.7222</v>
      </c>
      <c r="G47" s="216">
        <v>4.7149999999999997E-2</v>
      </c>
      <c r="H47" s="216">
        <v>0.10972999999999999</v>
      </c>
      <c r="I47" s="216">
        <v>-1.1E-4</v>
      </c>
      <c r="K47" s="33" t="str">
        <f>+A47</f>
        <v>64</v>
      </c>
      <c r="L47" s="17" t="s">
        <v>374</v>
      </c>
      <c r="M47" s="34">
        <f t="shared" ref="M47:R47" si="48">D47+D48</f>
        <v>0.16110000000000002</v>
      </c>
      <c r="N47" s="34">
        <f t="shared" si="48"/>
        <v>-9.35E-2</v>
      </c>
      <c r="O47" s="34">
        <f t="shared" si="48"/>
        <v>2.6913999999999998</v>
      </c>
      <c r="P47" s="34">
        <f t="shared" si="48"/>
        <v>7.7669999999999989E-2</v>
      </c>
      <c r="Q47" s="34">
        <f t="shared" si="48"/>
        <v>0.17596000000000001</v>
      </c>
      <c r="R47" s="35">
        <f t="shared" si="48"/>
        <v>-1.7915999999999999E-4</v>
      </c>
      <c r="S47" s="17"/>
      <c r="T47" s="29" t="str">
        <f>K47</f>
        <v>64</v>
      </c>
      <c r="U47" s="29" t="s">
        <v>374</v>
      </c>
      <c r="V47" s="23">
        <f t="shared" ref="V47:X51" si="49">O47</f>
        <v>2.6913999999999998</v>
      </c>
      <c r="W47" s="23">
        <f t="shared" si="49"/>
        <v>7.7669999999999989E-2</v>
      </c>
      <c r="X47" s="23">
        <f t="shared" si="49"/>
        <v>0.17596000000000001</v>
      </c>
      <c r="Y47" s="29">
        <v>10</v>
      </c>
      <c r="Z47" s="31">
        <f>ABS(V47)/AC47/AD47</f>
        <v>2.9096216216216213</v>
      </c>
      <c r="AA47" s="23">
        <f>ABS(+W47/V47)</f>
        <v>2.8858586609199672E-2</v>
      </c>
      <c r="AB47" s="23">
        <f>ABS(X47/V47)</f>
        <v>6.5378613361076032E-2</v>
      </c>
      <c r="AC47" s="36">
        <v>0.5</v>
      </c>
      <c r="AD47" s="37">
        <v>1.85</v>
      </c>
      <c r="AE47" s="22">
        <f t="shared" ref="AE47:AF51" si="50">AC47-2*AA47</f>
        <v>0.44228282678160064</v>
      </c>
      <c r="AF47" s="22">
        <f t="shared" si="50"/>
        <v>1.7192427732778479</v>
      </c>
      <c r="AG47" s="22">
        <f>AF47*AE47</f>
        <v>0.76039155368916511</v>
      </c>
      <c r="AH47" s="38">
        <f>V47/AG47</f>
        <v>3.5394922352072804</v>
      </c>
      <c r="AI47" s="210"/>
      <c r="AJ47" s="221" t="str">
        <f>+K47</f>
        <v>64</v>
      </c>
      <c r="AK47" s="222" t="s">
        <v>0</v>
      </c>
      <c r="AL47" s="222" t="s">
        <v>1</v>
      </c>
      <c r="AM47" s="222" t="s">
        <v>438</v>
      </c>
      <c r="AN47" s="222" t="s">
        <v>503</v>
      </c>
      <c r="AO47" s="222" t="s">
        <v>504</v>
      </c>
      <c r="AP47" s="222" t="s">
        <v>323</v>
      </c>
      <c r="AQ47" s="221"/>
      <c r="AR47" s="221"/>
      <c r="AS47" s="221"/>
      <c r="AT47" s="222" t="s">
        <v>0</v>
      </c>
      <c r="AU47" s="222" t="s">
        <v>1</v>
      </c>
      <c r="AV47" s="222" t="s">
        <v>513</v>
      </c>
      <c r="AW47" s="223" t="s">
        <v>520</v>
      </c>
      <c r="AX47" s="224" t="s">
        <v>530</v>
      </c>
      <c r="AY47" s="225" t="s">
        <v>178</v>
      </c>
      <c r="AZ47" s="226">
        <v>12</v>
      </c>
      <c r="BA47" s="227" t="str">
        <f>IF(AW50&lt;=AZ47,"OK","REDIS")</f>
        <v>OK</v>
      </c>
      <c r="BB47" s="224" t="s">
        <v>535</v>
      </c>
      <c r="BC47" s="228" t="s">
        <v>178</v>
      </c>
      <c r="BD47" s="226">
        <v>4.3</v>
      </c>
      <c r="BE47" s="227" t="str">
        <f>IF(AW50&lt;=BD47,"OK","REDIS")</f>
        <v>OK</v>
      </c>
      <c r="BG47" s="122" t="s">
        <v>164</v>
      </c>
      <c r="BH47" s="193">
        <f>+G44</f>
        <v>0.18106</v>
      </c>
      <c r="BI47" s="196" t="s">
        <v>165</v>
      </c>
      <c r="BJ47" s="197" t="s">
        <v>166</v>
      </c>
      <c r="BK47" s="74" t="s">
        <v>2</v>
      </c>
      <c r="BL47" s="74" t="s">
        <v>167</v>
      </c>
      <c r="BM47" s="75" t="s">
        <v>168</v>
      </c>
      <c r="BN47" s="74" t="s">
        <v>169</v>
      </c>
      <c r="BO47" s="74" t="s">
        <v>170</v>
      </c>
      <c r="BP47" s="74" t="s">
        <v>171</v>
      </c>
      <c r="BQ47" s="75" t="s">
        <v>172</v>
      </c>
      <c r="BR47" s="74" t="s">
        <v>173</v>
      </c>
      <c r="BS47" s="74" t="s">
        <v>174</v>
      </c>
      <c r="BT47" s="74" t="s">
        <v>165</v>
      </c>
      <c r="BU47" s="74" t="s">
        <v>175</v>
      </c>
      <c r="BV47" s="76" t="s">
        <v>407</v>
      </c>
    </row>
    <row r="48" spans="1:74" ht="15" hidden="1" x14ac:dyDescent="0.25">
      <c r="A48" s="216" t="s">
        <v>644</v>
      </c>
      <c r="B48" s="216" t="s">
        <v>353</v>
      </c>
      <c r="C48" s="216" t="s">
        <v>352</v>
      </c>
      <c r="D48" s="216">
        <v>6.0600000000000001E-2</v>
      </c>
      <c r="E48" s="216">
        <v>-3.5799999999999998E-2</v>
      </c>
      <c r="F48" s="216">
        <v>0.96919999999999995</v>
      </c>
      <c r="G48" s="216">
        <v>3.0519999999999999E-2</v>
      </c>
      <c r="H48" s="216">
        <v>6.6229999999999997E-2</v>
      </c>
      <c r="I48" s="216">
        <v>-6.9159999999999995E-5</v>
      </c>
      <c r="K48" s="33"/>
      <c r="L48" s="17" t="s">
        <v>375</v>
      </c>
      <c r="M48" s="34">
        <f t="shared" ref="M48:R48" si="51">D47+0.25*D48+D49</f>
        <v>-8.854999999999999E-2</v>
      </c>
      <c r="N48" s="34">
        <f t="shared" si="51"/>
        <v>-6.0850000000000001E-2</v>
      </c>
      <c r="O48" s="34">
        <f t="shared" si="51"/>
        <v>1.8071999999999999</v>
      </c>
      <c r="P48" s="34">
        <f t="shared" si="51"/>
        <v>3.9709999999999995E-2</v>
      </c>
      <c r="Q48" s="34">
        <f t="shared" si="51"/>
        <v>-0.21494249999999998</v>
      </c>
      <c r="R48" s="35">
        <f t="shared" si="51"/>
        <v>-1.7290000000000006E-5</v>
      </c>
      <c r="S48" s="17"/>
      <c r="T48" s="29"/>
      <c r="U48" s="29" t="s">
        <v>375</v>
      </c>
      <c r="V48" s="23">
        <f t="shared" si="49"/>
        <v>1.8071999999999999</v>
      </c>
      <c r="W48" s="23">
        <f t="shared" si="49"/>
        <v>3.9709999999999995E-2</v>
      </c>
      <c r="X48" s="23">
        <f t="shared" si="49"/>
        <v>-0.21494249999999998</v>
      </c>
      <c r="Y48" s="29">
        <f>1.33*Y47</f>
        <v>13.3</v>
      </c>
      <c r="Z48" s="31">
        <f>ABS(V48)/AC48/AD48</f>
        <v>1.9537297297297296</v>
      </c>
      <c r="AA48" s="23">
        <f>ABS(+W48/V48)</f>
        <v>2.1973218238158475E-2</v>
      </c>
      <c r="AB48" s="23">
        <f>ABS(X48/V48)</f>
        <v>0.1189367529880478</v>
      </c>
      <c r="AC48" s="36">
        <f t="shared" ref="AC48:AD51" si="52">AC47</f>
        <v>0.5</v>
      </c>
      <c r="AD48" s="37">
        <f t="shared" si="52"/>
        <v>1.85</v>
      </c>
      <c r="AE48" s="22">
        <f t="shared" si="50"/>
        <v>0.45605356352368304</v>
      </c>
      <c r="AF48" s="22">
        <f t="shared" si="50"/>
        <v>1.6121264940239044</v>
      </c>
      <c r="AG48" s="22">
        <f>AF48*AE48</f>
        <v>0.73521603245054312</v>
      </c>
      <c r="AH48" s="38">
        <f>V48/AG48</f>
        <v>2.4580530350738341</v>
      </c>
      <c r="AI48" s="210"/>
      <c r="AJ48" s="222" t="s">
        <v>539</v>
      </c>
      <c r="AK48" s="229">
        <v>300</v>
      </c>
      <c r="AL48" s="229">
        <v>150</v>
      </c>
      <c r="AM48" s="229">
        <v>4</v>
      </c>
      <c r="AN48" s="230">
        <v>360</v>
      </c>
      <c r="AO48" s="230">
        <v>500</v>
      </c>
      <c r="AP48" s="230">
        <v>24</v>
      </c>
      <c r="AQ48" s="221"/>
      <c r="AR48" s="221"/>
      <c r="AS48" s="221"/>
      <c r="AT48" s="221">
        <v>3</v>
      </c>
      <c r="AU48" s="221">
        <v>4</v>
      </c>
      <c r="AV48" s="230">
        <f>+AT48*2+(AU48-2)*2</f>
        <v>10</v>
      </c>
      <c r="AW48" s="223">
        <v>1.2</v>
      </c>
      <c r="AX48" s="231" t="s">
        <v>538</v>
      </c>
      <c r="AY48" s="232">
        <f>+AV48</f>
        <v>10</v>
      </c>
      <c r="AZ48" s="210"/>
      <c r="BA48" s="233"/>
      <c r="BB48" s="234" t="s">
        <v>537</v>
      </c>
      <c r="BC48" s="235">
        <v>1</v>
      </c>
      <c r="BD48" s="236" t="s">
        <v>526</v>
      </c>
      <c r="BE48" s="233"/>
      <c r="BG48" s="123" t="s">
        <v>390</v>
      </c>
      <c r="BH48" s="43">
        <f>1.3*((BH46-0.2)/2)*1*((BH46)/4)*BO46</f>
        <v>7.511400000000001</v>
      </c>
      <c r="BI48" s="198">
        <f>IF(BQ48=0,BT48,BM50)</f>
        <v>11.666666666666668</v>
      </c>
      <c r="BJ48" s="199">
        <f>IF(BQ48=0,0,BK50)</f>
        <v>0</v>
      </c>
      <c r="BK48" s="82">
        <f>ABS(BH48)*100000/(BH51*BH52*BH53*BH53*BH49)</f>
        <v>2.8387755102040821E-2</v>
      </c>
      <c r="BL48" s="82">
        <f>1-2.36*BK48</f>
        <v>0.93300489795918362</v>
      </c>
      <c r="BM48" s="200" t="str">
        <f>IF(BL48&gt;=0,"OK","OTRA SECCION")</f>
        <v>OK</v>
      </c>
      <c r="BN48" s="83">
        <f>+(BH49/BH50)*((1-SQRT(BL48))/1.18)</f>
        <v>1.6502766746911131E-3</v>
      </c>
      <c r="BO48" s="84">
        <f>IF(BH49&gt;280,(IF((0.85-(0.08*(BH49-280)/70))&gt;=0.65,0.65,(0.85-(0.05*(BH49-280)))/70)),0.85)</f>
        <v>0.85</v>
      </c>
      <c r="BP48" s="85">
        <f>0.5*((0.85*BH49*BO48*6000)/(BH50*(6000+BH50)))</f>
        <v>1.2142857142857143E-2</v>
      </c>
      <c r="BQ48" s="200">
        <f>IF(BN48&gt;BP48,1,0)</f>
        <v>0</v>
      </c>
      <c r="BR48" s="86">
        <f>14/BH50*BH52*BH53</f>
        <v>11.666666666666668</v>
      </c>
      <c r="BS48" s="82">
        <f>+BN48*BH52*BH53</f>
        <v>5.7759683614188964</v>
      </c>
      <c r="BT48" s="82">
        <f>IF(BS48&gt;BR48,BS48,BR48)</f>
        <v>11.666666666666668</v>
      </c>
      <c r="BU48" s="82">
        <f>+BJ52*BH52*BH53</f>
        <v>29.749999999999996</v>
      </c>
      <c r="BV48" s="87">
        <f>+BU48*BH50/(0.85*BH49*BH52*BO48)</f>
        <v>7.2058823529411757</v>
      </c>
    </row>
    <row r="49" spans="1:74" ht="15" hidden="1" x14ac:dyDescent="0.25">
      <c r="A49" s="216" t="s">
        <v>644</v>
      </c>
      <c r="B49" s="216" t="s">
        <v>354</v>
      </c>
      <c r="C49" s="216" t="s">
        <v>352</v>
      </c>
      <c r="D49" s="216">
        <v>-0.20419999999999999</v>
      </c>
      <c r="E49" s="216">
        <v>5.7999999999999996E-3</v>
      </c>
      <c r="F49" s="216">
        <v>-0.1573</v>
      </c>
      <c r="G49" s="216">
        <v>-1.507E-2</v>
      </c>
      <c r="H49" s="216">
        <v>-0.34122999999999998</v>
      </c>
      <c r="I49" s="216">
        <v>1.1E-4</v>
      </c>
      <c r="K49" s="33"/>
      <c r="L49" s="17" t="s">
        <v>376</v>
      </c>
      <c r="M49" s="34">
        <f t="shared" ref="M49:R49" si="53">D47+0.25*D48-D49</f>
        <v>0.31984999999999997</v>
      </c>
      <c r="N49" s="34">
        <f t="shared" si="53"/>
        <v>-7.2450000000000001E-2</v>
      </c>
      <c r="O49" s="34">
        <f t="shared" si="53"/>
        <v>2.1217999999999999</v>
      </c>
      <c r="P49" s="34">
        <f t="shared" si="53"/>
        <v>6.9849999999999995E-2</v>
      </c>
      <c r="Q49" s="34">
        <f t="shared" si="53"/>
        <v>0.46751749999999997</v>
      </c>
      <c r="R49" s="35">
        <f t="shared" si="53"/>
        <v>-2.3729000000000003E-4</v>
      </c>
      <c r="S49" s="17"/>
      <c r="T49" s="29"/>
      <c r="U49" s="29" t="s">
        <v>376</v>
      </c>
      <c r="V49" s="23">
        <f t="shared" si="49"/>
        <v>2.1217999999999999</v>
      </c>
      <c r="W49" s="23">
        <f t="shared" si="49"/>
        <v>6.9849999999999995E-2</v>
      </c>
      <c r="X49" s="23">
        <f t="shared" si="49"/>
        <v>0.46751749999999997</v>
      </c>
      <c r="Y49" s="29"/>
      <c r="Z49" s="31">
        <f>ABS(V49)/AC49/AD49</f>
        <v>2.2938378378378377</v>
      </c>
      <c r="AA49" s="23">
        <f>ABS(+W49/V49)</f>
        <v>3.2920162126496372E-2</v>
      </c>
      <c r="AB49" s="23">
        <f>ABS(X49/V49)</f>
        <v>0.22034004147422001</v>
      </c>
      <c r="AC49" s="36">
        <f t="shared" si="52"/>
        <v>0.5</v>
      </c>
      <c r="AD49" s="37">
        <f t="shared" si="52"/>
        <v>1.85</v>
      </c>
      <c r="AE49" s="22">
        <f t="shared" si="50"/>
        <v>0.43415967574700726</v>
      </c>
      <c r="AF49" s="22">
        <f t="shared" si="50"/>
        <v>1.40931991705156</v>
      </c>
      <c r="AG49" s="22">
        <f>AF49*AE49</f>
        <v>0.61186987821090444</v>
      </c>
      <c r="AH49" s="38">
        <f>V49/AG49</f>
        <v>3.467730763612848</v>
      </c>
      <c r="AI49" s="210"/>
      <c r="AJ49" s="237" t="s">
        <v>514</v>
      </c>
      <c r="AK49" s="238"/>
      <c r="AL49" s="238"/>
      <c r="AM49" s="238"/>
      <c r="AN49" s="239"/>
      <c r="AO49" s="237" t="s">
        <v>507</v>
      </c>
      <c r="AP49" s="238" t="s">
        <v>626</v>
      </c>
      <c r="AQ49" s="238">
        <f>0.6*AR46</f>
        <v>2100</v>
      </c>
      <c r="AR49" s="240" t="s">
        <v>627</v>
      </c>
      <c r="AS49" s="241">
        <f>+AR50+AR51</f>
        <v>3468.4754050925926</v>
      </c>
      <c r="AT49" s="221" t="s">
        <v>515</v>
      </c>
      <c r="AU49" s="221"/>
      <c r="AV49" s="221" t="s">
        <v>518</v>
      </c>
      <c r="AW49" s="242"/>
      <c r="AX49" s="231" t="s">
        <v>524</v>
      </c>
      <c r="AY49" s="243">
        <f>IF(BC48=(1+1/4),+(1+3/8),IF(BC48=1,(1+1/8),IF(BC48=(7/8),1,IF(BC48=(3/4),+(7/8),IF(BC48=(5/8),+(3/4),IF(BC48=(1/2),(9/16),IF(BC48=(3/8),+(7/16),"no valido")))))))</f>
        <v>1.125</v>
      </c>
      <c r="AZ49" s="244" t="s">
        <v>526</v>
      </c>
      <c r="BA49" s="227" t="s">
        <v>531</v>
      </c>
      <c r="BB49" s="245" t="s">
        <v>529</v>
      </c>
      <c r="BC49" s="246">
        <f>+AY50+3</f>
        <v>12</v>
      </c>
      <c r="BD49" s="236" t="s">
        <v>526</v>
      </c>
      <c r="BE49" s="227" t="s">
        <v>531</v>
      </c>
      <c r="BG49" s="65" t="s">
        <v>179</v>
      </c>
      <c r="BH49" s="66">
        <v>240</v>
      </c>
      <c r="BI49" s="88" t="s">
        <v>180</v>
      </c>
      <c r="BJ49" s="74" t="s">
        <v>181</v>
      </c>
      <c r="BK49" s="74" t="s">
        <v>182</v>
      </c>
      <c r="BL49" s="74" t="s">
        <v>183</v>
      </c>
      <c r="BM49" s="74" t="s">
        <v>165</v>
      </c>
      <c r="BN49" s="74" t="s">
        <v>184</v>
      </c>
      <c r="BO49" s="74" t="s">
        <v>185</v>
      </c>
      <c r="BP49" s="74" t="s">
        <v>186</v>
      </c>
      <c r="BQ49" s="74" t="s">
        <v>187</v>
      </c>
      <c r="BR49" s="74" t="s">
        <v>188</v>
      </c>
      <c r="BS49" s="74" t="s">
        <v>189</v>
      </c>
      <c r="BT49" s="74" t="s">
        <v>190</v>
      </c>
      <c r="BU49" s="75" t="s">
        <v>191</v>
      </c>
      <c r="BV49" s="89"/>
    </row>
    <row r="50" spans="1:74" ht="15.75" hidden="1" thickBot="1" x14ac:dyDescent="0.3">
      <c r="A50" s="216" t="s">
        <v>644</v>
      </c>
      <c r="B50" s="216" t="s">
        <v>355</v>
      </c>
      <c r="C50" s="216" t="s">
        <v>352</v>
      </c>
      <c r="D50" s="216">
        <v>7.7000000000000002E-3</v>
      </c>
      <c r="E50" s="216">
        <v>-0.58960000000000001</v>
      </c>
      <c r="F50" s="216">
        <v>-0.13020000000000001</v>
      </c>
      <c r="G50" s="216">
        <v>1.57751</v>
      </c>
      <c r="H50" s="216">
        <v>1.302E-2</v>
      </c>
      <c r="I50" s="216">
        <v>-1.1299999999999999E-3</v>
      </c>
      <c r="K50" s="33"/>
      <c r="L50" s="17" t="s">
        <v>377</v>
      </c>
      <c r="M50" s="34">
        <f t="shared" ref="M50:R50" si="54">D47+0.25*D48+D50</f>
        <v>0.12335</v>
      </c>
      <c r="N50" s="34">
        <f t="shared" si="54"/>
        <v>-0.65625</v>
      </c>
      <c r="O50" s="34">
        <f t="shared" si="54"/>
        <v>1.8342999999999998</v>
      </c>
      <c r="P50" s="34">
        <f t="shared" si="54"/>
        <v>1.63229</v>
      </c>
      <c r="Q50" s="34">
        <f t="shared" si="54"/>
        <v>0.1393075</v>
      </c>
      <c r="R50" s="35">
        <f t="shared" si="54"/>
        <v>-1.2572899999999999E-3</v>
      </c>
      <c r="S50" s="17"/>
      <c r="T50" s="29"/>
      <c r="U50" s="29" t="s">
        <v>377</v>
      </c>
      <c r="V50" s="23">
        <f t="shared" si="49"/>
        <v>1.8342999999999998</v>
      </c>
      <c r="W50" s="23">
        <f t="shared" si="49"/>
        <v>1.63229</v>
      </c>
      <c r="X50" s="23">
        <f t="shared" si="49"/>
        <v>0.1393075</v>
      </c>
      <c r="Y50" s="29"/>
      <c r="Z50" s="31">
        <f>ABS(V50)/AC50/AD50</f>
        <v>1.9830270270270267</v>
      </c>
      <c r="AA50" s="23">
        <f>ABS(+W50/V50)</f>
        <v>0.88987079539878988</v>
      </c>
      <c r="AB50" s="23">
        <f>ABS(X50/V50)</f>
        <v>7.5945864907594182E-2</v>
      </c>
      <c r="AC50" s="36">
        <f t="shared" si="52"/>
        <v>0.5</v>
      </c>
      <c r="AD50" s="37">
        <f t="shared" si="52"/>
        <v>1.85</v>
      </c>
      <c r="AE50" s="22">
        <f t="shared" si="50"/>
        <v>-1.2797415907975798</v>
      </c>
      <c r="AF50" s="22">
        <f t="shared" si="50"/>
        <v>1.6981082701848118</v>
      </c>
      <c r="AG50" s="22">
        <f>AF50*AE50</f>
        <v>-2.1731397790328373</v>
      </c>
      <c r="AH50" s="38">
        <f>V50/AG50</f>
        <v>-0.84407824001839438</v>
      </c>
      <c r="AI50" s="210"/>
      <c r="AJ50" s="222" t="s">
        <v>500</v>
      </c>
      <c r="AK50" s="247">
        <f>(MAX(V47:V51)+ABS(MAX(W47:W51))/(AL48/1000))*1000</f>
        <v>13573.333333333334</v>
      </c>
      <c r="AL50" s="248" t="s">
        <v>502</v>
      </c>
      <c r="AM50" s="247">
        <f>+ABS(MAX(AK50:AK51))/(+AK48*2/10+AL48*2/10)/(AP48/10)</f>
        <v>62.839506172839506</v>
      </c>
      <c r="AN50" s="249" t="str">
        <f>IF(AM50&lt;=AM51,"OK","REDIS")</f>
        <v>OK</v>
      </c>
      <c r="AO50" s="248" t="s">
        <v>508</v>
      </c>
      <c r="AP50" s="247">
        <f>((AO48/10/2-AL48/10/2)/2)*((MAX(ABS(MAX(W47:W51)),ABS(MIN(W47:W51)))*100000))/(AL48/10)</f>
        <v>95216.916666666672</v>
      </c>
      <c r="AQ50" s="248" t="s">
        <v>510</v>
      </c>
      <c r="AR50" s="247">
        <f>+AP50/(AK48*AP48*AP48/6/10/10/10)</f>
        <v>3306.1429398148148</v>
      </c>
      <c r="AS50" s="250" t="str">
        <f>IF(AR50&lt;=0.6*AR46,"OK","REDIS")</f>
        <v>REDIS</v>
      </c>
      <c r="AT50" s="247" t="s">
        <v>516</v>
      </c>
      <c r="AU50" s="251">
        <f>+AW48*(AP50/100000)/((AO48-AL48)/1000/4)/(AT48-1)</f>
        <v>6.529160000000001</v>
      </c>
      <c r="AV50" s="247" t="s">
        <v>519</v>
      </c>
      <c r="AW50" s="252">
        <f>+AW48*(ABS(MAX(M47:M51))+ABS(MIN(M47:M51)+ABS(MAX(N47:N51))+ABS(MIN(N47:N51))))/AV48</f>
        <v>0.16926000000000002</v>
      </c>
      <c r="AX50" s="231" t="s">
        <v>525</v>
      </c>
      <c r="AY50" s="243">
        <f>IF(BC48=(1+1/4),+(11-1/4),IF(BC48=1,(9),IF(BC48=(7/8),(7-7/8),IF(BC48=(3/4),+(6-3/4),IF(BC48=(5/8),+(5-5/8),IF(BC48=(1/2),(4-1/2),IF(BC48=(3-3/8),+(7/16),"no valido")))))))</f>
        <v>9</v>
      </c>
      <c r="AZ50" s="236" t="s">
        <v>526</v>
      </c>
      <c r="BA50" s="253" t="s">
        <v>533</v>
      </c>
      <c r="BB50" s="254" t="s">
        <v>521</v>
      </c>
      <c r="BC50" s="226">
        <f>+AV48</f>
        <v>10</v>
      </c>
      <c r="BD50" s="236" t="s">
        <v>527</v>
      </c>
      <c r="BE50" s="255" t="s">
        <v>534</v>
      </c>
      <c r="BG50" s="67" t="s">
        <v>192</v>
      </c>
      <c r="BH50" s="68">
        <v>4200</v>
      </c>
      <c r="BI50" s="90">
        <f>IF(6000*(1-BH54/BV48)&gt;BH50,BH50,6000*(1-BH54/BV48))</f>
        <v>1836.7346938775504</v>
      </c>
      <c r="BJ50" s="91">
        <f>ABS(BH48)-BJ54</f>
        <v>-28.393583821874998</v>
      </c>
      <c r="BK50" s="77">
        <f>IF(BQ48=0,0,+BJ50*100000/(BH51*BI50*(BH53-BH54)))</f>
        <v>0</v>
      </c>
      <c r="BL50" s="77">
        <f>+BK50*BI50/BH50</f>
        <v>0</v>
      </c>
      <c r="BM50" s="77">
        <f>+BL50+BU48</f>
        <v>29.749999999999996</v>
      </c>
      <c r="BN50" s="92">
        <f>2*BP48</f>
        <v>2.4285714285714285E-2</v>
      </c>
      <c r="BO50" s="92">
        <f>+BM50/BH52/BH53</f>
        <v>8.4999999999999989E-3</v>
      </c>
      <c r="BP50" s="79">
        <f>+BO50*BK50/BM50</f>
        <v>0</v>
      </c>
      <c r="BQ50" s="77">
        <f>6000*BH52/(6000+BH50)</f>
        <v>58.823529411764703</v>
      </c>
      <c r="BR50" s="79">
        <f>IF(6000*(1-BH54/BQ50)&gt;BH50,BH50,6000*(1-BH54/BQ50))</f>
        <v>4200</v>
      </c>
      <c r="BS50" s="92">
        <f>+BN50+BP50*BR50/BH50</f>
        <v>2.4285714285714285E-2</v>
      </c>
      <c r="BT50" s="92">
        <f>0.5*BS50</f>
        <v>1.2142857142857143E-2</v>
      </c>
      <c r="BU50" s="201" t="str">
        <f>IF(BN48&gt;BT50,"NO DUCTIL","DUCTIL")</f>
        <v>DUCTIL</v>
      </c>
      <c r="BV50" s="81"/>
    </row>
    <row r="51" spans="1:74" ht="15" hidden="1" x14ac:dyDescent="0.25">
      <c r="A51" s="216" t="s">
        <v>644</v>
      </c>
      <c r="B51" s="216" t="s">
        <v>624</v>
      </c>
      <c r="C51" s="216" t="s">
        <v>389</v>
      </c>
      <c r="D51" s="216">
        <v>0.14069999999999999</v>
      </c>
      <c r="E51" s="216">
        <v>-8.0799999999999997E-2</v>
      </c>
      <c r="F51" s="216">
        <v>2.411</v>
      </c>
      <c r="G51" s="216">
        <v>6.6009999999999999E-2</v>
      </c>
      <c r="H51" s="216">
        <v>0.15362000000000001</v>
      </c>
      <c r="I51" s="216">
        <v>-1.4999999999999999E-4</v>
      </c>
      <c r="K51" s="39"/>
      <c r="L51" s="40" t="s">
        <v>378</v>
      </c>
      <c r="M51" s="41">
        <f t="shared" ref="M51:R51" si="55">D47+0.25*D48-D50</f>
        <v>0.10795</v>
      </c>
      <c r="N51" s="41">
        <f t="shared" si="55"/>
        <v>0.52295000000000003</v>
      </c>
      <c r="O51" s="41">
        <f t="shared" si="55"/>
        <v>2.0947</v>
      </c>
      <c r="P51" s="41">
        <f t="shared" si="55"/>
        <v>-1.5227299999999999</v>
      </c>
      <c r="Q51" s="41">
        <f t="shared" si="55"/>
        <v>0.11326749999999999</v>
      </c>
      <c r="R51" s="42">
        <f t="shared" si="55"/>
        <v>1.00271E-3</v>
      </c>
      <c r="S51" s="17"/>
      <c r="T51" s="29"/>
      <c r="U51" s="29" t="s">
        <v>378</v>
      </c>
      <c r="V51" s="23">
        <f t="shared" si="49"/>
        <v>2.0947</v>
      </c>
      <c r="W51" s="23">
        <f t="shared" si="49"/>
        <v>-1.5227299999999999</v>
      </c>
      <c r="X51" s="23">
        <f t="shared" si="49"/>
        <v>0.11326749999999999</v>
      </c>
      <c r="Y51" s="29"/>
      <c r="Z51" s="31">
        <f>ABS(V51)/AC51/AD51</f>
        <v>2.2645405405405405</v>
      </c>
      <c r="AA51" s="23">
        <f>ABS(+W51/V51)</f>
        <v>0.72694419248579745</v>
      </c>
      <c r="AB51" s="23">
        <f>ABS(X51/V51)</f>
        <v>5.4073375662386021E-2</v>
      </c>
      <c r="AC51" s="36">
        <f t="shared" si="52"/>
        <v>0.5</v>
      </c>
      <c r="AD51" s="37">
        <f t="shared" si="52"/>
        <v>1.85</v>
      </c>
      <c r="AE51" s="22">
        <f t="shared" si="50"/>
        <v>-0.95388838497159489</v>
      </c>
      <c r="AF51" s="22">
        <f t="shared" si="50"/>
        <v>1.7418532486752281</v>
      </c>
      <c r="AG51" s="22">
        <f>AF51*AE51</f>
        <v>-1.6615335822363391</v>
      </c>
      <c r="AH51" s="38">
        <f>V51/AG51</f>
        <v>-1.2607027762753018</v>
      </c>
      <c r="AI51" s="210"/>
      <c r="AJ51" s="222" t="s">
        <v>501</v>
      </c>
      <c r="AK51" s="247">
        <f>(MAX(V47:V51)+ABS(MAX(X47:X51))/(AK48/1000))*1000</f>
        <v>4249.791666666667</v>
      </c>
      <c r="AL51" s="248" t="s">
        <v>505</v>
      </c>
      <c r="AM51" s="247">
        <f>+AR46*0.4/3</f>
        <v>466.66666666666669</v>
      </c>
      <c r="AN51" s="247"/>
      <c r="AO51" s="248" t="s">
        <v>509</v>
      </c>
      <c r="AP51" s="247">
        <f>((AN48/10/2-AK48/10/2)/2)*(MAX(+ABS(MAX(X47:X51)),ABS(MIN(X47:X51)))*100000/(AK48/10))</f>
        <v>2337.5875000000001</v>
      </c>
      <c r="AQ51" s="248" t="s">
        <v>511</v>
      </c>
      <c r="AR51" s="247">
        <f>+AP51/(AL48*AP48*AP48/6/1000)</f>
        <v>162.33246527777777</v>
      </c>
      <c r="AS51" s="250" t="str">
        <f>IF(AR51&lt;=0.6*AR46*1.1,"OK","REDIS")</f>
        <v>OK</v>
      </c>
      <c r="AT51" s="247" t="s">
        <v>517</v>
      </c>
      <c r="AU51" s="251">
        <f>+AW48*(AP51/100000)/((AN48-AK48)/1000/4)/(AU48-1)</f>
        <v>0.62335666666666667</v>
      </c>
      <c r="AV51" s="247"/>
      <c r="AW51" s="256"/>
      <c r="AX51" s="257" t="s">
        <v>522</v>
      </c>
      <c r="AY51" s="258">
        <f>IF(AY49=(1+3/8),+AV48/3,IF(AY49=(1+1/8),+AV48/6,IF(AY49=1,+AV48/8,IF(AY49=(7/8),+AV48/11,IF(AY49=0.75,+AV48/18,IF(AY49=(9/16),+AV48/45,IF(AY49=(7/16),+AV48/84,"NO HAY DATO")))))))</f>
        <v>1.6666666666666667</v>
      </c>
      <c r="AZ51" s="259" t="s">
        <v>527</v>
      </c>
      <c r="BA51" s="260"/>
      <c r="BB51" s="261" t="s">
        <v>523</v>
      </c>
      <c r="BC51" s="262">
        <f>+BC50*BC49*2.54/100</f>
        <v>3.048</v>
      </c>
      <c r="BD51" s="263" t="s">
        <v>528</v>
      </c>
      <c r="BE51" s="264"/>
      <c r="BG51" s="67" t="s">
        <v>193</v>
      </c>
      <c r="BH51" s="68">
        <v>0.9</v>
      </c>
      <c r="BI51" s="202" t="s">
        <v>197</v>
      </c>
      <c r="BJ51" s="93">
        <v>0.7</v>
      </c>
      <c r="BK51" s="98" t="s">
        <v>202</v>
      </c>
      <c r="BL51" s="99"/>
      <c r="BM51" s="203"/>
      <c r="BN51" s="100"/>
      <c r="BO51" s="101"/>
      <c r="BR51" s="98" t="s">
        <v>203</v>
      </c>
      <c r="BS51" s="99"/>
      <c r="BT51" s="203"/>
      <c r="BU51" s="100"/>
      <c r="BV51" s="101"/>
    </row>
    <row r="52" spans="1:74" ht="15" hidden="1" x14ac:dyDescent="0.25">
      <c r="A52" s="216" t="s">
        <v>644</v>
      </c>
      <c r="B52" s="216" t="s">
        <v>625</v>
      </c>
      <c r="C52" s="216" t="s">
        <v>389</v>
      </c>
      <c r="D52" s="216">
        <v>7.2700000000000001E-2</v>
      </c>
      <c r="E52" s="216">
        <v>0.54339999999999999</v>
      </c>
      <c r="F52" s="216">
        <v>1.5079</v>
      </c>
      <c r="G52" s="216">
        <v>-1.5398000000000001</v>
      </c>
      <c r="H52" s="216">
        <v>7.4759999999999993E-2</v>
      </c>
      <c r="I52" s="216">
        <v>1.0399999999999999E-3</v>
      </c>
      <c r="K52" s="25" t="s">
        <v>357</v>
      </c>
      <c r="L52" s="26" t="s">
        <v>358</v>
      </c>
      <c r="M52" s="27" t="s">
        <v>359</v>
      </c>
      <c r="N52" s="27" t="s">
        <v>360</v>
      </c>
      <c r="O52" s="27" t="s">
        <v>361</v>
      </c>
      <c r="P52" s="27" t="s">
        <v>362</v>
      </c>
      <c r="Q52" s="27" t="s">
        <v>363</v>
      </c>
      <c r="R52" s="28" t="s">
        <v>364</v>
      </c>
      <c r="S52" s="17"/>
      <c r="T52" s="29" t="s">
        <v>365</v>
      </c>
      <c r="U52" s="29" t="s">
        <v>358</v>
      </c>
      <c r="V52" s="30" t="s">
        <v>361</v>
      </c>
      <c r="W52" s="30" t="s">
        <v>362</v>
      </c>
      <c r="X52" s="30" t="s">
        <v>363</v>
      </c>
      <c r="Y52" s="29" t="s">
        <v>366</v>
      </c>
      <c r="Z52" s="31" t="s">
        <v>367</v>
      </c>
      <c r="AA52" s="23" t="s">
        <v>368</v>
      </c>
      <c r="AB52" s="23" t="s">
        <v>369</v>
      </c>
      <c r="AC52" s="22" t="s">
        <v>0</v>
      </c>
      <c r="AD52" s="22" t="s">
        <v>1</v>
      </c>
      <c r="AE52" s="22" t="s">
        <v>370</v>
      </c>
      <c r="AF52" s="22" t="s">
        <v>371</v>
      </c>
      <c r="AG52" s="22" t="s">
        <v>372</v>
      </c>
      <c r="AH52" s="32" t="s">
        <v>373</v>
      </c>
      <c r="AI52" s="210"/>
      <c r="AJ52" s="265" t="s">
        <v>365</v>
      </c>
      <c r="AK52" s="266" t="s">
        <v>498</v>
      </c>
      <c r="AL52" s="238"/>
      <c r="AM52" s="239"/>
      <c r="AN52" s="237" t="s">
        <v>499</v>
      </c>
      <c r="AO52" s="238"/>
      <c r="AP52" s="239"/>
      <c r="AQ52" s="222" t="s">
        <v>506</v>
      </c>
      <c r="AR52" s="221">
        <v>3500</v>
      </c>
      <c r="AS52" s="222" t="s">
        <v>405</v>
      </c>
      <c r="AT52" s="237" t="s">
        <v>512</v>
      </c>
      <c r="AU52" s="238"/>
      <c r="AV52" s="238"/>
      <c r="AW52" s="238"/>
      <c r="AX52" s="267" t="s">
        <v>532</v>
      </c>
      <c r="AY52" s="225" t="s">
        <v>515</v>
      </c>
      <c r="AZ52" s="268">
        <v>6.9</v>
      </c>
      <c r="BA52" s="269" t="str">
        <f>IF(MAX(AU56:AU57)&lt;=AZ52,"OK","REDIS")</f>
        <v>REDIS</v>
      </c>
      <c r="BB52" s="267" t="s">
        <v>536</v>
      </c>
      <c r="BC52" s="270" t="s">
        <v>515</v>
      </c>
      <c r="BD52" s="268">
        <v>8.36</v>
      </c>
      <c r="BE52" s="269" t="str">
        <f>IF(MAX(AU56:AU57)&lt;=BD52,"OK","REDIS")</f>
        <v>OK</v>
      </c>
      <c r="BG52" s="67" t="s">
        <v>194</v>
      </c>
      <c r="BH52" s="68">
        <v>100</v>
      </c>
      <c r="BI52" s="94" t="s">
        <v>169</v>
      </c>
      <c r="BJ52" s="96">
        <f>+BJ51*BP48</f>
        <v>8.4999999999999989E-3</v>
      </c>
      <c r="BK52" s="204" t="s">
        <v>380</v>
      </c>
      <c r="BL52" s="103">
        <f>1.3*1*(BH46-0.1-BK46)*BO46</f>
        <v>27.124499999999998</v>
      </c>
      <c r="BM52" s="104" t="s">
        <v>176</v>
      </c>
      <c r="BN52" s="74" t="s">
        <v>177</v>
      </c>
      <c r="BO52" s="105" t="s">
        <v>178</v>
      </c>
      <c r="BR52" s="204" t="s">
        <v>380</v>
      </c>
      <c r="BS52" s="103">
        <f>(+BH46*BH46-BK46*BK46)*1.3*BO46</f>
        <v>64.264200000000017</v>
      </c>
      <c r="BT52" s="104" t="s">
        <v>176</v>
      </c>
      <c r="BU52" s="74" t="s">
        <v>177</v>
      </c>
      <c r="BV52" s="105" t="s">
        <v>178</v>
      </c>
    </row>
    <row r="53" spans="1:74" ht="15" hidden="1" x14ac:dyDescent="0.25">
      <c r="A53" s="216" t="s">
        <v>645</v>
      </c>
      <c r="B53" s="216" t="s">
        <v>351</v>
      </c>
      <c r="C53" s="216" t="s">
        <v>352</v>
      </c>
      <c r="D53" s="216">
        <v>0.24329999999999999</v>
      </c>
      <c r="E53" s="216">
        <v>0.1535</v>
      </c>
      <c r="F53" s="216">
        <v>2.4009</v>
      </c>
      <c r="G53" s="216">
        <v>-0.15472</v>
      </c>
      <c r="H53" s="216">
        <v>0.27534999999999998</v>
      </c>
      <c r="I53" s="216">
        <v>-8.4309999999999997E-5</v>
      </c>
      <c r="K53" s="33" t="str">
        <f>+A53</f>
        <v>65</v>
      </c>
      <c r="L53" s="17" t="s">
        <v>374</v>
      </c>
      <c r="M53" s="34">
        <f t="shared" ref="M53:R53" si="56">D53+D54</f>
        <v>0.39169999999999999</v>
      </c>
      <c r="N53" s="34">
        <f t="shared" si="56"/>
        <v>0.24559999999999998</v>
      </c>
      <c r="O53" s="34">
        <f t="shared" si="56"/>
        <v>3.7862</v>
      </c>
      <c r="P53" s="34">
        <f t="shared" si="56"/>
        <v>-0.2465</v>
      </c>
      <c r="Q53" s="34">
        <f t="shared" si="56"/>
        <v>0.44318000000000002</v>
      </c>
      <c r="R53" s="35">
        <f t="shared" si="56"/>
        <v>-1.4173000000000001E-4</v>
      </c>
      <c r="S53" s="17"/>
      <c r="T53" s="29" t="str">
        <f>K53</f>
        <v>65</v>
      </c>
      <c r="U53" s="29" t="s">
        <v>374</v>
      </c>
      <c r="V53" s="23">
        <f t="shared" ref="V53:X57" si="57">O53</f>
        <v>3.7862</v>
      </c>
      <c r="W53" s="23">
        <f t="shared" si="57"/>
        <v>-0.2465</v>
      </c>
      <c r="X53" s="23">
        <f t="shared" si="57"/>
        <v>0.44318000000000002</v>
      </c>
      <c r="Y53" s="29">
        <v>10</v>
      </c>
      <c r="Z53" s="31">
        <f>ABS(V53)/AC53/AD53</f>
        <v>1.4789843749999998</v>
      </c>
      <c r="AA53" s="23">
        <f>ABS(+W53/V53)</f>
        <v>6.5104854471501772E-2</v>
      </c>
      <c r="AB53" s="23">
        <f>ABS(X53/V53)</f>
        <v>0.11705139717922984</v>
      </c>
      <c r="AC53" s="36">
        <v>0.8</v>
      </c>
      <c r="AD53" s="37">
        <v>3.2</v>
      </c>
      <c r="AE53" s="22">
        <f t="shared" ref="AE53:AF57" si="58">AC53-2*AA53</f>
        <v>0.6697902910569965</v>
      </c>
      <c r="AF53" s="22">
        <f t="shared" si="58"/>
        <v>2.9658972056415407</v>
      </c>
      <c r="AG53" s="22">
        <f>AF53*AE53</f>
        <v>1.9865291526117801</v>
      </c>
      <c r="AH53" s="38">
        <f>V53/AG53</f>
        <v>1.9059372952176972</v>
      </c>
      <c r="AI53" s="210"/>
      <c r="AJ53" s="221" t="str">
        <f>+K53</f>
        <v>65</v>
      </c>
      <c r="AK53" s="222" t="s">
        <v>0</v>
      </c>
      <c r="AL53" s="222" t="s">
        <v>1</v>
      </c>
      <c r="AM53" s="222" t="s">
        <v>438</v>
      </c>
      <c r="AN53" s="222" t="s">
        <v>503</v>
      </c>
      <c r="AO53" s="222" t="s">
        <v>504</v>
      </c>
      <c r="AP53" s="222" t="s">
        <v>323</v>
      </c>
      <c r="AQ53" s="221"/>
      <c r="AR53" s="221"/>
      <c r="AS53" s="221"/>
      <c r="AT53" s="222" t="s">
        <v>0</v>
      </c>
      <c r="AU53" s="222" t="s">
        <v>1</v>
      </c>
      <c r="AV53" s="222" t="s">
        <v>513</v>
      </c>
      <c r="AW53" s="223" t="s">
        <v>520</v>
      </c>
      <c r="AX53" s="224" t="s">
        <v>530</v>
      </c>
      <c r="AY53" s="225" t="s">
        <v>178</v>
      </c>
      <c r="AZ53" s="226">
        <v>12</v>
      </c>
      <c r="BA53" s="227" t="str">
        <f>IF(AW56&lt;=AZ53,"OK","REDIS")</f>
        <v>OK</v>
      </c>
      <c r="BB53" s="224" t="s">
        <v>535</v>
      </c>
      <c r="BC53" s="228" t="s">
        <v>178</v>
      </c>
      <c r="BD53" s="226">
        <v>4.3</v>
      </c>
      <c r="BE53" s="227" t="str">
        <f>IF(AW56&lt;=BD53,"OK","REDIS")</f>
        <v>OK</v>
      </c>
      <c r="BG53" s="67" t="s">
        <v>195</v>
      </c>
      <c r="BH53" s="68">
        <f>+BK46*100-5</f>
        <v>35</v>
      </c>
      <c r="BI53" s="94" t="s">
        <v>373</v>
      </c>
      <c r="BJ53" s="96">
        <f>+BJ52*BH50/BH49</f>
        <v>0.14874999999999999</v>
      </c>
      <c r="BK53" s="106"/>
      <c r="BL53" s="48"/>
      <c r="BM53" s="102">
        <f>SQRT(BH49)*0.53*BH52*BH53/1000</f>
        <v>28.737536428859034</v>
      </c>
      <c r="BN53" s="73">
        <f>SQRT(BH49)*0.93*BH52*BH53/1000</f>
        <v>50.426243167620569</v>
      </c>
      <c r="BO53" s="205" t="str">
        <f>IF(BL52&lt;BN53,"OK","REDIS")</f>
        <v>OK</v>
      </c>
      <c r="BR53" s="106"/>
      <c r="BS53" s="48"/>
      <c r="BT53" s="102">
        <f>SQRT(BH49)*0.53*(+BK46*100*4+0.3*2+0.4*2)*BK46*100/1000</f>
        <v>53.008438624203983</v>
      </c>
      <c r="BU53" s="73">
        <f>+BT53*0.93/0.53</f>
        <v>93.014807397188108</v>
      </c>
      <c r="BV53" s="205" t="str">
        <f>IF(BS52&lt;BU53,"OK","REDIS")</f>
        <v>OK</v>
      </c>
    </row>
    <row r="54" spans="1:74" ht="15.75" hidden="1" thickBot="1" x14ac:dyDescent="0.3">
      <c r="A54" s="216" t="s">
        <v>645</v>
      </c>
      <c r="B54" s="216" t="s">
        <v>353</v>
      </c>
      <c r="C54" s="216" t="s">
        <v>352</v>
      </c>
      <c r="D54" s="216">
        <v>0.1484</v>
      </c>
      <c r="E54" s="216">
        <v>9.2100000000000001E-2</v>
      </c>
      <c r="F54" s="216">
        <v>1.3853</v>
      </c>
      <c r="G54" s="216">
        <v>-9.178E-2</v>
      </c>
      <c r="H54" s="216">
        <v>0.16783000000000001</v>
      </c>
      <c r="I54" s="216">
        <v>-5.7420000000000003E-5</v>
      </c>
      <c r="K54" s="33"/>
      <c r="L54" s="17" t="s">
        <v>375</v>
      </c>
      <c r="M54" s="34">
        <f t="shared" ref="M54:R54" si="59">D53+0.25*D54+D55</f>
        <v>0.11519999999999997</v>
      </c>
      <c r="N54" s="34">
        <f t="shared" si="59"/>
        <v>0.18242499999999998</v>
      </c>
      <c r="O54" s="34">
        <f t="shared" si="59"/>
        <v>2.6827250000000005</v>
      </c>
      <c r="P54" s="34">
        <f t="shared" si="59"/>
        <v>-0.193075</v>
      </c>
      <c r="Q54" s="34">
        <f t="shared" si="59"/>
        <v>4.3007499999999976E-2</v>
      </c>
      <c r="R54" s="35">
        <f t="shared" si="59"/>
        <v>6.1335000000000008E-5</v>
      </c>
      <c r="S54" s="17"/>
      <c r="T54" s="29"/>
      <c r="U54" s="29" t="s">
        <v>375</v>
      </c>
      <c r="V54" s="23">
        <f t="shared" si="57"/>
        <v>2.6827250000000005</v>
      </c>
      <c r="W54" s="23">
        <f t="shared" si="57"/>
        <v>-0.193075</v>
      </c>
      <c r="X54" s="23">
        <f t="shared" si="57"/>
        <v>4.3007499999999976E-2</v>
      </c>
      <c r="Y54" s="29">
        <f>1.33*Y53</f>
        <v>13.3</v>
      </c>
      <c r="Z54" s="31">
        <f>ABS(V54)/AC54/AD54</f>
        <v>1.0479394531250001</v>
      </c>
      <c r="AA54" s="23">
        <f>ABS(+W54/V54)</f>
        <v>7.1969732268495637E-2</v>
      </c>
      <c r="AB54" s="23">
        <f>ABS(X54/V54)</f>
        <v>1.6031274170852386E-2</v>
      </c>
      <c r="AC54" s="36">
        <f t="shared" ref="AC54:AD57" si="60">AC53</f>
        <v>0.8</v>
      </c>
      <c r="AD54" s="37">
        <f t="shared" si="60"/>
        <v>3.2</v>
      </c>
      <c r="AE54" s="22">
        <f t="shared" si="58"/>
        <v>0.6560605354630088</v>
      </c>
      <c r="AF54" s="22">
        <f t="shared" si="58"/>
        <v>3.1679374516582954</v>
      </c>
      <c r="AG54" s="22">
        <f>AF54*AE54</f>
        <v>2.0783587408482607</v>
      </c>
      <c r="AH54" s="38">
        <f>V54/AG54</f>
        <v>1.2907901544009068</v>
      </c>
      <c r="AI54" s="210"/>
      <c r="AJ54" s="222" t="s">
        <v>539</v>
      </c>
      <c r="AK54" s="229">
        <v>300</v>
      </c>
      <c r="AL54" s="229">
        <v>150</v>
      </c>
      <c r="AM54" s="229">
        <v>5</v>
      </c>
      <c r="AN54" s="230">
        <v>360</v>
      </c>
      <c r="AO54" s="230">
        <v>500</v>
      </c>
      <c r="AP54" s="230">
        <v>25</v>
      </c>
      <c r="AQ54" s="221"/>
      <c r="AR54" s="221"/>
      <c r="AS54" s="221"/>
      <c r="AT54" s="221">
        <v>3</v>
      </c>
      <c r="AU54" s="221">
        <v>4</v>
      </c>
      <c r="AV54" s="230">
        <f>+AT54*2+(AU54-2)*2</f>
        <v>10</v>
      </c>
      <c r="AW54" s="223">
        <v>1.2</v>
      </c>
      <c r="AX54" s="231" t="s">
        <v>538</v>
      </c>
      <c r="AY54" s="232">
        <f>+AV54</f>
        <v>10</v>
      </c>
      <c r="AZ54" s="210"/>
      <c r="BA54" s="233"/>
      <c r="BB54" s="234" t="s">
        <v>537</v>
      </c>
      <c r="BC54" s="235">
        <v>1</v>
      </c>
      <c r="BD54" s="236" t="s">
        <v>526</v>
      </c>
      <c r="BE54" s="233"/>
      <c r="BG54" s="71" t="s">
        <v>196</v>
      </c>
      <c r="BH54" s="72">
        <v>5</v>
      </c>
      <c r="BI54" s="95" t="s">
        <v>198</v>
      </c>
      <c r="BJ54" s="97">
        <f>+BH51*BH49*BH52*BH53*BH53*BJ53*(1-0.59*BJ53)/100000</f>
        <v>35.904983821875</v>
      </c>
      <c r="BK54" s="107"/>
      <c r="BL54" s="80"/>
      <c r="BM54" s="206"/>
      <c r="BN54" s="78"/>
      <c r="BO54" s="108"/>
      <c r="BR54" s="107"/>
      <c r="BS54" s="80"/>
      <c r="BT54" s="206"/>
      <c r="BU54" s="78"/>
      <c r="BV54" s="108"/>
    </row>
    <row r="55" spans="1:74" ht="15" hidden="1" x14ac:dyDescent="0.25">
      <c r="A55" s="216" t="s">
        <v>645</v>
      </c>
      <c r="B55" s="216" t="s">
        <v>354</v>
      </c>
      <c r="C55" s="216" t="s">
        <v>352</v>
      </c>
      <c r="D55" s="216">
        <v>-0.16520000000000001</v>
      </c>
      <c r="E55" s="216">
        <v>5.8999999999999999E-3</v>
      </c>
      <c r="F55" s="216">
        <v>-6.4500000000000002E-2</v>
      </c>
      <c r="G55" s="216">
        <v>-1.541E-2</v>
      </c>
      <c r="H55" s="216">
        <v>-0.27429999999999999</v>
      </c>
      <c r="I55" s="216">
        <v>1.6000000000000001E-4</v>
      </c>
      <c r="K55" s="33"/>
      <c r="L55" s="17" t="s">
        <v>376</v>
      </c>
      <c r="M55" s="34">
        <f t="shared" ref="M55:R55" si="61">D53+0.25*D54-D55</f>
        <v>0.4456</v>
      </c>
      <c r="N55" s="34">
        <f t="shared" si="61"/>
        <v>0.170625</v>
      </c>
      <c r="O55" s="34">
        <f t="shared" si="61"/>
        <v>2.811725</v>
      </c>
      <c r="P55" s="34">
        <f t="shared" si="61"/>
        <v>-0.16225499999999998</v>
      </c>
      <c r="Q55" s="34">
        <f t="shared" si="61"/>
        <v>0.59160749999999995</v>
      </c>
      <c r="R55" s="35">
        <f t="shared" si="61"/>
        <v>-2.5866500000000005E-4</v>
      </c>
      <c r="S55" s="17"/>
      <c r="T55" s="29"/>
      <c r="U55" s="29" t="s">
        <v>376</v>
      </c>
      <c r="V55" s="23">
        <f t="shared" si="57"/>
        <v>2.811725</v>
      </c>
      <c r="W55" s="23">
        <f t="shared" si="57"/>
        <v>-0.16225499999999998</v>
      </c>
      <c r="X55" s="23">
        <f t="shared" si="57"/>
        <v>0.59160749999999995</v>
      </c>
      <c r="Y55" s="29"/>
      <c r="Z55" s="31">
        <f>ABS(V55)/AC55/AD55</f>
        <v>1.0983300781249998</v>
      </c>
      <c r="AA55" s="23">
        <f>ABS(+W55/V55)</f>
        <v>5.7706568032079943E-2</v>
      </c>
      <c r="AB55" s="23">
        <f>ABS(X55/V55)</f>
        <v>0.21040731223714979</v>
      </c>
      <c r="AC55" s="36">
        <f t="shared" si="60"/>
        <v>0.8</v>
      </c>
      <c r="AD55" s="37">
        <f t="shared" si="60"/>
        <v>3.2</v>
      </c>
      <c r="AE55" s="22">
        <f t="shared" si="58"/>
        <v>0.68458686393584012</v>
      </c>
      <c r="AF55" s="22">
        <f t="shared" si="58"/>
        <v>2.7791853755257008</v>
      </c>
      <c r="AG55" s="22">
        <f>AF55*AE55</f>
        <v>1.9025938005274896</v>
      </c>
      <c r="AH55" s="38">
        <f>V55/AG55</f>
        <v>1.4778377808339624</v>
      </c>
      <c r="AI55" s="210"/>
      <c r="AJ55" s="237" t="s">
        <v>514</v>
      </c>
      <c r="AK55" s="238"/>
      <c r="AL55" s="238"/>
      <c r="AM55" s="238"/>
      <c r="AN55" s="239"/>
      <c r="AO55" s="237" t="s">
        <v>507</v>
      </c>
      <c r="AP55" s="238" t="s">
        <v>626</v>
      </c>
      <c r="AQ55" s="238">
        <f>0.6*AR52</f>
        <v>2100</v>
      </c>
      <c r="AR55" s="240" t="s">
        <v>627</v>
      </c>
      <c r="AS55" s="241">
        <f>+AR56+AR57</f>
        <v>3446.2464</v>
      </c>
      <c r="AT55" s="221" t="s">
        <v>515</v>
      </c>
      <c r="AU55" s="221"/>
      <c r="AV55" s="221" t="s">
        <v>518</v>
      </c>
      <c r="AW55" s="242"/>
      <c r="AX55" s="231" t="s">
        <v>524</v>
      </c>
      <c r="AY55" s="243">
        <f>IF(BC54=(1+1/4),+(1+3/8),IF(BC54=1,(1+1/8),IF(BC54=(7/8),1,IF(BC54=(3/4),+(7/8),IF(BC54=(5/8),+(3/4),IF(BC54=(1/2),(9/16),IF(BC54=(3/8),+(7/16),"no valido")))))))</f>
        <v>1.125</v>
      </c>
      <c r="AZ55" s="244" t="s">
        <v>526</v>
      </c>
      <c r="BA55" s="227" t="s">
        <v>531</v>
      </c>
      <c r="BB55" s="245" t="s">
        <v>529</v>
      </c>
      <c r="BC55" s="246">
        <f>+AY56+3</f>
        <v>12</v>
      </c>
      <c r="BD55" s="236" t="s">
        <v>526</v>
      </c>
      <c r="BE55" s="227" t="s">
        <v>531</v>
      </c>
    </row>
    <row r="56" spans="1:74" ht="15" hidden="1" x14ac:dyDescent="0.25">
      <c r="A56" s="216" t="s">
        <v>645</v>
      </c>
      <c r="B56" s="216" t="s">
        <v>355</v>
      </c>
      <c r="C56" s="216" t="s">
        <v>352</v>
      </c>
      <c r="D56" s="216">
        <v>6.1400000000000003E-2</v>
      </c>
      <c r="E56" s="216">
        <v>-0.59960000000000002</v>
      </c>
      <c r="F56" s="216">
        <v>0.26179999999999998</v>
      </c>
      <c r="G56" s="216">
        <v>1.5671200000000001</v>
      </c>
      <c r="H56" s="216">
        <v>6.5019999999999994E-2</v>
      </c>
      <c r="I56" s="216">
        <v>-1.25E-3</v>
      </c>
      <c r="K56" s="33"/>
      <c r="L56" s="17" t="s">
        <v>377</v>
      </c>
      <c r="M56" s="34">
        <f t="shared" ref="M56:R56" si="62">D53+0.25*D54+D56</f>
        <v>0.34179999999999999</v>
      </c>
      <c r="N56" s="34">
        <f t="shared" si="62"/>
        <v>-0.42307500000000003</v>
      </c>
      <c r="O56" s="34">
        <f t="shared" si="62"/>
        <v>3.0090250000000003</v>
      </c>
      <c r="P56" s="34">
        <f t="shared" si="62"/>
        <v>1.3894550000000001</v>
      </c>
      <c r="Q56" s="34">
        <f t="shared" si="62"/>
        <v>0.38232749999999993</v>
      </c>
      <c r="R56" s="35">
        <f t="shared" si="62"/>
        <v>-1.348665E-3</v>
      </c>
      <c r="S56" s="17"/>
      <c r="T56" s="29"/>
      <c r="U56" s="29" t="s">
        <v>377</v>
      </c>
      <c r="V56" s="23">
        <f t="shared" si="57"/>
        <v>3.0090250000000003</v>
      </c>
      <c r="W56" s="23">
        <f t="shared" si="57"/>
        <v>1.3894550000000001</v>
      </c>
      <c r="X56" s="23">
        <f t="shared" si="57"/>
        <v>0.38232749999999993</v>
      </c>
      <c r="Y56" s="29"/>
      <c r="Z56" s="31">
        <f>ABS(V56)/AC56/AD56</f>
        <v>1.1754003906249999</v>
      </c>
      <c r="AA56" s="23">
        <f>ABS(+W56/V56)</f>
        <v>0.46176253105241732</v>
      </c>
      <c r="AB56" s="23">
        <f>ABS(X56/V56)</f>
        <v>0.12706026038334672</v>
      </c>
      <c r="AC56" s="36">
        <f t="shared" si="60"/>
        <v>0.8</v>
      </c>
      <c r="AD56" s="37">
        <f t="shared" si="60"/>
        <v>3.2</v>
      </c>
      <c r="AE56" s="22">
        <f t="shared" si="58"/>
        <v>-0.1235250621048346</v>
      </c>
      <c r="AF56" s="22">
        <f t="shared" si="58"/>
        <v>2.945879479233307</v>
      </c>
      <c r="AG56" s="22">
        <f>AF56*AE56</f>
        <v>-0.36388994562565208</v>
      </c>
      <c r="AH56" s="38">
        <f>V56/AG56</f>
        <v>-8.2690523224719783</v>
      </c>
      <c r="AI56" s="210"/>
      <c r="AJ56" s="222" t="s">
        <v>500</v>
      </c>
      <c r="AK56" s="247">
        <f>(MAX(V53:V57)+ABS(MAX(W53:W57))/(AL54/1000))*1000</f>
        <v>13049.233333333334</v>
      </c>
      <c r="AL56" s="248" t="s">
        <v>502</v>
      </c>
      <c r="AM56" s="247">
        <f>+ABS(MAX(AK56:AK57))/(+AK54*2/10+AL54*2/10)/(AP54/10)</f>
        <v>57.996592592592592</v>
      </c>
      <c r="AN56" s="249" t="str">
        <f>IF(AM56&lt;=AM57,"OK","REDIS")</f>
        <v>OK</v>
      </c>
      <c r="AO56" s="248" t="s">
        <v>508</v>
      </c>
      <c r="AP56" s="247">
        <f>((AO54/10/2-AL54/10/2)/2)*((MAX(ABS(MAX(W53:W57)),ABS(MIN(W53:W57)))*100000))/(AL54/10)</f>
        <v>101779.125</v>
      </c>
      <c r="AQ56" s="248" t="s">
        <v>510</v>
      </c>
      <c r="AR56" s="247">
        <f>+AP56/(AK54*AP54*AP54/6/10/10/10)</f>
        <v>3256.9319999999998</v>
      </c>
      <c r="AS56" s="250" t="str">
        <f>IF(AR56&lt;=0.6*AR52*1.1,"OK","REDIS")</f>
        <v>REDIS</v>
      </c>
      <c r="AT56" s="247" t="s">
        <v>516</v>
      </c>
      <c r="AU56" s="251">
        <f>+AW54*(AP56/100000)/((AO54-AL54)/1000/4)/(AT54-1)</f>
        <v>6.9791399999999992</v>
      </c>
      <c r="AV56" s="247" t="s">
        <v>519</v>
      </c>
      <c r="AW56" s="252">
        <f>+AW54*(ABS(MAX(M53:M57))+ABS(MIN(M53:M57)+ABS(MAX(N53:N57))+ABS(MIN(N53:N57))))/AV54</f>
        <v>0.2112</v>
      </c>
      <c r="AX56" s="231" t="s">
        <v>525</v>
      </c>
      <c r="AY56" s="243">
        <f>IF(BC54=(1+1/4),+(11-1/4),IF(BC54=1,(9),IF(BC54=(7/8),(7-7/8),IF(BC54=(3/4),+(6-3/4),IF(BC54=(5/8),+(5-5/8),IF(BC54=(1/2),(4-1/2),IF(BC54=(3-3/8),+(7/16),"no valido")))))))</f>
        <v>9</v>
      </c>
      <c r="AZ56" s="236" t="s">
        <v>526</v>
      </c>
      <c r="BA56" s="253" t="s">
        <v>533</v>
      </c>
      <c r="BB56" s="254" t="s">
        <v>521</v>
      </c>
      <c r="BC56" s="226">
        <f>+AV54</f>
        <v>10</v>
      </c>
      <c r="BD56" s="236" t="s">
        <v>527</v>
      </c>
      <c r="BE56" s="255" t="s">
        <v>534</v>
      </c>
      <c r="BG56" s="109"/>
      <c r="BH56" s="142"/>
      <c r="BJ56" s="109"/>
      <c r="BK56" s="142"/>
      <c r="BM56" s="110"/>
      <c r="BN56" s="110"/>
      <c r="BO56" s="110"/>
      <c r="BP56" s="110"/>
    </row>
    <row r="57" spans="1:74" ht="15" hidden="1" x14ac:dyDescent="0.25">
      <c r="A57" s="216" t="s">
        <v>645</v>
      </c>
      <c r="B57" s="216" t="s">
        <v>624</v>
      </c>
      <c r="C57" s="216" t="s">
        <v>389</v>
      </c>
      <c r="D57" s="216">
        <v>0.3407</v>
      </c>
      <c r="E57" s="216">
        <v>0.21490000000000001</v>
      </c>
      <c r="F57" s="216">
        <v>3.3612000000000002</v>
      </c>
      <c r="G57" s="216">
        <v>-0.21661</v>
      </c>
      <c r="H57" s="216">
        <v>0.38549</v>
      </c>
      <c r="I57" s="216">
        <v>-1.2E-4</v>
      </c>
      <c r="K57" s="39"/>
      <c r="L57" s="40" t="s">
        <v>378</v>
      </c>
      <c r="M57" s="41">
        <f t="shared" ref="M57:R57" si="63">D53+0.25*D54-D56</f>
        <v>0.21899999999999997</v>
      </c>
      <c r="N57" s="41">
        <f t="shared" si="63"/>
        <v>0.77612499999999995</v>
      </c>
      <c r="O57" s="41">
        <f t="shared" si="63"/>
        <v>2.4854250000000002</v>
      </c>
      <c r="P57" s="41">
        <f t="shared" si="63"/>
        <v>-1.744785</v>
      </c>
      <c r="Q57" s="41">
        <f t="shared" si="63"/>
        <v>0.2522875</v>
      </c>
      <c r="R57" s="42">
        <f t="shared" si="63"/>
        <v>1.1513350000000001E-3</v>
      </c>
      <c r="S57" s="17"/>
      <c r="T57" s="29"/>
      <c r="U57" s="29" t="s">
        <v>378</v>
      </c>
      <c r="V57" s="23">
        <f t="shared" si="57"/>
        <v>2.4854250000000002</v>
      </c>
      <c r="W57" s="23">
        <f t="shared" si="57"/>
        <v>-1.744785</v>
      </c>
      <c r="X57" s="23">
        <f t="shared" si="57"/>
        <v>0.2522875</v>
      </c>
      <c r="Y57" s="29"/>
      <c r="Z57" s="31">
        <f>ABS(V57)/AC57/AD57</f>
        <v>0.97086914062499996</v>
      </c>
      <c r="AA57" s="23">
        <f>ABS(+W57/V57)</f>
        <v>0.70200669905549351</v>
      </c>
      <c r="AB57" s="23">
        <f>ABS(X57/V57)</f>
        <v>0.10150678455394951</v>
      </c>
      <c r="AC57" s="36">
        <f t="shared" si="60"/>
        <v>0.8</v>
      </c>
      <c r="AD57" s="37">
        <f t="shared" si="60"/>
        <v>3.2</v>
      </c>
      <c r="AE57" s="22">
        <f t="shared" si="58"/>
        <v>-0.60401339811098698</v>
      </c>
      <c r="AF57" s="22">
        <f t="shared" si="58"/>
        <v>2.9969864308921013</v>
      </c>
      <c r="AG57" s="22">
        <f>AF57*AE57</f>
        <v>-1.8102199582156566</v>
      </c>
      <c r="AH57" s="38">
        <f>V57/AG57</f>
        <v>-1.3729961316136945</v>
      </c>
      <c r="AI57" s="210"/>
      <c r="AJ57" s="222" t="s">
        <v>501</v>
      </c>
      <c r="AK57" s="247">
        <f>(MAX(V53:V57)+ABS(MAX(X53:X57))/(AK54/1000))*1000</f>
        <v>5758.2249999999995</v>
      </c>
      <c r="AL57" s="248" t="s">
        <v>505</v>
      </c>
      <c r="AM57" s="247">
        <f>+AR52*0.4/3</f>
        <v>466.66666666666669</v>
      </c>
      <c r="AN57" s="247"/>
      <c r="AO57" s="248" t="s">
        <v>509</v>
      </c>
      <c r="AP57" s="247">
        <f>((AN54/10/2-AK54/10/2)/2)*(MAX(+ABS(MAX(X53:X57)),ABS(MIN(X53:X57)))*100000/(AK54/10))</f>
        <v>2958.0374999999999</v>
      </c>
      <c r="AQ57" s="248" t="s">
        <v>511</v>
      </c>
      <c r="AR57" s="247">
        <f>+AP57/(AL54*AP54*AP54/6/1000)</f>
        <v>189.31440000000001</v>
      </c>
      <c r="AS57" s="250" t="str">
        <f>IF(AR57&lt;=0.6*AR52*1.1,"OK","REDIS")</f>
        <v>OK</v>
      </c>
      <c r="AT57" s="247" t="s">
        <v>517</v>
      </c>
      <c r="AU57" s="251">
        <f>+AW54*(AP57/100000)/((AN54-AK54)/1000/4)/(AU54-1)</f>
        <v>0.7888099999999999</v>
      </c>
      <c r="AV57" s="247"/>
      <c r="AW57" s="256"/>
      <c r="AX57" s="257" t="s">
        <v>522</v>
      </c>
      <c r="AY57" s="258">
        <f>IF(AY55=(1+3/8),+AV54/3,IF(AY55=(1+1/8),+AV54/6,IF(AY55=1,+AV54/8,IF(AY55=(7/8),+AV54/11,IF(AY55=0.75,+AV54/18,IF(AY55=(9/16),+AV54/45,IF(AY55=(7/16),+AV54/84,"NO HAY DATO")))))))</f>
        <v>1.6666666666666667</v>
      </c>
      <c r="AZ57" s="259" t="s">
        <v>527</v>
      </c>
      <c r="BA57" s="260"/>
      <c r="BB57" s="261" t="s">
        <v>523</v>
      </c>
      <c r="BC57" s="262">
        <f>+BC56*BC55*2.54/100</f>
        <v>3.048</v>
      </c>
      <c r="BD57" s="263" t="s">
        <v>528</v>
      </c>
      <c r="BE57" s="264"/>
      <c r="BG57" s="111"/>
      <c r="BH57" s="9"/>
      <c r="BI57" s="125"/>
      <c r="BJ57" s="125"/>
      <c r="BK57" s="44"/>
      <c r="BL57" s="44"/>
      <c r="BM57" s="126"/>
      <c r="BN57" s="44"/>
      <c r="BO57" s="44"/>
      <c r="BP57" s="44"/>
      <c r="BQ57" s="126"/>
      <c r="BR57" s="44"/>
      <c r="BS57" s="44"/>
      <c r="BT57" s="44"/>
      <c r="BU57" s="44"/>
      <c r="BV57" s="44"/>
    </row>
    <row r="58" spans="1:74" ht="15" hidden="1" x14ac:dyDescent="0.25">
      <c r="A58" s="216" t="s">
        <v>645</v>
      </c>
      <c r="B58" s="216" t="s">
        <v>625</v>
      </c>
      <c r="C58" s="216" t="s">
        <v>389</v>
      </c>
      <c r="D58" s="216">
        <v>0.1333</v>
      </c>
      <c r="E58" s="216">
        <v>0.72240000000000004</v>
      </c>
      <c r="F58" s="216">
        <v>1.6589</v>
      </c>
      <c r="G58" s="216">
        <v>-1.6909000000000001</v>
      </c>
      <c r="H58" s="216">
        <v>0.15526000000000001</v>
      </c>
      <c r="I58" s="216">
        <v>1.1800000000000001E-3</v>
      </c>
      <c r="K58" s="25" t="s">
        <v>357</v>
      </c>
      <c r="L58" s="26" t="s">
        <v>358</v>
      </c>
      <c r="M58" s="27" t="s">
        <v>359</v>
      </c>
      <c r="N58" s="27" t="s">
        <v>360</v>
      </c>
      <c r="O58" s="27" t="s">
        <v>361</v>
      </c>
      <c r="P58" s="27" t="s">
        <v>362</v>
      </c>
      <c r="Q58" s="27" t="s">
        <v>363</v>
      </c>
      <c r="R58" s="28" t="s">
        <v>364</v>
      </c>
      <c r="S58" s="17"/>
      <c r="T58" s="29" t="s">
        <v>365</v>
      </c>
      <c r="U58" s="29" t="s">
        <v>358</v>
      </c>
      <c r="V58" s="30" t="s">
        <v>361</v>
      </c>
      <c r="W58" s="30" t="s">
        <v>362</v>
      </c>
      <c r="X58" s="30" t="s">
        <v>363</v>
      </c>
      <c r="Y58" s="29" t="s">
        <v>366</v>
      </c>
      <c r="Z58" s="31" t="s">
        <v>367</v>
      </c>
      <c r="AA58" s="23" t="s">
        <v>368</v>
      </c>
      <c r="AB58" s="23" t="s">
        <v>369</v>
      </c>
      <c r="AC58" s="22" t="s">
        <v>0</v>
      </c>
      <c r="AD58" s="22" t="s">
        <v>1</v>
      </c>
      <c r="AE58" s="22" t="s">
        <v>370</v>
      </c>
      <c r="AF58" s="22" t="s">
        <v>371</v>
      </c>
      <c r="AG58" s="22" t="s">
        <v>372</v>
      </c>
      <c r="AH58" s="32" t="s">
        <v>373</v>
      </c>
      <c r="AI58" s="210"/>
      <c r="AJ58" s="265" t="s">
        <v>365</v>
      </c>
      <c r="AK58" s="266" t="s">
        <v>498</v>
      </c>
      <c r="AL58" s="238"/>
      <c r="AM58" s="239"/>
      <c r="AN58" s="237" t="s">
        <v>499</v>
      </c>
      <c r="AO58" s="238"/>
      <c r="AP58" s="239"/>
      <c r="AQ58" s="222" t="s">
        <v>506</v>
      </c>
      <c r="AR58" s="221">
        <v>3500</v>
      </c>
      <c r="AS58" s="222" t="s">
        <v>405</v>
      </c>
      <c r="AT58" s="237" t="s">
        <v>512</v>
      </c>
      <c r="AU58" s="238"/>
      <c r="AV58" s="238"/>
      <c r="AW58" s="238"/>
      <c r="AX58" s="267" t="s">
        <v>532</v>
      </c>
      <c r="AY58" s="225" t="s">
        <v>515</v>
      </c>
      <c r="AZ58" s="268">
        <v>6.9</v>
      </c>
      <c r="BA58" s="269" t="str">
        <f>IF(MAX(AU62:AU63)&lt;=AZ58,"OK","REDIS")</f>
        <v>OK</v>
      </c>
      <c r="BB58" s="267" t="s">
        <v>536</v>
      </c>
      <c r="BC58" s="270" t="s">
        <v>515</v>
      </c>
      <c r="BD58" s="268">
        <v>8.36</v>
      </c>
      <c r="BE58" s="269" t="str">
        <f>IF(MAX(AU62:AU63)&lt;=BD58,"OK","REDIS")</f>
        <v>OK</v>
      </c>
      <c r="BG58" s="9"/>
      <c r="BH58" s="16"/>
      <c r="BI58" s="208"/>
      <c r="BJ58" s="124"/>
      <c r="BK58" s="63"/>
      <c r="BL58" s="63"/>
      <c r="BM58" s="125"/>
      <c r="BN58" s="133"/>
      <c r="BO58" s="44"/>
      <c r="BP58" s="64"/>
      <c r="BQ58" s="125"/>
      <c r="BS58" s="63"/>
      <c r="BT58" s="63"/>
      <c r="BU58" s="63"/>
      <c r="BV58" s="63"/>
    </row>
    <row r="59" spans="1:74" ht="15" hidden="1" x14ac:dyDescent="0.25">
      <c r="A59" s="216" t="s">
        <v>646</v>
      </c>
      <c r="B59" s="216" t="s">
        <v>351</v>
      </c>
      <c r="C59" s="216" t="s">
        <v>352</v>
      </c>
      <c r="D59" s="216">
        <v>8.8599999999999998E-2</v>
      </c>
      <c r="E59" s="216">
        <v>-0.17499999999999999</v>
      </c>
      <c r="F59" s="216">
        <v>1.5381</v>
      </c>
      <c r="G59" s="216">
        <v>0.14973</v>
      </c>
      <c r="H59" s="216">
        <v>0.10867</v>
      </c>
      <c r="I59" s="216">
        <v>-1.3999999999999999E-4</v>
      </c>
      <c r="K59" s="33" t="str">
        <f>+A59</f>
        <v>66</v>
      </c>
      <c r="L59" s="17" t="s">
        <v>374</v>
      </c>
      <c r="M59" s="34">
        <f t="shared" ref="M59:R59" si="64">D59+D60</f>
        <v>0.1409</v>
      </c>
      <c r="N59" s="34">
        <f t="shared" si="64"/>
        <v>-0.28159999999999996</v>
      </c>
      <c r="O59" s="34">
        <f t="shared" si="64"/>
        <v>2.3904000000000001</v>
      </c>
      <c r="P59" s="34">
        <f t="shared" si="64"/>
        <v>0.24204000000000001</v>
      </c>
      <c r="Q59" s="34">
        <f t="shared" si="64"/>
        <v>0.1726</v>
      </c>
      <c r="R59" s="35">
        <f t="shared" si="64"/>
        <v>-2.3011E-4</v>
      </c>
      <c r="S59" s="17"/>
      <c r="T59" s="29" t="str">
        <f>K59</f>
        <v>66</v>
      </c>
      <c r="U59" s="29" t="s">
        <v>374</v>
      </c>
      <c r="V59" s="23">
        <f t="shared" ref="V59:X63" si="65">O59</f>
        <v>2.3904000000000001</v>
      </c>
      <c r="W59" s="23">
        <f t="shared" si="65"/>
        <v>0.24204000000000001</v>
      </c>
      <c r="X59" s="23">
        <f t="shared" si="65"/>
        <v>0.1726</v>
      </c>
      <c r="Y59" s="29">
        <v>15</v>
      </c>
      <c r="Z59" s="31">
        <f>ABS(V59)/AC59/AD59</f>
        <v>0.87882352941176478</v>
      </c>
      <c r="AA59" s="23">
        <f>ABS(+W59/V59)</f>
        <v>0.10125502008032128</v>
      </c>
      <c r="AB59" s="23">
        <f>ABS(X59/V59)</f>
        <v>7.2205488621151268E-2</v>
      </c>
      <c r="AC59" s="36">
        <v>0.8</v>
      </c>
      <c r="AD59" s="37">
        <v>3.4</v>
      </c>
      <c r="AE59" s="22">
        <f t="shared" ref="AE59:AF63" si="66">AC59-2*AA59</f>
        <v>0.59748995983935749</v>
      </c>
      <c r="AF59" s="22">
        <f t="shared" si="66"/>
        <v>3.2555890227576976</v>
      </c>
      <c r="AG59" s="22">
        <f>AF59*AE59</f>
        <v>1.9451817544609498</v>
      </c>
      <c r="AH59" s="38">
        <f>V59/AG59</f>
        <v>1.22888259388513</v>
      </c>
      <c r="AI59" s="210"/>
      <c r="AJ59" s="221" t="str">
        <f>+K59</f>
        <v>66</v>
      </c>
      <c r="AK59" s="222" t="s">
        <v>0</v>
      </c>
      <c r="AL59" s="222" t="s">
        <v>1</v>
      </c>
      <c r="AM59" s="222" t="s">
        <v>438</v>
      </c>
      <c r="AN59" s="222" t="s">
        <v>503</v>
      </c>
      <c r="AO59" s="222" t="s">
        <v>504</v>
      </c>
      <c r="AP59" s="222" t="s">
        <v>323</v>
      </c>
      <c r="AQ59" s="221"/>
      <c r="AR59" s="221"/>
      <c r="AS59" s="221"/>
      <c r="AT59" s="222" t="s">
        <v>0</v>
      </c>
      <c r="AU59" s="222" t="s">
        <v>1</v>
      </c>
      <c r="AV59" s="222" t="s">
        <v>513</v>
      </c>
      <c r="AW59" s="223" t="s">
        <v>520</v>
      </c>
      <c r="AX59" s="224" t="s">
        <v>530</v>
      </c>
      <c r="AY59" s="225" t="s">
        <v>178</v>
      </c>
      <c r="AZ59" s="226">
        <v>12</v>
      </c>
      <c r="BA59" s="227" t="str">
        <f>IF(AW62&lt;=AZ59,"OK","REDIS")</f>
        <v>OK</v>
      </c>
      <c r="BB59" s="224" t="s">
        <v>535</v>
      </c>
      <c r="BC59" s="228" t="s">
        <v>178</v>
      </c>
      <c r="BD59" s="226">
        <v>4.3</v>
      </c>
      <c r="BE59" s="227" t="str">
        <f>IF(AW62&lt;=BD59,"OK","REDIS")</f>
        <v>OK</v>
      </c>
      <c r="BG59" s="113"/>
      <c r="BH59" s="68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126"/>
      <c r="BV59" s="63"/>
    </row>
    <row r="60" spans="1:74" ht="15" hidden="1" x14ac:dyDescent="0.25">
      <c r="A60" s="216" t="s">
        <v>646</v>
      </c>
      <c r="B60" s="216" t="s">
        <v>353</v>
      </c>
      <c r="C60" s="216" t="s">
        <v>352</v>
      </c>
      <c r="D60" s="216">
        <v>5.2299999999999999E-2</v>
      </c>
      <c r="E60" s="216">
        <v>-0.1066</v>
      </c>
      <c r="F60" s="216">
        <v>0.85229999999999995</v>
      </c>
      <c r="G60" s="216">
        <v>9.2310000000000003E-2</v>
      </c>
      <c r="H60" s="216">
        <v>6.3930000000000001E-2</v>
      </c>
      <c r="I60" s="216">
        <v>-9.0110000000000003E-5</v>
      </c>
      <c r="K60" s="33"/>
      <c r="L60" s="17" t="s">
        <v>375</v>
      </c>
      <c r="M60" s="34">
        <f t="shared" ref="M60:R60" si="67">D59+0.25*D60+D61</f>
        <v>-9.0124999999999997E-2</v>
      </c>
      <c r="N60" s="34">
        <f t="shared" si="67"/>
        <v>-0.19655</v>
      </c>
      <c r="O60" s="34">
        <f t="shared" si="67"/>
        <v>1.433975</v>
      </c>
      <c r="P60" s="34">
        <f t="shared" si="67"/>
        <v>0.15811749999999999</v>
      </c>
      <c r="Q60" s="34">
        <f t="shared" si="67"/>
        <v>-0.16620750000000001</v>
      </c>
      <c r="R60" s="35">
        <f t="shared" si="67"/>
        <v>3.7472500000000018E-5</v>
      </c>
      <c r="S60" s="17"/>
      <c r="T60" s="29"/>
      <c r="U60" s="29" t="s">
        <v>375</v>
      </c>
      <c r="V60" s="23">
        <f t="shared" si="65"/>
        <v>1.433975</v>
      </c>
      <c r="W60" s="23">
        <f t="shared" si="65"/>
        <v>0.15811749999999999</v>
      </c>
      <c r="X60" s="23">
        <f t="shared" si="65"/>
        <v>-0.16620750000000001</v>
      </c>
      <c r="Y60" s="29">
        <f>1.33*Y59</f>
        <v>19.950000000000003</v>
      </c>
      <c r="Z60" s="31">
        <f>ABS(V60)/AC60/AD60</f>
        <v>0.5271966911764705</v>
      </c>
      <c r="AA60" s="23">
        <f>ABS(+W60/V60)</f>
        <v>0.11026517198695933</v>
      </c>
      <c r="AB60" s="23">
        <f>ABS(X60/V60)</f>
        <v>0.11590683240642272</v>
      </c>
      <c r="AC60" s="36">
        <f t="shared" ref="AC60:AD63" si="68">AC59</f>
        <v>0.8</v>
      </c>
      <c r="AD60" s="37">
        <f t="shared" si="68"/>
        <v>3.4</v>
      </c>
      <c r="AE60" s="22">
        <f t="shared" si="66"/>
        <v>0.57946965602608136</v>
      </c>
      <c r="AF60" s="22">
        <f t="shared" si="66"/>
        <v>3.1681863351871544</v>
      </c>
      <c r="AG60" s="22">
        <f>AF60*AE60</f>
        <v>1.8358678458774316</v>
      </c>
      <c r="AH60" s="38">
        <f>V60/AG60</f>
        <v>0.78108835732380744</v>
      </c>
      <c r="AI60" s="210"/>
      <c r="AJ60" s="222" t="s">
        <v>539</v>
      </c>
      <c r="AK60" s="229">
        <v>150</v>
      </c>
      <c r="AL60" s="229">
        <v>300</v>
      </c>
      <c r="AM60" s="229">
        <v>4</v>
      </c>
      <c r="AN60" s="230">
        <v>360</v>
      </c>
      <c r="AO60" s="230">
        <v>400</v>
      </c>
      <c r="AP60" s="230">
        <v>25</v>
      </c>
      <c r="AQ60" s="221"/>
      <c r="AR60" s="221"/>
      <c r="AS60" s="221"/>
      <c r="AT60" s="221">
        <v>3</v>
      </c>
      <c r="AU60" s="221">
        <v>3</v>
      </c>
      <c r="AV60" s="230">
        <f>+AT60*2+(AU60-2)*2</f>
        <v>8</v>
      </c>
      <c r="AW60" s="223">
        <v>1.2</v>
      </c>
      <c r="AX60" s="231" t="s">
        <v>538</v>
      </c>
      <c r="AY60" s="232">
        <f>+AV60</f>
        <v>8</v>
      </c>
      <c r="AZ60" s="210"/>
      <c r="BA60" s="233"/>
      <c r="BB60" s="234" t="s">
        <v>537</v>
      </c>
      <c r="BC60" s="235">
        <v>1</v>
      </c>
      <c r="BD60" s="236" t="s">
        <v>526</v>
      </c>
      <c r="BE60" s="233"/>
      <c r="BG60" s="113"/>
      <c r="BH60" s="68"/>
      <c r="BI60" s="114"/>
      <c r="BJ60" s="45"/>
      <c r="BK60" s="63"/>
      <c r="BL60" s="63"/>
      <c r="BM60" s="63"/>
      <c r="BN60" s="70"/>
      <c r="BO60" s="70"/>
      <c r="BP60" s="44"/>
      <c r="BQ60" s="63"/>
      <c r="BR60" s="44"/>
      <c r="BS60" s="70"/>
      <c r="BT60" s="70"/>
      <c r="BU60" s="207"/>
      <c r="BV60" s="63"/>
    </row>
    <row r="61" spans="1:74" ht="15" hidden="1" x14ac:dyDescent="0.25">
      <c r="A61" s="216" t="s">
        <v>646</v>
      </c>
      <c r="B61" s="216" t="s">
        <v>354</v>
      </c>
      <c r="C61" s="216" t="s">
        <v>352</v>
      </c>
      <c r="D61" s="216">
        <v>-0.1918</v>
      </c>
      <c r="E61" s="216">
        <v>5.1000000000000004E-3</v>
      </c>
      <c r="F61" s="216">
        <v>-0.31719999999999998</v>
      </c>
      <c r="G61" s="216">
        <v>-1.469E-2</v>
      </c>
      <c r="H61" s="216">
        <v>-0.29086000000000001</v>
      </c>
      <c r="I61" s="216">
        <v>2.0000000000000001E-4</v>
      </c>
      <c r="K61" s="33"/>
      <c r="L61" s="17" t="s">
        <v>376</v>
      </c>
      <c r="M61" s="34">
        <f t="shared" ref="M61:R61" si="69">D59+0.25*D60-D61</f>
        <v>0.29347499999999999</v>
      </c>
      <c r="N61" s="34">
        <f t="shared" si="69"/>
        <v>-0.20674999999999999</v>
      </c>
      <c r="O61" s="34">
        <f t="shared" si="69"/>
        <v>2.0683750000000001</v>
      </c>
      <c r="P61" s="34">
        <f t="shared" si="69"/>
        <v>0.18749750000000001</v>
      </c>
      <c r="Q61" s="34">
        <f t="shared" si="69"/>
        <v>0.41551250000000001</v>
      </c>
      <c r="R61" s="35">
        <f t="shared" si="69"/>
        <v>-3.6252750000000003E-4</v>
      </c>
      <c r="S61" s="17"/>
      <c r="T61" s="29"/>
      <c r="U61" s="29" t="s">
        <v>376</v>
      </c>
      <c r="V61" s="23">
        <f t="shared" si="65"/>
        <v>2.0683750000000001</v>
      </c>
      <c r="W61" s="23">
        <f t="shared" si="65"/>
        <v>0.18749750000000001</v>
      </c>
      <c r="X61" s="23">
        <f t="shared" si="65"/>
        <v>0.41551250000000001</v>
      </c>
      <c r="Y61" s="29"/>
      <c r="Z61" s="31">
        <f>ABS(V61)/AC61/AD61</f>
        <v>0.76043198529411771</v>
      </c>
      <c r="AA61" s="23">
        <f>ABS(+W61/V61)</f>
        <v>9.0649664591768903E-2</v>
      </c>
      <c r="AB61" s="23">
        <f>ABS(X61/V61)</f>
        <v>0.20088837855804678</v>
      </c>
      <c r="AC61" s="36">
        <f t="shared" si="68"/>
        <v>0.8</v>
      </c>
      <c r="AD61" s="37">
        <f t="shared" si="68"/>
        <v>3.4</v>
      </c>
      <c r="AE61" s="22">
        <f t="shared" si="66"/>
        <v>0.61870067081646218</v>
      </c>
      <c r="AF61" s="22">
        <f t="shared" si="66"/>
        <v>2.9982232428839062</v>
      </c>
      <c r="AG61" s="22">
        <f>AF61*AE61</f>
        <v>1.8550027316297815</v>
      </c>
      <c r="AH61" s="38">
        <f>V61/AG61</f>
        <v>1.1150253122176013</v>
      </c>
      <c r="AI61" s="210"/>
      <c r="AJ61" s="237" t="s">
        <v>514</v>
      </c>
      <c r="AK61" s="238"/>
      <c r="AL61" s="238"/>
      <c r="AM61" s="238"/>
      <c r="AN61" s="239"/>
      <c r="AO61" s="237" t="s">
        <v>507</v>
      </c>
      <c r="AP61" s="238" t="s">
        <v>626</v>
      </c>
      <c r="AQ61" s="238">
        <f>0.6*AR58</f>
        <v>2100</v>
      </c>
      <c r="AR61" s="240" t="s">
        <v>627</v>
      </c>
      <c r="AS61" s="241">
        <f>+AR62+AR63</f>
        <v>1351.4953333333333</v>
      </c>
      <c r="AT61" s="221" t="s">
        <v>515</v>
      </c>
      <c r="AU61" s="221"/>
      <c r="AV61" s="221" t="s">
        <v>518</v>
      </c>
      <c r="AW61" s="242"/>
      <c r="AX61" s="231" t="s">
        <v>524</v>
      </c>
      <c r="AY61" s="243">
        <f>IF(BC60=(1+1/4),+(1+3/8),IF(BC60=1,(1+1/8),IF(BC60=(7/8),1,IF(BC60=(3/4),+(7/8),IF(BC60=(5/8),+(3/4),IF(BC60=(1/2),(9/16),IF(BC60=(3/8),+(7/16),"no valido")))))))</f>
        <v>1.125</v>
      </c>
      <c r="AZ61" s="244" t="s">
        <v>526</v>
      </c>
      <c r="BA61" s="227" t="s">
        <v>531</v>
      </c>
      <c r="BB61" s="245" t="s">
        <v>529</v>
      </c>
      <c r="BC61" s="246">
        <f>+AY62+3</f>
        <v>12</v>
      </c>
      <c r="BD61" s="236" t="s">
        <v>526</v>
      </c>
      <c r="BE61" s="227" t="s">
        <v>531</v>
      </c>
      <c r="BG61" s="113"/>
      <c r="BH61" s="68"/>
      <c r="BI61" s="209"/>
      <c r="BJ61" s="134"/>
      <c r="BK61" s="135"/>
      <c r="BL61" s="63"/>
      <c r="BM61" s="125"/>
      <c r="BN61" s="133"/>
      <c r="BO61" s="44"/>
      <c r="BR61" s="135"/>
      <c r="BS61" s="63"/>
      <c r="BT61" s="125"/>
      <c r="BU61" s="133"/>
      <c r="BV61" s="44"/>
    </row>
    <row r="62" spans="1:74" ht="15" hidden="1" x14ac:dyDescent="0.25">
      <c r="A62" s="216" t="s">
        <v>646</v>
      </c>
      <c r="B62" s="216" t="s">
        <v>355</v>
      </c>
      <c r="C62" s="216" t="s">
        <v>352</v>
      </c>
      <c r="D62" s="216">
        <v>-1.09E-2</v>
      </c>
      <c r="E62" s="216">
        <v>-0.52659999999999996</v>
      </c>
      <c r="F62" s="216">
        <v>4.5600000000000002E-2</v>
      </c>
      <c r="G62" s="216">
        <v>1.4886699999999999</v>
      </c>
      <c r="H62" s="216">
        <v>-1.653E-2</v>
      </c>
      <c r="I62" s="216">
        <v>-1.5499999999999999E-3</v>
      </c>
      <c r="K62" s="33"/>
      <c r="L62" s="17" t="s">
        <v>377</v>
      </c>
      <c r="M62" s="34">
        <f t="shared" ref="M62:R62" si="70">D59+0.25*D60+D62</f>
        <v>9.0774999999999995E-2</v>
      </c>
      <c r="N62" s="34">
        <f t="shared" si="70"/>
        <v>-0.72824999999999995</v>
      </c>
      <c r="O62" s="34">
        <f t="shared" si="70"/>
        <v>1.796775</v>
      </c>
      <c r="P62" s="34">
        <f t="shared" si="70"/>
        <v>1.6614774999999999</v>
      </c>
      <c r="Q62" s="34">
        <f t="shared" si="70"/>
        <v>0.1081225</v>
      </c>
      <c r="R62" s="35">
        <f t="shared" si="70"/>
        <v>-1.7125274999999999E-3</v>
      </c>
      <c r="S62" s="17"/>
      <c r="T62" s="29"/>
      <c r="U62" s="29" t="s">
        <v>377</v>
      </c>
      <c r="V62" s="23">
        <f t="shared" si="65"/>
        <v>1.796775</v>
      </c>
      <c r="W62" s="23">
        <f t="shared" si="65"/>
        <v>1.6614774999999999</v>
      </c>
      <c r="X62" s="23">
        <f t="shared" si="65"/>
        <v>0.1081225</v>
      </c>
      <c r="Y62" s="29"/>
      <c r="Z62" s="31">
        <f>ABS(V62)/AC62/AD62</f>
        <v>0.66057904411764701</v>
      </c>
      <c r="AA62" s="23">
        <f>ABS(+W62/V62)</f>
        <v>0.92469980938069596</v>
      </c>
      <c r="AB62" s="23">
        <f>ABS(X62/V62)</f>
        <v>6.0175870657149612E-2</v>
      </c>
      <c r="AC62" s="36">
        <f t="shared" si="68"/>
        <v>0.8</v>
      </c>
      <c r="AD62" s="37">
        <f t="shared" si="68"/>
        <v>3.4</v>
      </c>
      <c r="AE62" s="22">
        <f t="shared" si="66"/>
        <v>-1.0493996187613919</v>
      </c>
      <c r="AF62" s="22">
        <f t="shared" si="66"/>
        <v>3.2796482586857008</v>
      </c>
      <c r="AG62" s="22">
        <f>AF62*AE62</f>
        <v>-3.441661632336237</v>
      </c>
      <c r="AH62" s="38">
        <f>V62/AG62</f>
        <v>-0.52206613895984011</v>
      </c>
      <c r="AI62" s="210"/>
      <c r="AJ62" s="222" t="s">
        <v>500</v>
      </c>
      <c r="AK62" s="247">
        <f>(MAX(V59:V63)+ABS(MAX(W59:W63))/(AL60/1000))*1000</f>
        <v>7928.6583333333328</v>
      </c>
      <c r="AL62" s="248" t="s">
        <v>502</v>
      </c>
      <c r="AM62" s="247">
        <f>+ABS(MAX(AK62:AK63))/(+AK60*2/10+AL60*2/10)/(AP60/10)</f>
        <v>35.238481481481479</v>
      </c>
      <c r="AN62" s="249" t="str">
        <f>IF(AM62&lt;=AM63,"OK","REDIS")</f>
        <v>OK</v>
      </c>
      <c r="AO62" s="248" t="s">
        <v>508</v>
      </c>
      <c r="AP62" s="247">
        <f>((AO60/10/2-AL60/10/2)/2)*((MAX(ABS(MAX(W59:W63)),ABS(MIN(W59:W63)))*100000))/(AL60/10)</f>
        <v>13845.645833333334</v>
      </c>
      <c r="AQ62" s="248" t="s">
        <v>510</v>
      </c>
      <c r="AR62" s="247">
        <f>+AP62/(AK60*AP60*AP60/6/10/10/10)</f>
        <v>886.12133333333338</v>
      </c>
      <c r="AS62" s="250" t="str">
        <f>IF(AR62&lt;=0.6*AR58*1.1,"OK","REDIS")</f>
        <v>OK</v>
      </c>
      <c r="AT62" s="247" t="s">
        <v>516</v>
      </c>
      <c r="AU62" s="251">
        <f>+AW60*(AP62/100000)/((AO60-AL60)/1000/4)/(AT60-1)</f>
        <v>3.3229549999999999</v>
      </c>
      <c r="AV62" s="247" t="s">
        <v>519</v>
      </c>
      <c r="AW62" s="252">
        <f>+AW60*(ABS(MAX(M59:M63))+ABS(MIN(M59:M63)+ABS(MAX(N59:N63))+ABS(MIN(N59:N63))))/AV60</f>
        <v>0.18848249999999997</v>
      </c>
      <c r="AX62" s="231" t="s">
        <v>525</v>
      </c>
      <c r="AY62" s="243">
        <f>IF(BC60=(1+1/4),+(11-1/4),IF(BC60=1,(9),IF(BC60=(7/8),(7-7/8),IF(BC60=(3/4),+(6-3/4),IF(BC60=(5/8),+(5-5/8),IF(BC60=(1/2),(4-1/2),IF(BC60=(3-3/8),+(7/16),"no valido")))))))</f>
        <v>9</v>
      </c>
      <c r="AZ62" s="236" t="s">
        <v>526</v>
      </c>
      <c r="BA62" s="253" t="s">
        <v>533</v>
      </c>
      <c r="BB62" s="254" t="s">
        <v>521</v>
      </c>
      <c r="BC62" s="226">
        <f>+AV60</f>
        <v>8</v>
      </c>
      <c r="BD62" s="236" t="s">
        <v>527</v>
      </c>
      <c r="BE62" s="255" t="s">
        <v>534</v>
      </c>
      <c r="BG62" s="113"/>
      <c r="BH62" s="68"/>
      <c r="BI62" s="136"/>
      <c r="BJ62" s="128"/>
      <c r="BK62" s="111"/>
      <c r="BL62" s="16"/>
      <c r="BM62" s="63"/>
      <c r="BN62" s="44"/>
      <c r="BO62" s="126"/>
      <c r="BR62" s="111"/>
      <c r="BS62" s="16"/>
      <c r="BT62" s="63"/>
      <c r="BU62" s="44"/>
      <c r="BV62" s="126"/>
    </row>
    <row r="63" spans="1:74" ht="15" hidden="1" x14ac:dyDescent="0.25">
      <c r="A63" s="216" t="s">
        <v>646</v>
      </c>
      <c r="B63" s="216" t="s">
        <v>624</v>
      </c>
      <c r="C63" s="216" t="s">
        <v>389</v>
      </c>
      <c r="D63" s="216">
        <v>0.124</v>
      </c>
      <c r="E63" s="216">
        <v>-0.245</v>
      </c>
      <c r="F63" s="216">
        <v>2.1534</v>
      </c>
      <c r="G63" s="216">
        <v>0.20962</v>
      </c>
      <c r="H63" s="216">
        <v>0.15214</v>
      </c>
      <c r="I63" s="216">
        <v>-1.9000000000000001E-4</v>
      </c>
      <c r="K63" s="39"/>
      <c r="L63" s="40" t="s">
        <v>378</v>
      </c>
      <c r="M63" s="41">
        <f t="shared" ref="M63:R63" si="71">D59+0.25*D60-D62</f>
        <v>0.11257500000000001</v>
      </c>
      <c r="N63" s="41">
        <f t="shared" si="71"/>
        <v>0.32494999999999996</v>
      </c>
      <c r="O63" s="41">
        <f t="shared" si="71"/>
        <v>1.7055749999999998</v>
      </c>
      <c r="P63" s="41">
        <f t="shared" si="71"/>
        <v>-1.3158624999999999</v>
      </c>
      <c r="Q63" s="41">
        <f t="shared" si="71"/>
        <v>0.14118249999999999</v>
      </c>
      <c r="R63" s="42">
        <f t="shared" si="71"/>
        <v>1.3874725E-3</v>
      </c>
      <c r="S63" s="17"/>
      <c r="T63" s="29"/>
      <c r="U63" s="29" t="s">
        <v>378</v>
      </c>
      <c r="V63" s="23">
        <f t="shared" si="65"/>
        <v>1.7055749999999998</v>
      </c>
      <c r="W63" s="23">
        <f t="shared" si="65"/>
        <v>-1.3158624999999999</v>
      </c>
      <c r="X63" s="23">
        <f t="shared" si="65"/>
        <v>0.14118249999999999</v>
      </c>
      <c r="Y63" s="29"/>
      <c r="Z63" s="31">
        <f>ABS(V63)/AC63/AD63</f>
        <v>0.62704963235294109</v>
      </c>
      <c r="AA63" s="23">
        <f>ABS(+W63/V63)</f>
        <v>0.77150667663397976</v>
      </c>
      <c r="AB63" s="23">
        <f>ABS(X63/V63)</f>
        <v>8.2777069316799318E-2</v>
      </c>
      <c r="AC63" s="36">
        <f t="shared" si="68"/>
        <v>0.8</v>
      </c>
      <c r="AD63" s="37">
        <f t="shared" si="68"/>
        <v>3.4</v>
      </c>
      <c r="AE63" s="22">
        <f t="shared" si="66"/>
        <v>-0.74301335326795948</v>
      </c>
      <c r="AF63" s="22">
        <f t="shared" si="66"/>
        <v>3.2344458613664013</v>
      </c>
      <c r="AG63" s="22">
        <f>AF63*AE63</f>
        <v>-2.4032364654175233</v>
      </c>
      <c r="AH63" s="38">
        <f>V63/AG63</f>
        <v>-0.70969920128258535</v>
      </c>
      <c r="AI63" s="210"/>
      <c r="AJ63" s="222" t="s">
        <v>501</v>
      </c>
      <c r="AK63" s="247">
        <f>(MAX(V59:V63)+ABS(MAX(X59:X63))/(AK60/1000))*1000</f>
        <v>5160.4833333333336</v>
      </c>
      <c r="AL63" s="248" t="s">
        <v>505</v>
      </c>
      <c r="AM63" s="247">
        <f>+AR58*0.4/3</f>
        <v>466.66666666666669</v>
      </c>
      <c r="AN63" s="247"/>
      <c r="AO63" s="248" t="s">
        <v>509</v>
      </c>
      <c r="AP63" s="247">
        <f>((AN60/10/2-AK60/10/2)/2)*(MAX(+ABS(MAX(X59:X63)),ABS(MIN(X59:X63)))*100000/(AK60/10))</f>
        <v>14542.9375</v>
      </c>
      <c r="AQ63" s="248" t="s">
        <v>511</v>
      </c>
      <c r="AR63" s="247">
        <f>+AP63/(AL60*AP60*AP60/6/1000)</f>
        <v>465.37400000000002</v>
      </c>
      <c r="AS63" s="250" t="str">
        <f>IF(AR63&lt;=0.6*AR58*1.1,"OK","REDIS")</f>
        <v>OK</v>
      </c>
      <c r="AT63" s="247" t="s">
        <v>517</v>
      </c>
      <c r="AU63" s="251">
        <f>+AW60*(AP63/100000)/((AN60-AK60)/1000/4)/(AU60-1)</f>
        <v>1.6620499999999998</v>
      </c>
      <c r="AV63" s="247"/>
      <c r="AW63" s="256"/>
      <c r="AX63" s="257" t="s">
        <v>522</v>
      </c>
      <c r="AY63" s="258">
        <f>IF(AY61=(1+3/8),+AV60/3,IF(AY61=(1+1/8),+AV60/6,IF(AY61=1,+AV60/8,IF(AY61=(7/8),+AV60/11,IF(AY61=0.75,+AV60/18,IF(AY61=(9/16),+AV60/45,IF(AY61=(7/16),+AV60/84,"NO HAY DATO")))))))</f>
        <v>1.3333333333333333</v>
      </c>
      <c r="AZ63" s="259" t="s">
        <v>527</v>
      </c>
      <c r="BA63" s="260"/>
      <c r="BB63" s="261" t="s">
        <v>523</v>
      </c>
      <c r="BC63" s="262">
        <f>+BC62*BC61*2.54/100</f>
        <v>2.4384000000000001</v>
      </c>
      <c r="BD63" s="263" t="s">
        <v>528</v>
      </c>
      <c r="BE63" s="264"/>
      <c r="BG63" s="113"/>
      <c r="BH63" s="68"/>
      <c r="BI63" s="136"/>
      <c r="BJ63" s="128"/>
      <c r="BM63" s="137"/>
      <c r="BN63" s="63"/>
      <c r="BO63" s="125"/>
      <c r="BT63" s="137"/>
      <c r="BU63" s="63"/>
      <c r="BV63" s="125"/>
    </row>
    <row r="64" spans="1:74" ht="15" hidden="1" x14ac:dyDescent="0.25">
      <c r="A64" s="216" t="s">
        <v>646</v>
      </c>
      <c r="B64" s="216" t="s">
        <v>625</v>
      </c>
      <c r="C64" s="216" t="s">
        <v>389</v>
      </c>
      <c r="D64" s="216">
        <v>8.1799999999999998E-2</v>
      </c>
      <c r="E64" s="216">
        <v>0.3866</v>
      </c>
      <c r="F64" s="216">
        <v>1.1849000000000001</v>
      </c>
      <c r="G64" s="216">
        <v>-1.3688899999999999</v>
      </c>
      <c r="H64" s="216">
        <v>0.10347000000000001</v>
      </c>
      <c r="I64" s="216">
        <v>1.4400000000000001E-3</v>
      </c>
      <c r="K64" s="25" t="s">
        <v>357</v>
      </c>
      <c r="L64" s="26" t="s">
        <v>358</v>
      </c>
      <c r="M64" s="27" t="s">
        <v>359</v>
      </c>
      <c r="N64" s="27" t="s">
        <v>360</v>
      </c>
      <c r="O64" s="27" t="s">
        <v>361</v>
      </c>
      <c r="P64" s="27" t="s">
        <v>362</v>
      </c>
      <c r="Q64" s="27" t="s">
        <v>363</v>
      </c>
      <c r="R64" s="28" t="s">
        <v>364</v>
      </c>
      <c r="S64" s="17"/>
      <c r="T64" s="29" t="s">
        <v>365</v>
      </c>
      <c r="U64" s="29" t="s">
        <v>358</v>
      </c>
      <c r="V64" s="30" t="s">
        <v>361</v>
      </c>
      <c r="W64" s="30" t="s">
        <v>362</v>
      </c>
      <c r="X64" s="30" t="s">
        <v>363</v>
      </c>
      <c r="Y64" s="29" t="s">
        <v>366</v>
      </c>
      <c r="Z64" s="31" t="s">
        <v>367</v>
      </c>
      <c r="AA64" s="23" t="s">
        <v>368</v>
      </c>
      <c r="AB64" s="23" t="s">
        <v>369</v>
      </c>
      <c r="AC64" s="22" t="s">
        <v>0</v>
      </c>
      <c r="AD64" s="22" t="s">
        <v>1</v>
      </c>
      <c r="AE64" s="22" t="s">
        <v>370</v>
      </c>
      <c r="AF64" s="22" t="s">
        <v>371</v>
      </c>
      <c r="AG64" s="22" t="s">
        <v>372</v>
      </c>
      <c r="AH64" s="32" t="s">
        <v>373</v>
      </c>
      <c r="AI64" s="140"/>
      <c r="AJ64" s="271" t="s">
        <v>365</v>
      </c>
      <c r="AK64" s="272" t="s">
        <v>498</v>
      </c>
      <c r="AL64" s="273"/>
      <c r="AM64" s="274"/>
      <c r="AN64" s="275" t="s">
        <v>499</v>
      </c>
      <c r="AO64" s="273"/>
      <c r="AP64" s="274"/>
      <c r="AQ64" s="276" t="s">
        <v>506</v>
      </c>
      <c r="AR64" s="277">
        <v>3500</v>
      </c>
      <c r="AS64" s="276" t="s">
        <v>405</v>
      </c>
      <c r="AT64" s="275" t="s">
        <v>512</v>
      </c>
      <c r="AU64" s="273"/>
      <c r="AV64" s="273"/>
      <c r="AW64" s="273"/>
      <c r="AX64" s="278" t="s">
        <v>532</v>
      </c>
      <c r="AY64" s="279" t="s">
        <v>515</v>
      </c>
      <c r="AZ64" s="280">
        <v>6.9</v>
      </c>
      <c r="BA64" s="281" t="str">
        <f>IF(MAX(AU68:AU69)&lt;=AZ64,"OK","REDIS")</f>
        <v>OK</v>
      </c>
      <c r="BB64" s="278" t="s">
        <v>536</v>
      </c>
      <c r="BC64" s="282" t="s">
        <v>515</v>
      </c>
      <c r="BD64" s="280">
        <v>8.36</v>
      </c>
      <c r="BE64" s="281" t="str">
        <f>IF(MAX(AU68:AU69)&lt;=BD64,"OK","REDIS")</f>
        <v>OK</v>
      </c>
      <c r="BG64" s="113"/>
      <c r="BH64" s="68"/>
      <c r="BI64" s="136"/>
      <c r="BJ64" s="138"/>
      <c r="BM64" s="125"/>
      <c r="BN64" s="133"/>
      <c r="BO64" s="44"/>
      <c r="BT64" s="125"/>
      <c r="BU64" s="133"/>
      <c r="BV64" s="44"/>
    </row>
    <row r="65" spans="1:74" ht="15" hidden="1" x14ac:dyDescent="0.25">
      <c r="A65" s="216" t="s">
        <v>647</v>
      </c>
      <c r="B65" s="216" t="s">
        <v>351</v>
      </c>
      <c r="C65" s="216" t="s">
        <v>352</v>
      </c>
      <c r="D65" s="216">
        <v>0.30509999999999998</v>
      </c>
      <c r="E65" s="216">
        <v>1.44E-2</v>
      </c>
      <c r="F65" s="216">
        <v>5.0624000000000002</v>
      </c>
      <c r="G65" s="216">
        <v>3.0300000000000001E-3</v>
      </c>
      <c r="H65" s="216">
        <v>7.5600000000000001E-2</v>
      </c>
      <c r="I65" s="216">
        <v>8.0799999999999999E-5</v>
      </c>
      <c r="K65" s="33" t="str">
        <f>+A65</f>
        <v>67</v>
      </c>
      <c r="L65" s="17" t="s">
        <v>374</v>
      </c>
      <c r="M65" s="34">
        <f t="shared" ref="M65:R65" si="72">D65+D66</f>
        <v>0.48339999999999994</v>
      </c>
      <c r="N65" s="34">
        <f t="shared" si="72"/>
        <v>2.12E-2</v>
      </c>
      <c r="O65" s="34">
        <f t="shared" si="72"/>
        <v>7.4836</v>
      </c>
      <c r="P65" s="34">
        <f t="shared" si="72"/>
        <v>8.320000000000001E-3</v>
      </c>
      <c r="Q65" s="34">
        <f t="shared" si="72"/>
        <v>0.12598999999999999</v>
      </c>
      <c r="R65" s="35">
        <f t="shared" si="72"/>
        <v>1.3968999999999999E-4</v>
      </c>
      <c r="S65" s="17"/>
      <c r="T65" s="29" t="str">
        <f>K65</f>
        <v>67</v>
      </c>
      <c r="U65" s="29" t="s">
        <v>374</v>
      </c>
      <c r="V65" s="23">
        <f t="shared" ref="V65:X69" si="73">O65</f>
        <v>7.4836</v>
      </c>
      <c r="W65" s="23">
        <f t="shared" si="73"/>
        <v>8.320000000000001E-3</v>
      </c>
      <c r="X65" s="23">
        <f t="shared" si="73"/>
        <v>0.12598999999999999</v>
      </c>
      <c r="Y65" s="29">
        <v>15</v>
      </c>
      <c r="Z65" s="31">
        <f>ABS(V65)/AC65/AD65</f>
        <v>3.8977083333333336</v>
      </c>
      <c r="AA65" s="23">
        <f>ABS(+W65/V65)</f>
        <v>1.1117643914693464E-3</v>
      </c>
      <c r="AB65" s="23">
        <f>ABS(X65/V65)</f>
        <v>1.6835480250146986E-2</v>
      </c>
      <c r="AC65" s="36">
        <v>0.8</v>
      </c>
      <c r="AD65" s="37">
        <v>2.4</v>
      </c>
      <c r="AE65" s="22">
        <f t="shared" ref="AE65:AF69" si="74">AC65-2*AA65</f>
        <v>0.7977764712170613</v>
      </c>
      <c r="AF65" s="22">
        <f t="shared" si="74"/>
        <v>2.3663290394997061</v>
      </c>
      <c r="AG65" s="22">
        <f>AF65*AE65</f>
        <v>1.8878016308705337</v>
      </c>
      <c r="AH65" s="38">
        <f>V65/AG65</f>
        <v>3.9641876972788932</v>
      </c>
      <c r="AI65" s="140"/>
      <c r="AJ65" s="277" t="str">
        <f>+K65</f>
        <v>67</v>
      </c>
      <c r="AK65" s="276" t="s">
        <v>0</v>
      </c>
      <c r="AL65" s="276" t="s">
        <v>1</v>
      </c>
      <c r="AM65" s="276" t="s">
        <v>438</v>
      </c>
      <c r="AN65" s="276" t="s">
        <v>503</v>
      </c>
      <c r="AO65" s="276" t="s">
        <v>504</v>
      </c>
      <c r="AP65" s="276" t="s">
        <v>323</v>
      </c>
      <c r="AQ65" s="277"/>
      <c r="AR65" s="277"/>
      <c r="AS65" s="277"/>
      <c r="AT65" s="276" t="s">
        <v>0</v>
      </c>
      <c r="AU65" s="276" t="s">
        <v>1</v>
      </c>
      <c r="AV65" s="276" t="s">
        <v>513</v>
      </c>
      <c r="AW65" s="283" t="s">
        <v>520</v>
      </c>
      <c r="AX65" s="284" t="s">
        <v>530</v>
      </c>
      <c r="AY65" s="279" t="s">
        <v>178</v>
      </c>
      <c r="AZ65" s="285">
        <v>12</v>
      </c>
      <c r="BA65" s="286" t="str">
        <f>IF(AW68&lt;=AZ65,"OK","REDIS")</f>
        <v>OK</v>
      </c>
      <c r="BB65" s="284" t="s">
        <v>535</v>
      </c>
      <c r="BC65" s="287" t="s">
        <v>178</v>
      </c>
      <c r="BD65" s="285">
        <v>4.3</v>
      </c>
      <c r="BE65" s="286" t="str">
        <f>IF(AW68&lt;=BD65,"OK","REDIS")</f>
        <v>OK</v>
      </c>
    </row>
    <row r="66" spans="1:74" ht="15" hidden="1" x14ac:dyDescent="0.25">
      <c r="A66" s="216" t="s">
        <v>647</v>
      </c>
      <c r="B66" s="216" t="s">
        <v>353</v>
      </c>
      <c r="C66" s="216" t="s">
        <v>352</v>
      </c>
      <c r="D66" s="216">
        <v>0.17829999999999999</v>
      </c>
      <c r="E66" s="216">
        <v>6.7999999999999996E-3</v>
      </c>
      <c r="F66" s="216">
        <v>2.4211999999999998</v>
      </c>
      <c r="G66" s="216">
        <v>5.2900000000000004E-3</v>
      </c>
      <c r="H66" s="216">
        <v>5.0389999999999997E-2</v>
      </c>
      <c r="I66" s="216">
        <v>5.889E-5</v>
      </c>
      <c r="K66" s="33"/>
      <c r="L66" s="17" t="s">
        <v>375</v>
      </c>
      <c r="M66" s="34">
        <f t="shared" ref="M66:R66" si="75">D65+0.25*D66+D67</f>
        <v>-0.24722500000000003</v>
      </c>
      <c r="N66" s="34">
        <f t="shared" si="75"/>
        <v>4.48E-2</v>
      </c>
      <c r="O66" s="34">
        <f t="shared" si="75"/>
        <v>4.9371</v>
      </c>
      <c r="P66" s="34">
        <f t="shared" si="75"/>
        <v>-6.2077500000000001E-2</v>
      </c>
      <c r="Q66" s="34">
        <f t="shared" si="75"/>
        <v>-1.8007925</v>
      </c>
      <c r="R66" s="35">
        <f t="shared" si="75"/>
        <v>-4.4775000000000126E-6</v>
      </c>
      <c r="S66" s="17"/>
      <c r="T66" s="29"/>
      <c r="U66" s="29" t="s">
        <v>375</v>
      </c>
      <c r="V66" s="23">
        <f t="shared" si="73"/>
        <v>4.9371</v>
      </c>
      <c r="W66" s="23">
        <f t="shared" si="73"/>
        <v>-6.2077500000000001E-2</v>
      </c>
      <c r="X66" s="23">
        <f t="shared" si="73"/>
        <v>-1.8007925</v>
      </c>
      <c r="Y66" s="29">
        <f>1.33*Y65</f>
        <v>19.950000000000003</v>
      </c>
      <c r="Z66" s="31">
        <f>ABS(V66)/AC66/AD66</f>
        <v>2.5714062499999999</v>
      </c>
      <c r="AA66" s="23">
        <f>ABS(+W66/V66)</f>
        <v>1.2573676854833809E-2</v>
      </c>
      <c r="AB66" s="23">
        <f>ABS(X66/V66)</f>
        <v>0.36474701747989713</v>
      </c>
      <c r="AC66" s="36">
        <f t="shared" ref="AC66:AD69" si="76">AC65</f>
        <v>0.8</v>
      </c>
      <c r="AD66" s="37">
        <f t="shared" si="76"/>
        <v>2.4</v>
      </c>
      <c r="AE66" s="22">
        <f t="shared" si="74"/>
        <v>0.77485264629033246</v>
      </c>
      <c r="AF66" s="22">
        <f t="shared" si="74"/>
        <v>1.6705059650402057</v>
      </c>
      <c r="AG66" s="22">
        <f>AF66*AE66</f>
        <v>1.2943959676551891</v>
      </c>
      <c r="AH66" s="38">
        <f>V66/AG66</f>
        <v>3.8142115112917145</v>
      </c>
      <c r="AI66" s="140"/>
      <c r="AJ66" s="276" t="s">
        <v>539</v>
      </c>
      <c r="AK66" s="288">
        <v>160</v>
      </c>
      <c r="AL66" s="288">
        <v>300</v>
      </c>
      <c r="AM66" s="288">
        <v>4</v>
      </c>
      <c r="AN66" s="289">
        <v>360</v>
      </c>
      <c r="AO66" s="289">
        <v>400</v>
      </c>
      <c r="AP66" s="289">
        <v>25</v>
      </c>
      <c r="AQ66" s="277"/>
      <c r="AR66" s="277"/>
      <c r="AS66" s="277"/>
      <c r="AT66" s="277">
        <v>3</v>
      </c>
      <c r="AU66" s="277">
        <v>3</v>
      </c>
      <c r="AV66" s="289">
        <f>+AT66*2+(AU66-2)*2</f>
        <v>8</v>
      </c>
      <c r="AW66" s="283">
        <v>1</v>
      </c>
      <c r="AX66" s="290" t="s">
        <v>538</v>
      </c>
      <c r="AY66" s="291">
        <f>+AV66</f>
        <v>8</v>
      </c>
      <c r="AZ66" s="140"/>
      <c r="BA66" s="292"/>
      <c r="BB66" s="293" t="s">
        <v>537</v>
      </c>
      <c r="BC66" s="294">
        <v>1</v>
      </c>
      <c r="BD66" s="295" t="s">
        <v>526</v>
      </c>
      <c r="BE66" s="292"/>
      <c r="BG66" s="109"/>
      <c r="BH66" s="142"/>
      <c r="BJ66" s="109"/>
      <c r="BK66" s="142"/>
      <c r="BM66" s="110"/>
      <c r="BN66" s="110"/>
      <c r="BO66" s="110"/>
      <c r="BP66" s="110"/>
    </row>
    <row r="67" spans="1:74" ht="15" hidden="1" x14ac:dyDescent="0.25">
      <c r="A67" s="216" t="s">
        <v>647</v>
      </c>
      <c r="B67" s="216" t="s">
        <v>354</v>
      </c>
      <c r="C67" s="216" t="s">
        <v>352</v>
      </c>
      <c r="D67" s="216">
        <v>-0.59689999999999999</v>
      </c>
      <c r="E67" s="216">
        <v>2.87E-2</v>
      </c>
      <c r="F67" s="216">
        <v>-0.73060000000000003</v>
      </c>
      <c r="G67" s="216">
        <v>-6.6430000000000003E-2</v>
      </c>
      <c r="H67" s="216">
        <v>-1.8889899999999999</v>
      </c>
      <c r="I67" s="216">
        <v>-1E-4</v>
      </c>
      <c r="K67" s="33"/>
      <c r="L67" s="17" t="s">
        <v>376</v>
      </c>
      <c r="M67" s="34">
        <f t="shared" ref="M67:R67" si="77">D65+0.25*D66-D67</f>
        <v>0.94657499999999994</v>
      </c>
      <c r="N67" s="34">
        <f t="shared" si="77"/>
        <v>-1.26E-2</v>
      </c>
      <c r="O67" s="34">
        <f t="shared" si="77"/>
        <v>6.3982999999999999</v>
      </c>
      <c r="P67" s="34">
        <f t="shared" si="77"/>
        <v>7.0782499999999998E-2</v>
      </c>
      <c r="Q67" s="34">
        <f t="shared" si="77"/>
        <v>1.9771874999999999</v>
      </c>
      <c r="R67" s="35">
        <f t="shared" si="77"/>
        <v>1.9552250000000001E-4</v>
      </c>
      <c r="S67" s="17"/>
      <c r="T67" s="29"/>
      <c r="U67" s="29" t="s">
        <v>376</v>
      </c>
      <c r="V67" s="23">
        <f t="shared" si="73"/>
        <v>6.3982999999999999</v>
      </c>
      <c r="W67" s="23">
        <f t="shared" si="73"/>
        <v>7.0782499999999998E-2</v>
      </c>
      <c r="X67" s="23">
        <f t="shared" si="73"/>
        <v>1.9771874999999999</v>
      </c>
      <c r="Y67" s="29"/>
      <c r="Z67" s="31">
        <f>ABS(V67)/AC67/AD67</f>
        <v>3.3324479166666667</v>
      </c>
      <c r="AA67" s="23">
        <f>ABS(+W67/V67)</f>
        <v>1.1062704155791383E-2</v>
      </c>
      <c r="AB67" s="23">
        <f>ABS(X67/V67)</f>
        <v>0.30901762968288449</v>
      </c>
      <c r="AC67" s="36">
        <f t="shared" si="76"/>
        <v>0.8</v>
      </c>
      <c r="AD67" s="37">
        <f t="shared" si="76"/>
        <v>2.4</v>
      </c>
      <c r="AE67" s="22">
        <f t="shared" si="74"/>
        <v>0.77787459168841733</v>
      </c>
      <c r="AF67" s="22">
        <f t="shared" si="74"/>
        <v>1.7819647406342309</v>
      </c>
      <c r="AG67" s="22">
        <f>AF67*AE67</f>
        <v>1.3861450950240088</v>
      </c>
      <c r="AH67" s="38">
        <f>V67/AG67</f>
        <v>4.6158948460508586</v>
      </c>
      <c r="AI67" s="140"/>
      <c r="AJ67" s="275" t="s">
        <v>514</v>
      </c>
      <c r="AK67" s="273"/>
      <c r="AL67" s="273"/>
      <c r="AM67" s="273"/>
      <c r="AN67" s="274"/>
      <c r="AO67" s="275" t="s">
        <v>507</v>
      </c>
      <c r="AP67" s="273" t="s">
        <v>626</v>
      </c>
      <c r="AQ67" s="273">
        <f>0.6*AR64</f>
        <v>2100</v>
      </c>
      <c r="AR67" s="296" t="s">
        <v>627</v>
      </c>
      <c r="AS67" s="297">
        <f>+AR68+AR69</f>
        <v>2407.7887500000002</v>
      </c>
      <c r="AT67" s="277" t="s">
        <v>515</v>
      </c>
      <c r="AU67" s="277"/>
      <c r="AV67" s="277" t="s">
        <v>518</v>
      </c>
      <c r="AW67" s="298"/>
      <c r="AX67" s="290" t="s">
        <v>524</v>
      </c>
      <c r="AY67" s="299">
        <f>IF(BC66=(1+1/4),+(1+3/8),IF(BC66=1,(1+1/8),IF(BC66=(7/8),1,IF(BC66=(3/4),+(7/8),IF(BC66=(5/8),+(3/4),IF(BC66=(1/2),(9/16),IF(BC66=(3/8),+(7/16),"no valido")))))))</f>
        <v>1.125</v>
      </c>
      <c r="AZ67" s="300" t="s">
        <v>526</v>
      </c>
      <c r="BA67" s="286" t="s">
        <v>531</v>
      </c>
      <c r="BB67" s="301" t="s">
        <v>529</v>
      </c>
      <c r="BC67" s="302">
        <f>+AY68+3</f>
        <v>12</v>
      </c>
      <c r="BD67" s="295" t="s">
        <v>526</v>
      </c>
      <c r="BE67" s="286" t="s">
        <v>531</v>
      </c>
      <c r="BG67" s="111"/>
      <c r="BH67" s="9"/>
      <c r="BI67" s="125"/>
      <c r="BJ67" s="125"/>
      <c r="BK67" s="44"/>
      <c r="BL67" s="44"/>
      <c r="BM67" s="126"/>
      <c r="BN67" s="44"/>
      <c r="BO67" s="44"/>
      <c r="BP67" s="44"/>
      <c r="BQ67" s="126"/>
      <c r="BR67" s="44"/>
      <c r="BS67" s="44"/>
      <c r="BT67" s="44"/>
      <c r="BU67" s="44"/>
      <c r="BV67" s="44"/>
    </row>
    <row r="68" spans="1:74" ht="15" hidden="1" x14ac:dyDescent="0.25">
      <c r="A68" s="216" t="s">
        <v>647</v>
      </c>
      <c r="B68" s="216" t="s">
        <v>355</v>
      </c>
      <c r="C68" s="216" t="s">
        <v>352</v>
      </c>
      <c r="D68" s="216">
        <v>-7.0199999999999999E-2</v>
      </c>
      <c r="E68" s="216">
        <v>-0.46760000000000002</v>
      </c>
      <c r="F68" s="216">
        <v>0.44190000000000002</v>
      </c>
      <c r="G68" s="216">
        <v>0.85685</v>
      </c>
      <c r="H68" s="216">
        <v>-0.28086</v>
      </c>
      <c r="I68" s="216">
        <v>-8.3090000000000006E-5</v>
      </c>
      <c r="K68" s="33"/>
      <c r="L68" s="17" t="s">
        <v>377</v>
      </c>
      <c r="M68" s="34">
        <f t="shared" ref="M68:R68" si="78">D65+0.25*D66+D68</f>
        <v>0.27947499999999997</v>
      </c>
      <c r="N68" s="34">
        <f t="shared" si="78"/>
        <v>-0.45150000000000001</v>
      </c>
      <c r="O68" s="34">
        <f t="shared" si="78"/>
        <v>6.1096000000000004</v>
      </c>
      <c r="P68" s="34">
        <f t="shared" si="78"/>
        <v>0.86120249999999998</v>
      </c>
      <c r="Q68" s="34">
        <f t="shared" si="78"/>
        <v>-0.19266250000000001</v>
      </c>
      <c r="R68" s="35">
        <f t="shared" si="78"/>
        <v>1.2432499999999986E-5</v>
      </c>
      <c r="S68" s="17"/>
      <c r="T68" s="29"/>
      <c r="U68" s="29" t="s">
        <v>377</v>
      </c>
      <c r="V68" s="23">
        <f t="shared" si="73"/>
        <v>6.1096000000000004</v>
      </c>
      <c r="W68" s="23">
        <f t="shared" si="73"/>
        <v>0.86120249999999998</v>
      </c>
      <c r="X68" s="23">
        <f t="shared" si="73"/>
        <v>-0.19266250000000001</v>
      </c>
      <c r="Y68" s="29"/>
      <c r="Z68" s="31">
        <f>ABS(V68)/AC68/AD68</f>
        <v>3.1820833333333338</v>
      </c>
      <c r="AA68" s="23">
        <f>ABS(+W68/V68)</f>
        <v>0.14095890074636636</v>
      </c>
      <c r="AB68" s="23">
        <f>ABS(X68/V68)</f>
        <v>3.1534388503339006E-2</v>
      </c>
      <c r="AC68" s="36">
        <f t="shared" si="76"/>
        <v>0.8</v>
      </c>
      <c r="AD68" s="37">
        <f t="shared" si="76"/>
        <v>2.4</v>
      </c>
      <c r="AE68" s="22">
        <f t="shared" si="74"/>
        <v>0.51808219850726733</v>
      </c>
      <c r="AF68" s="22">
        <f t="shared" si="74"/>
        <v>2.3369312229933219</v>
      </c>
      <c r="AG68" s="22">
        <f>AF68*AE68</f>
        <v>1.2107224657686573</v>
      </c>
      <c r="AH68" s="38">
        <f>V68/AG68</f>
        <v>5.0462431917633319</v>
      </c>
      <c r="AI68" s="140"/>
      <c r="AJ68" s="276" t="s">
        <v>500</v>
      </c>
      <c r="AK68" s="303">
        <f>(MAX(V65:V69)+ABS(MAX(W65:W69))/(AL66/1000))*1000</f>
        <v>10354.275</v>
      </c>
      <c r="AL68" s="304" t="s">
        <v>502</v>
      </c>
      <c r="AM68" s="303">
        <f>+ABS(MAX(AK68:AK69))/(+AK66*2/10+AL66*2/10)/(AP66/10)</f>
        <v>86.265312499999993</v>
      </c>
      <c r="AN68" s="305" t="str">
        <f>IF(AM68&lt;=AM69,"OK","REDIS")</f>
        <v>OK</v>
      </c>
      <c r="AO68" s="304" t="s">
        <v>508</v>
      </c>
      <c r="AP68" s="303">
        <f>((AO66/10/2-AL66/10/2)/2)*((MAX(ABS(MAX(W65:W69)),ABS(MIN(W65:W69)))*100000))/(AL66/10)</f>
        <v>7176.6875</v>
      </c>
      <c r="AQ68" s="304" t="s">
        <v>510</v>
      </c>
      <c r="AR68" s="303">
        <f>+AP68/(AK66*AP66*AP66/6/10/10/10)</f>
        <v>430.60124999999999</v>
      </c>
      <c r="AS68" s="306" t="str">
        <f>IF(AR68&lt;=0.6*AR64*1.1,"OK","REDIS")</f>
        <v>OK</v>
      </c>
      <c r="AT68" s="303" t="s">
        <v>516</v>
      </c>
      <c r="AU68" s="307">
        <f>+AW66*(AP68/100000)/((AO66-AL66)/1000/4)/(AT66-1)</f>
        <v>1.4353374999999997</v>
      </c>
      <c r="AV68" s="303" t="s">
        <v>519</v>
      </c>
      <c r="AW68" s="308">
        <f>+AW66*(ABS(MAX(M65:M69))+ABS(MIN(M65:M69)+ABS(MAX(N65:N69))+ABS(MIN(N65:N69))))/AV66</f>
        <v>0.20431874999999999</v>
      </c>
      <c r="AX68" s="290" t="s">
        <v>525</v>
      </c>
      <c r="AY68" s="299">
        <f>IF(BC66=(1+1/4),+(11-1/4),IF(BC66=1,(9),IF(BC66=(7/8),(7-7/8),IF(BC66=(3/4),+(6-3/4),IF(BC66=(5/8),+(5-5/8),IF(BC66=(1/2),(4-1/2),IF(BC66=(3-3/8),+(7/16),"no valido")))))))</f>
        <v>9</v>
      </c>
      <c r="AZ68" s="295" t="s">
        <v>526</v>
      </c>
      <c r="BA68" s="309" t="s">
        <v>533</v>
      </c>
      <c r="BB68" s="310" t="s">
        <v>521</v>
      </c>
      <c r="BC68" s="285">
        <f>+AV66</f>
        <v>8</v>
      </c>
      <c r="BD68" s="295" t="s">
        <v>527</v>
      </c>
      <c r="BE68" s="311" t="s">
        <v>534</v>
      </c>
      <c r="BG68" s="9"/>
      <c r="BH68" s="16"/>
      <c r="BI68" s="208"/>
      <c r="BJ68" s="124"/>
      <c r="BK68" s="63"/>
      <c r="BL68" s="63"/>
      <c r="BM68" s="125"/>
      <c r="BN68" s="133"/>
      <c r="BO68" s="44"/>
      <c r="BP68" s="64"/>
      <c r="BQ68" s="125"/>
      <c r="BS68" s="63"/>
      <c r="BT68" s="63"/>
      <c r="BU68" s="63"/>
      <c r="BV68" s="63"/>
    </row>
    <row r="69" spans="1:74" ht="15" hidden="1" x14ac:dyDescent="0.25">
      <c r="A69" s="216" t="s">
        <v>647</v>
      </c>
      <c r="B69" s="216" t="s">
        <v>624</v>
      </c>
      <c r="C69" s="216" t="s">
        <v>389</v>
      </c>
      <c r="D69" s="216">
        <v>0.42709999999999998</v>
      </c>
      <c r="E69" s="216">
        <v>2.01E-2</v>
      </c>
      <c r="F69" s="216">
        <v>7.0873999999999997</v>
      </c>
      <c r="G69" s="216">
        <v>4.2399999999999998E-3</v>
      </c>
      <c r="H69" s="216">
        <v>0.10584</v>
      </c>
      <c r="I69" s="216">
        <v>1.1E-4</v>
      </c>
      <c r="K69" s="39"/>
      <c r="L69" s="40" t="s">
        <v>378</v>
      </c>
      <c r="M69" s="41">
        <f t="shared" ref="M69:R69" si="79">D65+0.25*D66-D68</f>
        <v>0.41987499999999994</v>
      </c>
      <c r="N69" s="41">
        <f t="shared" si="79"/>
        <v>0.48370000000000002</v>
      </c>
      <c r="O69" s="41">
        <f t="shared" si="79"/>
        <v>5.2257999999999996</v>
      </c>
      <c r="P69" s="41">
        <f t="shared" si="79"/>
        <v>-0.85249750000000002</v>
      </c>
      <c r="Q69" s="41">
        <f t="shared" si="79"/>
        <v>0.36905749999999998</v>
      </c>
      <c r="R69" s="42">
        <f t="shared" si="79"/>
        <v>1.7861249999999998E-4</v>
      </c>
      <c r="S69" s="17"/>
      <c r="T69" s="29"/>
      <c r="U69" s="29" t="s">
        <v>378</v>
      </c>
      <c r="V69" s="23">
        <f t="shared" si="73"/>
        <v>5.2257999999999996</v>
      </c>
      <c r="W69" s="23">
        <f t="shared" si="73"/>
        <v>-0.85249750000000002</v>
      </c>
      <c r="X69" s="23">
        <f t="shared" si="73"/>
        <v>0.36905749999999998</v>
      </c>
      <c r="Y69" s="29"/>
      <c r="Z69" s="31">
        <f>ABS(V69)/AC69/AD69</f>
        <v>2.7217708333333333</v>
      </c>
      <c r="AA69" s="23">
        <f>ABS(+W69/V69)</f>
        <v>0.16313243905239391</v>
      </c>
      <c r="AB69" s="23">
        <f>ABS(X69/V69)</f>
        <v>7.0622201385433805E-2</v>
      </c>
      <c r="AC69" s="36">
        <f t="shared" si="76"/>
        <v>0.8</v>
      </c>
      <c r="AD69" s="37">
        <f t="shared" si="76"/>
        <v>2.4</v>
      </c>
      <c r="AE69" s="22">
        <f t="shared" si="74"/>
        <v>0.47373512189521222</v>
      </c>
      <c r="AF69" s="22">
        <f t="shared" si="74"/>
        <v>2.2587555972291322</v>
      </c>
      <c r="AG69" s="22">
        <f>AF69*AE69</f>
        <v>1.0700518581848357</v>
      </c>
      <c r="AH69" s="38">
        <f>V69/AG69</f>
        <v>4.8836885427821191</v>
      </c>
      <c r="AI69" s="140"/>
      <c r="AJ69" s="276" t="s">
        <v>501</v>
      </c>
      <c r="AK69" s="303">
        <f>(MAX(V65:V69)+ABS(MAX(X65:X69))/(AK66/1000))*1000</f>
        <v>19841.021874999999</v>
      </c>
      <c r="AL69" s="304" t="s">
        <v>505</v>
      </c>
      <c r="AM69" s="303">
        <f>+AR64*0.4/3</f>
        <v>466.66666666666669</v>
      </c>
      <c r="AN69" s="303"/>
      <c r="AO69" s="304" t="s">
        <v>509</v>
      </c>
      <c r="AP69" s="303">
        <f>((AN66/10/2-AK66/10/2)/2)*(MAX(+ABS(MAX(X65:X69)),ABS(MIN(X65:X69)))*100000/(AK66/10))</f>
        <v>61787.109375</v>
      </c>
      <c r="AQ69" s="304" t="s">
        <v>511</v>
      </c>
      <c r="AR69" s="303">
        <f>+AP69/(AL66*AP66*AP66/6/1000)</f>
        <v>1977.1875</v>
      </c>
      <c r="AS69" s="306" t="str">
        <f>IF(AR69&lt;=0.6*AR64*1.1,"OK","REDIS")</f>
        <v>OK</v>
      </c>
      <c r="AT69" s="303" t="s">
        <v>517</v>
      </c>
      <c r="AU69" s="307">
        <f>+AW66*(AP69/100000)/((AN66-AK66)/1000/4)/(AU66-1)</f>
        <v>6.1787109375</v>
      </c>
      <c r="AV69" s="303"/>
      <c r="AW69" s="312"/>
      <c r="AX69" s="313" t="s">
        <v>522</v>
      </c>
      <c r="AY69" s="314">
        <f>IF(AY67=(1+3/8),+AV66/3,IF(AY67=(1+1/8),+AV66/6,IF(AY67=1,+AV66/8,IF(AY67=(7/8),+AV66/11,IF(AY67=0.75,+AV66/18,IF(AY67=(9/16),+AV66/45,IF(AY67=(7/16),+AV66/84,"NO HAY DATO")))))))</f>
        <v>1.3333333333333333</v>
      </c>
      <c r="AZ69" s="315" t="s">
        <v>527</v>
      </c>
      <c r="BA69" s="316"/>
      <c r="BB69" s="317" t="s">
        <v>523</v>
      </c>
      <c r="BC69" s="318">
        <f>+BC68*BC67*2.54/100</f>
        <v>2.4384000000000001</v>
      </c>
      <c r="BD69" s="319" t="s">
        <v>528</v>
      </c>
      <c r="BE69" s="320"/>
      <c r="BG69" s="113"/>
      <c r="BH69" s="68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126"/>
      <c r="BV69" s="63"/>
    </row>
    <row r="70" spans="1:74" ht="15" hidden="1" x14ac:dyDescent="0.25">
      <c r="A70" s="216" t="s">
        <v>647</v>
      </c>
      <c r="B70" s="216" t="s">
        <v>625</v>
      </c>
      <c r="C70" s="216" t="s">
        <v>389</v>
      </c>
      <c r="D70" s="216">
        <v>0.31419999999999998</v>
      </c>
      <c r="E70" s="216">
        <v>0.47910000000000003</v>
      </c>
      <c r="F70" s="216">
        <v>3.6080000000000001</v>
      </c>
      <c r="G70" s="216">
        <v>-0.85443000000000002</v>
      </c>
      <c r="H70" s="216">
        <v>0.34134999999999999</v>
      </c>
      <c r="I70" s="216">
        <v>1.4999999999999999E-4</v>
      </c>
      <c r="K70" s="25" t="s">
        <v>357</v>
      </c>
      <c r="L70" s="26" t="s">
        <v>358</v>
      </c>
      <c r="M70" s="27" t="s">
        <v>359</v>
      </c>
      <c r="N70" s="27" t="s">
        <v>360</v>
      </c>
      <c r="O70" s="27" t="s">
        <v>361</v>
      </c>
      <c r="P70" s="27" t="s">
        <v>362</v>
      </c>
      <c r="Q70" s="27" t="s">
        <v>363</v>
      </c>
      <c r="R70" s="28" t="s">
        <v>364</v>
      </c>
      <c r="S70" s="17"/>
      <c r="T70" s="29" t="s">
        <v>365</v>
      </c>
      <c r="U70" s="29" t="s">
        <v>358</v>
      </c>
      <c r="V70" s="30" t="s">
        <v>361</v>
      </c>
      <c r="W70" s="30" t="s">
        <v>362</v>
      </c>
      <c r="X70" s="30" t="s">
        <v>363</v>
      </c>
      <c r="Y70" s="29" t="s">
        <v>366</v>
      </c>
      <c r="Z70" s="31" t="s">
        <v>367</v>
      </c>
      <c r="AA70" s="23" t="s">
        <v>368</v>
      </c>
      <c r="AB70" s="23" t="s">
        <v>369</v>
      </c>
      <c r="AC70" s="22" t="s">
        <v>0</v>
      </c>
      <c r="AD70" s="22" t="s">
        <v>1</v>
      </c>
      <c r="AE70" s="22" t="s">
        <v>370</v>
      </c>
      <c r="AF70" s="22" t="s">
        <v>371</v>
      </c>
      <c r="AG70" s="22" t="s">
        <v>372</v>
      </c>
      <c r="AH70" s="32" t="s">
        <v>373</v>
      </c>
      <c r="AJ70" s="143" t="s">
        <v>365</v>
      </c>
      <c r="AK70" s="144" t="s">
        <v>498</v>
      </c>
      <c r="AL70" s="145"/>
      <c r="AM70" s="139"/>
      <c r="AN70" s="146" t="s">
        <v>499</v>
      </c>
      <c r="AO70" s="145"/>
      <c r="AP70" s="139"/>
      <c r="AQ70" s="147" t="s">
        <v>506</v>
      </c>
      <c r="AR70" s="48">
        <v>3500</v>
      </c>
      <c r="AS70" s="147" t="s">
        <v>405</v>
      </c>
      <c r="AT70" s="146" t="s">
        <v>512</v>
      </c>
      <c r="AU70" s="145"/>
      <c r="AV70" s="145"/>
      <c r="AW70" s="145"/>
      <c r="AX70" s="163" t="s">
        <v>532</v>
      </c>
      <c r="AY70" s="157" t="s">
        <v>515</v>
      </c>
      <c r="AZ70" s="169">
        <v>6.9</v>
      </c>
      <c r="BA70" s="171" t="str">
        <f>IF(MAX(AU74:AU75)&lt;=AZ70,"OK","REDIS")</f>
        <v>REDIS</v>
      </c>
      <c r="BB70" s="163" t="s">
        <v>536</v>
      </c>
      <c r="BC70" s="170" t="s">
        <v>515</v>
      </c>
      <c r="BD70" s="169">
        <v>8.36</v>
      </c>
      <c r="BE70" s="171" t="str">
        <f>IF(MAX(AU74:AU75)&lt;=BD70,"OK","REDIS")</f>
        <v>REDIS</v>
      </c>
      <c r="BG70" s="113"/>
      <c r="BH70" s="68"/>
      <c r="BI70" s="114"/>
      <c r="BJ70" s="45"/>
      <c r="BK70" s="63"/>
      <c r="BL70" s="63"/>
      <c r="BM70" s="63"/>
      <c r="BN70" s="70"/>
      <c r="BO70" s="70"/>
      <c r="BP70" s="44"/>
      <c r="BQ70" s="63"/>
      <c r="BR70" s="44"/>
      <c r="BS70" s="70"/>
      <c r="BT70" s="70"/>
      <c r="BU70" s="207"/>
      <c r="BV70" s="63"/>
    </row>
    <row r="71" spans="1:74" ht="15" hidden="1" x14ac:dyDescent="0.25">
      <c r="A71" s="216" t="s">
        <v>648</v>
      </c>
      <c r="B71" s="216" t="s">
        <v>351</v>
      </c>
      <c r="C71" s="216" t="s">
        <v>352</v>
      </c>
      <c r="D71" s="216">
        <v>0.57789999999999997</v>
      </c>
      <c r="E71" s="216">
        <v>-0.1137</v>
      </c>
      <c r="F71" s="216">
        <v>7.9089999999999998</v>
      </c>
      <c r="G71" s="216">
        <v>0.12909000000000001</v>
      </c>
      <c r="H71" s="216">
        <v>0.81079999999999997</v>
      </c>
      <c r="I71" s="216">
        <v>7.4889999999999996E-5</v>
      </c>
      <c r="K71" s="33" t="str">
        <f>+A71</f>
        <v>68</v>
      </c>
      <c r="L71" s="17" t="s">
        <v>374</v>
      </c>
      <c r="M71" s="34">
        <f t="shared" ref="M71:R71" si="80">D71+D72</f>
        <v>0.93849999999999989</v>
      </c>
      <c r="N71" s="34">
        <f t="shared" si="80"/>
        <v>-0.18579999999999999</v>
      </c>
      <c r="O71" s="34">
        <f t="shared" si="80"/>
        <v>12.243600000000001</v>
      </c>
      <c r="P71" s="34">
        <f t="shared" si="80"/>
        <v>0.21177000000000001</v>
      </c>
      <c r="Q71" s="34">
        <f t="shared" si="80"/>
        <v>1.3055399999999999</v>
      </c>
      <c r="R71" s="35">
        <f t="shared" si="80"/>
        <v>1.1788E-4</v>
      </c>
      <c r="S71" s="17"/>
      <c r="T71" s="29" t="str">
        <f>K71</f>
        <v>68</v>
      </c>
      <c r="U71" s="29" t="s">
        <v>374</v>
      </c>
      <c r="V71" s="23">
        <f t="shared" ref="V71:X75" si="81">O71</f>
        <v>12.243600000000001</v>
      </c>
      <c r="W71" s="23">
        <f t="shared" si="81"/>
        <v>0.21177000000000001</v>
      </c>
      <c r="X71" s="23">
        <f t="shared" si="81"/>
        <v>1.3055399999999999</v>
      </c>
      <c r="Y71" s="29">
        <v>15</v>
      </c>
      <c r="Z71" s="31">
        <f>ABS(V71)/AC71/AD71</f>
        <v>6.376875000000001</v>
      </c>
      <c r="AA71" s="23">
        <f>ABS(+W71/V71)</f>
        <v>1.7296383416642164E-2</v>
      </c>
      <c r="AB71" s="23">
        <f>ABS(X71/V71)</f>
        <v>0.1066304028226992</v>
      </c>
      <c r="AC71" s="36">
        <v>0.8</v>
      </c>
      <c r="AD71" s="37">
        <v>2.4</v>
      </c>
      <c r="AE71" s="22">
        <f t="shared" ref="AE71:AF75" si="82">AC71-2*AA71</f>
        <v>0.76540723316671566</v>
      </c>
      <c r="AF71" s="22">
        <f t="shared" si="82"/>
        <v>2.1867391943546015</v>
      </c>
      <c r="AG71" s="22">
        <f>AF71*AE71</f>
        <v>1.6737459964081685</v>
      </c>
      <c r="AH71" s="38">
        <f>V71/AG71</f>
        <v>7.3150884460811652</v>
      </c>
      <c r="AJ71" s="48" t="str">
        <f>+K71</f>
        <v>68</v>
      </c>
      <c r="AK71" s="147" t="s">
        <v>0</v>
      </c>
      <c r="AL71" s="147" t="s">
        <v>1</v>
      </c>
      <c r="AM71" s="147" t="s">
        <v>438</v>
      </c>
      <c r="AN71" s="147" t="s">
        <v>503</v>
      </c>
      <c r="AO71" s="147" t="s">
        <v>504</v>
      </c>
      <c r="AP71" s="147" t="s">
        <v>323</v>
      </c>
      <c r="AQ71" s="48"/>
      <c r="AR71" s="48"/>
      <c r="AS71" s="48"/>
      <c r="AT71" s="147" t="s">
        <v>0</v>
      </c>
      <c r="AU71" s="147" t="s">
        <v>1</v>
      </c>
      <c r="AV71" s="147" t="s">
        <v>513</v>
      </c>
      <c r="AW71" s="159" t="s">
        <v>520</v>
      </c>
      <c r="AX71" s="141" t="s">
        <v>530</v>
      </c>
      <c r="AY71" s="157" t="s">
        <v>178</v>
      </c>
      <c r="AZ71" s="44">
        <v>12</v>
      </c>
      <c r="BA71" s="172" t="str">
        <f>IF(AW74&lt;=AZ71,"OK","REDIS")</f>
        <v>OK</v>
      </c>
      <c r="BB71" s="141" t="s">
        <v>535</v>
      </c>
      <c r="BC71" s="120" t="s">
        <v>178</v>
      </c>
      <c r="BD71" s="44">
        <v>4.3</v>
      </c>
      <c r="BE71" s="172" t="str">
        <f>IF(AW74&lt;=BD71,"OK","REDIS")</f>
        <v>OK</v>
      </c>
      <c r="BG71" s="113"/>
      <c r="BH71" s="68"/>
      <c r="BI71" s="209"/>
      <c r="BJ71" s="134"/>
      <c r="BK71" s="135"/>
      <c r="BL71" s="63"/>
      <c r="BM71" s="125"/>
      <c r="BN71" s="133"/>
      <c r="BO71" s="44"/>
      <c r="BR71" s="135"/>
      <c r="BS71" s="63"/>
      <c r="BT71" s="125"/>
      <c r="BU71" s="133"/>
      <c r="BV71" s="44"/>
    </row>
    <row r="72" spans="1:74" ht="15" hidden="1" x14ac:dyDescent="0.25">
      <c r="A72" s="216" t="s">
        <v>648</v>
      </c>
      <c r="B72" s="216" t="s">
        <v>353</v>
      </c>
      <c r="C72" s="216" t="s">
        <v>352</v>
      </c>
      <c r="D72" s="216">
        <v>0.36059999999999998</v>
      </c>
      <c r="E72" s="216">
        <v>-7.2099999999999997E-2</v>
      </c>
      <c r="F72" s="216">
        <v>4.3346</v>
      </c>
      <c r="G72" s="216">
        <v>8.2680000000000003E-2</v>
      </c>
      <c r="H72" s="216">
        <v>0.49474000000000001</v>
      </c>
      <c r="I72" s="216">
        <v>4.299E-5</v>
      </c>
      <c r="K72" s="33"/>
      <c r="L72" s="17" t="s">
        <v>375</v>
      </c>
      <c r="M72" s="34">
        <f t="shared" ref="M72:R72" si="83">D71+0.25*D72+D73</f>
        <v>-0.29995000000000005</v>
      </c>
      <c r="N72" s="34">
        <f t="shared" si="83"/>
        <v>-7.5524999999999981E-2</v>
      </c>
      <c r="O72" s="34">
        <f t="shared" si="83"/>
        <v>8.6689499999999988</v>
      </c>
      <c r="P72" s="34">
        <f t="shared" si="83"/>
        <v>6.4280000000000004E-2</v>
      </c>
      <c r="Q72" s="34">
        <f t="shared" si="83"/>
        <v>-1.3133249999999999</v>
      </c>
      <c r="R72" s="35">
        <f t="shared" si="83"/>
        <v>9.61875E-5</v>
      </c>
      <c r="S72" s="17"/>
      <c r="T72" s="29"/>
      <c r="U72" s="29" t="s">
        <v>375</v>
      </c>
      <c r="V72" s="23">
        <f t="shared" si="81"/>
        <v>8.6689499999999988</v>
      </c>
      <c r="W72" s="23">
        <f t="shared" si="81"/>
        <v>6.4280000000000004E-2</v>
      </c>
      <c r="X72" s="23">
        <f t="shared" si="81"/>
        <v>-1.3133249999999999</v>
      </c>
      <c r="Y72" s="29">
        <f>1.33*Y71</f>
        <v>19.950000000000003</v>
      </c>
      <c r="Z72" s="31">
        <f>ABS(V72)/AC72/AD72</f>
        <v>4.5150781249999996</v>
      </c>
      <c r="AA72" s="23">
        <f>ABS(+W72/V72)</f>
        <v>7.4149695176463143E-3</v>
      </c>
      <c r="AB72" s="23">
        <f>ABS(X72/V72)</f>
        <v>0.15149758621286316</v>
      </c>
      <c r="AC72" s="36">
        <f t="shared" ref="AC72:AD75" si="84">AC71</f>
        <v>0.8</v>
      </c>
      <c r="AD72" s="37">
        <f t="shared" si="84"/>
        <v>2.4</v>
      </c>
      <c r="AE72" s="22">
        <f t="shared" si="82"/>
        <v>0.78517006096470743</v>
      </c>
      <c r="AF72" s="22">
        <f t="shared" si="82"/>
        <v>2.0970048275742736</v>
      </c>
      <c r="AG72" s="22">
        <f>AF72*AE72</f>
        <v>1.6465054083097783</v>
      </c>
      <c r="AH72" s="38">
        <f>V72/AG72</f>
        <v>5.2650601426806833</v>
      </c>
      <c r="AJ72" s="147" t="s">
        <v>539</v>
      </c>
      <c r="AK72" s="148">
        <v>160</v>
      </c>
      <c r="AL72" s="148">
        <v>300</v>
      </c>
      <c r="AM72" s="148">
        <v>4</v>
      </c>
      <c r="AN72" s="149">
        <v>360</v>
      </c>
      <c r="AO72" s="149">
        <v>500</v>
      </c>
      <c r="AP72" s="149">
        <v>25</v>
      </c>
      <c r="AQ72" s="48"/>
      <c r="AR72" s="48"/>
      <c r="AS72" s="48"/>
      <c r="AT72" s="48">
        <v>3</v>
      </c>
      <c r="AU72" s="48">
        <v>3</v>
      </c>
      <c r="AV72" s="149">
        <f>+AT72*2+(AU72-2)*2</f>
        <v>8</v>
      </c>
      <c r="AW72" s="159">
        <v>1</v>
      </c>
      <c r="AX72" s="155" t="s">
        <v>538</v>
      </c>
      <c r="AY72" s="180">
        <f>+AV72</f>
        <v>8</v>
      </c>
      <c r="BA72" s="154"/>
      <c r="BB72" s="177" t="s">
        <v>537</v>
      </c>
      <c r="BC72" s="179">
        <v>1</v>
      </c>
      <c r="BD72" s="166" t="s">
        <v>526</v>
      </c>
      <c r="BE72" s="154"/>
      <c r="BG72" s="113"/>
      <c r="BH72" s="68"/>
      <c r="BI72" s="136"/>
      <c r="BJ72" s="128"/>
      <c r="BK72" s="111"/>
      <c r="BL72" s="16"/>
      <c r="BM72" s="63"/>
      <c r="BN72" s="44"/>
      <c r="BO72" s="126"/>
      <c r="BR72" s="111"/>
      <c r="BS72" s="16"/>
      <c r="BT72" s="63"/>
      <c r="BU72" s="44"/>
      <c r="BV72" s="126"/>
    </row>
    <row r="73" spans="1:74" ht="15" hidden="1" x14ac:dyDescent="0.25">
      <c r="A73" s="216" t="s">
        <v>648</v>
      </c>
      <c r="B73" s="216" t="s">
        <v>354</v>
      </c>
      <c r="C73" s="216" t="s">
        <v>352</v>
      </c>
      <c r="D73" s="216">
        <v>-0.96799999999999997</v>
      </c>
      <c r="E73" s="216">
        <v>5.62E-2</v>
      </c>
      <c r="F73" s="216">
        <v>-0.32369999999999999</v>
      </c>
      <c r="G73" s="216">
        <v>-8.548E-2</v>
      </c>
      <c r="H73" s="216">
        <v>-2.2478099999999999</v>
      </c>
      <c r="I73" s="216">
        <v>1.0550000000000001E-5</v>
      </c>
      <c r="K73" s="33"/>
      <c r="L73" s="17" t="s">
        <v>376</v>
      </c>
      <c r="M73" s="34">
        <f t="shared" ref="M73:R73" si="85">D71+0.25*D72-D73</f>
        <v>1.63605</v>
      </c>
      <c r="N73" s="34">
        <f t="shared" si="85"/>
        <v>-0.18792499999999998</v>
      </c>
      <c r="O73" s="34">
        <f t="shared" si="85"/>
        <v>9.3163499999999999</v>
      </c>
      <c r="P73" s="34">
        <f t="shared" si="85"/>
        <v>0.23524</v>
      </c>
      <c r="Q73" s="34">
        <f t="shared" si="85"/>
        <v>3.1822949999999999</v>
      </c>
      <c r="R73" s="35">
        <f t="shared" si="85"/>
        <v>7.5087500000000002E-5</v>
      </c>
      <c r="S73" s="17"/>
      <c r="T73" s="29"/>
      <c r="U73" s="29" t="s">
        <v>376</v>
      </c>
      <c r="V73" s="23">
        <f t="shared" si="81"/>
        <v>9.3163499999999999</v>
      </c>
      <c r="W73" s="23">
        <f t="shared" si="81"/>
        <v>0.23524</v>
      </c>
      <c r="X73" s="23">
        <f t="shared" si="81"/>
        <v>3.1822949999999999</v>
      </c>
      <c r="Y73" s="29"/>
      <c r="Z73" s="31">
        <f>ABS(V73)/AC73/AD73</f>
        <v>4.8522656250000002</v>
      </c>
      <c r="AA73" s="23">
        <f>ABS(+W73/V73)</f>
        <v>2.5250232118801893E-2</v>
      </c>
      <c r="AB73" s="23">
        <f>ABS(X73/V73)</f>
        <v>0.34158173533626368</v>
      </c>
      <c r="AC73" s="36">
        <f t="shared" si="84"/>
        <v>0.8</v>
      </c>
      <c r="AD73" s="37">
        <f t="shared" si="84"/>
        <v>2.4</v>
      </c>
      <c r="AE73" s="22">
        <f t="shared" si="82"/>
        <v>0.74949953576239625</v>
      </c>
      <c r="AF73" s="22">
        <f t="shared" si="82"/>
        <v>1.7168365293274725</v>
      </c>
      <c r="AG73" s="22">
        <f>AF73*AE73</f>
        <v>1.2867681817108643</v>
      </c>
      <c r="AH73" s="38">
        <f>V73/AG73</f>
        <v>7.2401153000326328</v>
      </c>
      <c r="AJ73" s="146" t="s">
        <v>514</v>
      </c>
      <c r="AK73" s="145"/>
      <c r="AL73" s="145"/>
      <c r="AM73" s="145"/>
      <c r="AN73" s="139"/>
      <c r="AO73" s="146" t="s">
        <v>507</v>
      </c>
      <c r="AP73" s="145" t="s">
        <v>626</v>
      </c>
      <c r="AQ73" s="145">
        <f>0.6*AR70</f>
        <v>2100</v>
      </c>
      <c r="AR73" s="212" t="s">
        <v>627</v>
      </c>
      <c r="AS73" s="211">
        <f>+AR74+AR75</f>
        <v>4159.085</v>
      </c>
      <c r="AT73" s="48" t="s">
        <v>515</v>
      </c>
      <c r="AU73" s="48"/>
      <c r="AV73" s="48" t="s">
        <v>518</v>
      </c>
      <c r="AW73" s="160"/>
      <c r="AX73" s="155" t="s">
        <v>524</v>
      </c>
      <c r="AY73" s="182">
        <f>IF(BC72=(1+1/4),+(1+3/8),IF(BC72=1,(1+1/8),IF(BC72=(7/8),1,IF(BC72=(3/4),+(7/8),IF(BC72=(5/8),+(3/4),IF(BC72=(1/2),(9/16),IF(BC72=(3/8),+(7/16),"no valido")))))))</f>
        <v>1.125</v>
      </c>
      <c r="AZ73" s="165" t="s">
        <v>526</v>
      </c>
      <c r="BA73" s="172" t="s">
        <v>531</v>
      </c>
      <c r="BB73" s="178" t="s">
        <v>529</v>
      </c>
      <c r="BC73" s="158">
        <f>+AY74+3</f>
        <v>12</v>
      </c>
      <c r="BD73" s="166" t="s">
        <v>526</v>
      </c>
      <c r="BE73" s="172" t="s">
        <v>531</v>
      </c>
      <c r="BG73" s="113"/>
      <c r="BH73" s="68"/>
      <c r="BI73" s="136"/>
      <c r="BJ73" s="128"/>
      <c r="BM73" s="137"/>
      <c r="BN73" s="63"/>
      <c r="BO73" s="125"/>
      <c r="BT73" s="137"/>
      <c r="BU73" s="63"/>
      <c r="BV73" s="125"/>
    </row>
    <row r="74" spans="1:74" ht="15" hidden="1" x14ac:dyDescent="0.25">
      <c r="A74" s="216" t="s">
        <v>648</v>
      </c>
      <c r="B74" s="216" t="s">
        <v>355</v>
      </c>
      <c r="C74" s="216" t="s">
        <v>352</v>
      </c>
      <c r="D74" s="216">
        <v>-5.1400000000000001E-2</v>
      </c>
      <c r="E74" s="216">
        <v>-0.52610000000000001</v>
      </c>
      <c r="F74" s="216">
        <v>1.3599999999999999E-2</v>
      </c>
      <c r="G74" s="216">
        <v>0.82703000000000004</v>
      </c>
      <c r="H74" s="216">
        <v>-0.12421</v>
      </c>
      <c r="I74" s="216">
        <v>-3.6999999999999999E-4</v>
      </c>
      <c r="K74" s="33"/>
      <c r="L74" s="17" t="s">
        <v>377</v>
      </c>
      <c r="M74" s="34">
        <f t="shared" ref="M74:R74" si="86">D71+0.25*D72+D74</f>
        <v>0.61664999999999992</v>
      </c>
      <c r="N74" s="34">
        <f t="shared" si="86"/>
        <v>-0.65782499999999999</v>
      </c>
      <c r="O74" s="34">
        <f t="shared" si="86"/>
        <v>9.0062499999999996</v>
      </c>
      <c r="P74" s="34">
        <f t="shared" si="86"/>
        <v>0.97679000000000005</v>
      </c>
      <c r="Q74" s="34">
        <f t="shared" si="86"/>
        <v>0.81027499999999997</v>
      </c>
      <c r="R74" s="35">
        <f t="shared" si="86"/>
        <v>-2.8436249999999998E-4</v>
      </c>
      <c r="S74" s="17"/>
      <c r="T74" s="29"/>
      <c r="U74" s="29" t="s">
        <v>377</v>
      </c>
      <c r="V74" s="23">
        <f t="shared" si="81"/>
        <v>9.0062499999999996</v>
      </c>
      <c r="W74" s="23">
        <f t="shared" si="81"/>
        <v>0.97679000000000005</v>
      </c>
      <c r="X74" s="23">
        <f t="shared" si="81"/>
        <v>0.81027499999999997</v>
      </c>
      <c r="Y74" s="29"/>
      <c r="Z74" s="31">
        <f>ABS(V74)/AC74/AD74</f>
        <v>4.690755208333333</v>
      </c>
      <c r="AA74" s="23">
        <f>ABS(+W74/V74)</f>
        <v>0.10845690492713395</v>
      </c>
      <c r="AB74" s="23">
        <f>ABS(X74/V74)</f>
        <v>8.9968077723802914E-2</v>
      </c>
      <c r="AC74" s="36">
        <f t="shared" si="84"/>
        <v>0.8</v>
      </c>
      <c r="AD74" s="37">
        <f t="shared" si="84"/>
        <v>2.4</v>
      </c>
      <c r="AE74" s="22">
        <f t="shared" si="82"/>
        <v>0.58308619014573215</v>
      </c>
      <c r="AF74" s="22">
        <f t="shared" si="82"/>
        <v>2.2200638445523939</v>
      </c>
      <c r="AG74" s="22">
        <f>AF74*AE74</f>
        <v>1.2944885690003423</v>
      </c>
      <c r="AH74" s="38">
        <f>V74/AG74</f>
        <v>6.9573808650585454</v>
      </c>
      <c r="AJ74" s="147" t="s">
        <v>500</v>
      </c>
      <c r="AK74" s="24">
        <f>(MAX(V71:V75)+ABS(MAX(W71:W75))/(AL72/1000))*1000</f>
        <v>15499.566666666668</v>
      </c>
      <c r="AL74" s="150" t="s">
        <v>502</v>
      </c>
      <c r="AM74" s="24">
        <f>+ABS(MAX(AK74:AK75))/(+AK72*2/10+AL72*2/10)/(AP72/10)</f>
        <v>139.7084510869565</v>
      </c>
      <c r="AN74" s="151" t="str">
        <f>IF(AM74&lt;=AM75,"OK","REDIS")</f>
        <v>OK</v>
      </c>
      <c r="AO74" s="150" t="s">
        <v>508</v>
      </c>
      <c r="AP74" s="24">
        <f>((AO72/10/2-AL72/10/2)/2)*((MAX(ABS(MAX(W71:W75)),ABS(MIN(W71:W75)))*100000))/(AL72/10)</f>
        <v>16279.833333333334</v>
      </c>
      <c r="AQ74" s="150" t="s">
        <v>510</v>
      </c>
      <c r="AR74" s="24">
        <f>+AP74/(AK72*AP72*AP72/6/10/10/10)</f>
        <v>976.79</v>
      </c>
      <c r="AS74" s="152" t="str">
        <f>IF(AR74&lt;=0.6*AR70*1.1,"OK","REDIS")</f>
        <v>OK</v>
      </c>
      <c r="AT74" s="24" t="s">
        <v>516</v>
      </c>
      <c r="AU74" s="174">
        <f>+AW72*(AP74/100000)/((AO72-AL72)/1000/4)/(AT72-1)</f>
        <v>1.6279833333333333</v>
      </c>
      <c r="AV74" s="24" t="s">
        <v>519</v>
      </c>
      <c r="AW74" s="175">
        <f>+AW72*(ABS(MAX(M71:M75))+ABS(MIN(M71:M75)+ABS(MAX(N71:N75))+ABS(MIN(N71:N75))))/AV72</f>
        <v>0.29853750000000001</v>
      </c>
      <c r="AX74" s="155" t="s">
        <v>525</v>
      </c>
      <c r="AY74" s="182">
        <f>IF(BC72=(1+1/4),+(11-1/4),IF(BC72=1,(9),IF(BC72=(7/8),(7-7/8),IF(BC72=(3/4),+(6-3/4),IF(BC72=(5/8),+(5-5/8),IF(BC72=(1/2),(4-1/2),IF(BC72=(3-3/8),+(7/16),"no valido")))))))</f>
        <v>9</v>
      </c>
      <c r="AZ74" s="166" t="s">
        <v>526</v>
      </c>
      <c r="BA74" s="168" t="s">
        <v>533</v>
      </c>
      <c r="BB74" s="153" t="s">
        <v>521</v>
      </c>
      <c r="BC74" s="44">
        <f>+AV72</f>
        <v>8</v>
      </c>
      <c r="BD74" s="166" t="s">
        <v>527</v>
      </c>
      <c r="BE74" s="162" t="s">
        <v>534</v>
      </c>
      <c r="BG74" s="113"/>
      <c r="BH74" s="68"/>
      <c r="BI74" s="136"/>
      <c r="BJ74" s="138"/>
      <c r="BM74" s="125"/>
      <c r="BN74" s="133"/>
      <c r="BO74" s="44"/>
      <c r="BT74" s="125"/>
      <c r="BU74" s="133"/>
      <c r="BV74" s="44"/>
    </row>
    <row r="75" spans="1:74" ht="15" hidden="1" x14ac:dyDescent="0.25">
      <c r="A75" s="216" t="s">
        <v>648</v>
      </c>
      <c r="B75" s="216" t="s">
        <v>624</v>
      </c>
      <c r="C75" s="216" t="s">
        <v>389</v>
      </c>
      <c r="D75" s="216">
        <v>0.80910000000000004</v>
      </c>
      <c r="E75" s="216">
        <v>-0.15909999999999999</v>
      </c>
      <c r="F75" s="216">
        <v>11.072699999999999</v>
      </c>
      <c r="G75" s="216">
        <v>0.18073</v>
      </c>
      <c r="H75" s="216">
        <v>1.13513</v>
      </c>
      <c r="I75" s="216">
        <v>1E-4</v>
      </c>
      <c r="K75" s="39"/>
      <c r="L75" s="40" t="s">
        <v>378</v>
      </c>
      <c r="M75" s="41">
        <f t="shared" ref="M75:R75" si="87">D71+0.25*D72-D74</f>
        <v>0.71944999999999992</v>
      </c>
      <c r="N75" s="41">
        <f t="shared" si="87"/>
        <v>0.39437500000000003</v>
      </c>
      <c r="O75" s="41">
        <f t="shared" si="87"/>
        <v>8.9790499999999991</v>
      </c>
      <c r="P75" s="41">
        <f t="shared" si="87"/>
        <v>-0.67727000000000004</v>
      </c>
      <c r="Q75" s="41">
        <f t="shared" si="87"/>
        <v>1.0586949999999999</v>
      </c>
      <c r="R75" s="42">
        <f t="shared" si="87"/>
        <v>4.5563750000000001E-4</v>
      </c>
      <c r="S75" s="17"/>
      <c r="T75" s="29"/>
      <c r="U75" s="29" t="s">
        <v>378</v>
      </c>
      <c r="V75" s="23">
        <f t="shared" si="81"/>
        <v>8.9790499999999991</v>
      </c>
      <c r="W75" s="23">
        <f t="shared" si="81"/>
        <v>-0.67727000000000004</v>
      </c>
      <c r="X75" s="23">
        <f t="shared" si="81"/>
        <v>1.0586949999999999</v>
      </c>
      <c r="Y75" s="29"/>
      <c r="Z75" s="31">
        <f>ABS(V75)/AC75/AD75</f>
        <v>4.6765885416666659</v>
      </c>
      <c r="AA75" s="23">
        <f>ABS(+W75/V75)</f>
        <v>7.5427801382106141E-2</v>
      </c>
      <c r="AB75" s="23">
        <f>ABS(X75/V75)</f>
        <v>0.11790723963002768</v>
      </c>
      <c r="AC75" s="36">
        <f t="shared" si="84"/>
        <v>0.8</v>
      </c>
      <c r="AD75" s="37">
        <f t="shared" si="84"/>
        <v>2.4</v>
      </c>
      <c r="AE75" s="22">
        <f t="shared" si="82"/>
        <v>0.64914439723578776</v>
      </c>
      <c r="AF75" s="22">
        <f t="shared" si="82"/>
        <v>2.1641855207399447</v>
      </c>
      <c r="AG75" s="22">
        <f>AF75*AE75</f>
        <v>1.4048689053671508</v>
      </c>
      <c r="AH75" s="38">
        <f>V75/AG75</f>
        <v>6.3913792708319637</v>
      </c>
      <c r="AJ75" s="147" t="s">
        <v>501</v>
      </c>
      <c r="AK75" s="24">
        <f>(MAX(V71:V75)+ABS(MAX(X71:X75))/(AK72/1000))*1000</f>
        <v>32132.943749999995</v>
      </c>
      <c r="AL75" s="150" t="s">
        <v>505</v>
      </c>
      <c r="AM75" s="24">
        <f>+AR70*0.4/3</f>
        <v>466.66666666666669</v>
      </c>
      <c r="AN75" s="24"/>
      <c r="AO75" s="150" t="s">
        <v>509</v>
      </c>
      <c r="AP75" s="24">
        <f>((AN72/10/2-AK72/10/2)/2)*(MAX(+ABS(MAX(X71:X75)),ABS(MIN(X71:X75)))*100000/(AK72/10))</f>
        <v>99446.71875</v>
      </c>
      <c r="AQ75" s="150" t="s">
        <v>511</v>
      </c>
      <c r="AR75" s="24">
        <f>+AP75/(AL72*AP72*AP72/6/1000)</f>
        <v>3182.2950000000001</v>
      </c>
      <c r="AS75" s="152" t="str">
        <f>IF(AR75&lt;=0.6*AR70*1.1,"OK","REDIS")</f>
        <v>REDIS</v>
      </c>
      <c r="AT75" s="24" t="s">
        <v>517</v>
      </c>
      <c r="AU75" s="174">
        <f>+AW72*(AP75/100000)/((AN72-AK72)/1000/4)/(AU72-1)</f>
        <v>9.9446718749999992</v>
      </c>
      <c r="AV75" s="24"/>
      <c r="AW75" s="161"/>
      <c r="AX75" s="156" t="s">
        <v>522</v>
      </c>
      <c r="AY75" s="181">
        <f>IF(AY73=(1+3/8),+AV72/3,IF(AY73=(1+1/8),+AV72/6,IF(AY73=1,+AV72/8,IF(AY73=(7/8),+AV72/11,IF(AY73=0.75,+AV72/18,IF(AY73=(9/16),+AV72/45,IF(AY73=(7/16),+AV72/84,"NO HAY DATO")))))))</f>
        <v>1.3333333333333333</v>
      </c>
      <c r="AZ75" s="167" t="s">
        <v>527</v>
      </c>
      <c r="BA75" s="176"/>
      <c r="BB75" s="164" t="s">
        <v>523</v>
      </c>
      <c r="BC75" s="129">
        <f>+BC74*BC73*2.54/100</f>
        <v>2.4384000000000001</v>
      </c>
      <c r="BD75" s="173" t="s">
        <v>528</v>
      </c>
      <c r="BE75" s="130"/>
      <c r="BG75" s="113"/>
      <c r="BH75" s="68"/>
      <c r="BI75" s="114"/>
      <c r="BJ75" s="45"/>
      <c r="BK75" s="63"/>
      <c r="BL75" s="63"/>
      <c r="BM75" s="63"/>
      <c r="BN75" s="70"/>
      <c r="BO75" s="70"/>
      <c r="BP75" s="44"/>
      <c r="BQ75" s="63"/>
      <c r="BR75" s="44"/>
      <c r="BS75" s="70"/>
      <c r="BT75" s="70"/>
      <c r="BU75" s="207"/>
      <c r="BV75" s="63"/>
    </row>
    <row r="76" spans="1:74" ht="15" hidden="1" x14ac:dyDescent="0.25">
      <c r="A76" s="216" t="s">
        <v>648</v>
      </c>
      <c r="B76" s="216" t="s">
        <v>625</v>
      </c>
      <c r="C76" s="216" t="s">
        <v>389</v>
      </c>
      <c r="D76" s="216">
        <v>0.51370000000000005</v>
      </c>
      <c r="E76" s="216">
        <v>0.43519999999999998</v>
      </c>
      <c r="F76" s="216">
        <v>6.3136000000000001</v>
      </c>
      <c r="G76" s="216">
        <v>-0.72375999999999996</v>
      </c>
      <c r="H76" s="216">
        <v>0.77285000000000004</v>
      </c>
      <c r="I76" s="216">
        <v>4.2999999999999999E-4</v>
      </c>
      <c r="K76" s="25" t="s">
        <v>357</v>
      </c>
      <c r="L76" s="26" t="s">
        <v>358</v>
      </c>
      <c r="M76" s="27" t="s">
        <v>359</v>
      </c>
      <c r="N76" s="27" t="s">
        <v>360</v>
      </c>
      <c r="O76" s="27" t="s">
        <v>361</v>
      </c>
      <c r="P76" s="27" t="s">
        <v>362</v>
      </c>
      <c r="Q76" s="27" t="s">
        <v>363</v>
      </c>
      <c r="R76" s="28" t="s">
        <v>364</v>
      </c>
      <c r="S76" s="17"/>
      <c r="T76" s="29" t="s">
        <v>365</v>
      </c>
      <c r="U76" s="29" t="s">
        <v>358</v>
      </c>
      <c r="V76" s="30" t="s">
        <v>361</v>
      </c>
      <c r="W76" s="30" t="s">
        <v>362</v>
      </c>
      <c r="X76" s="30" t="s">
        <v>363</v>
      </c>
      <c r="Y76" s="29" t="s">
        <v>366</v>
      </c>
      <c r="Z76" s="31" t="s">
        <v>367</v>
      </c>
      <c r="AA76" s="23" t="s">
        <v>368</v>
      </c>
      <c r="AB76" s="23" t="s">
        <v>369</v>
      </c>
      <c r="AC76" s="22" t="s">
        <v>0</v>
      </c>
      <c r="AD76" s="22" t="s">
        <v>1</v>
      </c>
      <c r="AE76" s="22" t="s">
        <v>370</v>
      </c>
      <c r="AF76" s="22" t="s">
        <v>371</v>
      </c>
      <c r="AG76" s="22" t="s">
        <v>372</v>
      </c>
      <c r="AH76" s="32" t="s">
        <v>373</v>
      </c>
      <c r="AJ76" s="143" t="s">
        <v>365</v>
      </c>
      <c r="AK76" s="144" t="s">
        <v>498</v>
      </c>
      <c r="AL76" s="145"/>
      <c r="AM76" s="139"/>
      <c r="AN76" s="146" t="s">
        <v>499</v>
      </c>
      <c r="AO76" s="145"/>
      <c r="AP76" s="139"/>
      <c r="AQ76" s="147" t="s">
        <v>506</v>
      </c>
      <c r="AR76" s="48">
        <v>3500</v>
      </c>
      <c r="AS76" s="147" t="s">
        <v>405</v>
      </c>
      <c r="AT76" s="146" t="s">
        <v>512</v>
      </c>
      <c r="AU76" s="145"/>
      <c r="AV76" s="145"/>
      <c r="AW76" s="145"/>
      <c r="AX76" s="163" t="s">
        <v>532</v>
      </c>
      <c r="AY76" s="157" t="s">
        <v>515</v>
      </c>
      <c r="AZ76" s="169">
        <v>6.9</v>
      </c>
      <c r="BA76" s="171" t="str">
        <f>IF(MAX(AU80:AU81)&lt;=AZ76,"OK","REDIS")</f>
        <v>REDIS</v>
      </c>
      <c r="BB76" s="163" t="s">
        <v>536</v>
      </c>
      <c r="BC76" s="170" t="s">
        <v>515</v>
      </c>
      <c r="BD76" s="169">
        <v>8.36</v>
      </c>
      <c r="BE76" s="171" t="str">
        <f>IF(MAX(AU80:AU81)&lt;=BD76,"OK","REDIS")</f>
        <v>REDIS</v>
      </c>
      <c r="BG76" s="109"/>
      <c r="BH76" s="142"/>
      <c r="BJ76" s="109"/>
      <c r="BK76" s="142"/>
      <c r="BM76" s="110"/>
      <c r="BN76" s="110"/>
      <c r="BO76" s="110"/>
      <c r="BP76" s="110"/>
    </row>
    <row r="77" spans="1:74" ht="15" hidden="1" x14ac:dyDescent="0.25">
      <c r="A77" s="216" t="s">
        <v>649</v>
      </c>
      <c r="B77" s="216" t="s">
        <v>351</v>
      </c>
      <c r="C77" s="216" t="s">
        <v>352</v>
      </c>
      <c r="D77" s="216">
        <v>1.4E-2</v>
      </c>
      <c r="E77" s="216">
        <v>1E-3</v>
      </c>
      <c r="F77" s="216">
        <v>9.8747000000000007</v>
      </c>
      <c r="G77" s="216">
        <v>0.12992000000000001</v>
      </c>
      <c r="H77" s="216">
        <v>1.9599999999999999E-2</v>
      </c>
      <c r="I77" s="216">
        <v>-1.4999999999999999E-4</v>
      </c>
      <c r="K77" s="33" t="str">
        <f>+A77</f>
        <v>69</v>
      </c>
      <c r="L77" s="17" t="s">
        <v>374</v>
      </c>
      <c r="M77" s="34">
        <f t="shared" ref="M77:R77" si="88">D77+D78</f>
        <v>2.3E-2</v>
      </c>
      <c r="N77" s="34">
        <f t="shared" si="88"/>
        <v>1.84E-2</v>
      </c>
      <c r="O77" s="34">
        <f t="shared" si="88"/>
        <v>15.293700000000001</v>
      </c>
      <c r="P77" s="34">
        <f t="shared" si="88"/>
        <v>0.20416000000000001</v>
      </c>
      <c r="Q77" s="34">
        <f t="shared" si="88"/>
        <v>3.2049999999999995E-2</v>
      </c>
      <c r="R77" s="35">
        <f t="shared" si="88"/>
        <v>-2.3772999999999999E-4</v>
      </c>
      <c r="S77" s="17"/>
      <c r="T77" s="29" t="str">
        <f>K77</f>
        <v>69</v>
      </c>
      <c r="U77" s="29" t="s">
        <v>374</v>
      </c>
      <c r="V77" s="23">
        <f t="shared" ref="V77:X81" si="89">O77</f>
        <v>15.293700000000001</v>
      </c>
      <c r="W77" s="23">
        <f t="shared" si="89"/>
        <v>0.20416000000000001</v>
      </c>
      <c r="X77" s="23">
        <f t="shared" si="89"/>
        <v>3.2049999999999995E-2</v>
      </c>
      <c r="Y77" s="29">
        <v>10</v>
      </c>
      <c r="Z77" s="31">
        <f>ABS(V77)/AC77/AD77</f>
        <v>12.744750000000002</v>
      </c>
      <c r="AA77" s="23">
        <f>ABS(+W77/V77)</f>
        <v>1.3349287615161798E-2</v>
      </c>
      <c r="AB77" s="23">
        <f>ABS(X77/V77)</f>
        <v>2.0956341500094804E-3</v>
      </c>
      <c r="AC77" s="36">
        <v>0.8</v>
      </c>
      <c r="AD77" s="37">
        <v>1.5</v>
      </c>
      <c r="AE77" s="22">
        <f t="shared" ref="AE77:AF81" si="90">AC77-2*AA77</f>
        <v>0.77330142476967645</v>
      </c>
      <c r="AF77" s="22">
        <f t="shared" si="90"/>
        <v>1.4958087316999811</v>
      </c>
      <c r="AG77" s="22">
        <f>AF77*AE77</f>
        <v>1.1567110234065181</v>
      </c>
      <c r="AH77" s="38">
        <f>V77/AG77</f>
        <v>13.221711983828078</v>
      </c>
      <c r="AJ77" s="48" t="str">
        <f>+K77</f>
        <v>69</v>
      </c>
      <c r="AK77" s="147" t="s">
        <v>0</v>
      </c>
      <c r="AL77" s="147" t="s">
        <v>1</v>
      </c>
      <c r="AM77" s="147" t="s">
        <v>438</v>
      </c>
      <c r="AN77" s="147" t="s">
        <v>503</v>
      </c>
      <c r="AO77" s="147" t="s">
        <v>504</v>
      </c>
      <c r="AP77" s="147" t="s">
        <v>323</v>
      </c>
      <c r="AQ77" s="48"/>
      <c r="AR77" s="48"/>
      <c r="AS77" s="48"/>
      <c r="AT77" s="147" t="s">
        <v>0</v>
      </c>
      <c r="AU77" s="147" t="s">
        <v>1</v>
      </c>
      <c r="AV77" s="147" t="s">
        <v>513</v>
      </c>
      <c r="AW77" s="159" t="s">
        <v>520</v>
      </c>
      <c r="AX77" s="141" t="s">
        <v>530</v>
      </c>
      <c r="AY77" s="157" t="s">
        <v>178</v>
      </c>
      <c r="AZ77" s="44">
        <v>12</v>
      </c>
      <c r="BA77" s="172" t="str">
        <f>IF(AW80&lt;=AZ77,"OK","REDIS")</f>
        <v>OK</v>
      </c>
      <c r="BB77" s="141" t="s">
        <v>535</v>
      </c>
      <c r="BC77" s="120" t="s">
        <v>178</v>
      </c>
      <c r="BD77" s="44">
        <v>4.3</v>
      </c>
      <c r="BE77" s="172" t="str">
        <f>IF(AW80&lt;=BD77,"OK","REDIS")</f>
        <v>OK</v>
      </c>
      <c r="BG77" s="111"/>
      <c r="BH77" s="9"/>
      <c r="BI77" s="125"/>
      <c r="BJ77" s="125"/>
      <c r="BK77" s="44"/>
      <c r="BL77" s="44"/>
      <c r="BM77" s="126"/>
      <c r="BN77" s="44"/>
      <c r="BO77" s="44"/>
      <c r="BP77" s="44"/>
      <c r="BQ77" s="126"/>
      <c r="BR77" s="44"/>
      <c r="BS77" s="44"/>
      <c r="BT77" s="44"/>
      <c r="BU77" s="44"/>
      <c r="BV77" s="44"/>
    </row>
    <row r="78" spans="1:74" ht="15" hidden="1" x14ac:dyDescent="0.25">
      <c r="A78" s="216" t="s">
        <v>649</v>
      </c>
      <c r="B78" s="216" t="s">
        <v>353</v>
      </c>
      <c r="C78" s="216" t="s">
        <v>352</v>
      </c>
      <c r="D78" s="216">
        <v>8.9999999999999993E-3</v>
      </c>
      <c r="E78" s="216">
        <v>1.7399999999999999E-2</v>
      </c>
      <c r="F78" s="216">
        <v>5.4189999999999996</v>
      </c>
      <c r="G78" s="216">
        <v>7.424E-2</v>
      </c>
      <c r="H78" s="216">
        <v>1.2449999999999999E-2</v>
      </c>
      <c r="I78" s="216">
        <v>-8.7730000000000002E-5</v>
      </c>
      <c r="K78" s="33"/>
      <c r="L78" s="17" t="s">
        <v>375</v>
      </c>
      <c r="M78" s="34">
        <f t="shared" ref="M78:R78" si="91">D77+0.25*D78+D79</f>
        <v>-0.15155000000000002</v>
      </c>
      <c r="N78" s="34">
        <f t="shared" si="91"/>
        <v>0.24115</v>
      </c>
      <c r="O78" s="34">
        <f t="shared" si="91"/>
        <v>11.03355</v>
      </c>
      <c r="P78" s="34">
        <f t="shared" si="91"/>
        <v>-0.35016999999999998</v>
      </c>
      <c r="Q78" s="34">
        <f t="shared" si="91"/>
        <v>-0.24075749999999999</v>
      </c>
      <c r="R78" s="35">
        <f t="shared" si="91"/>
        <v>-2.4892250000000001E-4</v>
      </c>
      <c r="S78" s="17"/>
      <c r="T78" s="29"/>
      <c r="U78" s="29" t="s">
        <v>375</v>
      </c>
      <c r="V78" s="23">
        <f t="shared" si="89"/>
        <v>11.03355</v>
      </c>
      <c r="W78" s="23">
        <f t="shared" si="89"/>
        <v>-0.35016999999999998</v>
      </c>
      <c r="X78" s="23">
        <f t="shared" si="89"/>
        <v>-0.24075749999999999</v>
      </c>
      <c r="Y78" s="29">
        <f>1.33*Y77</f>
        <v>13.3</v>
      </c>
      <c r="Z78" s="31">
        <f>ABS(V78)/AC78/AD78</f>
        <v>9.1946250000000003</v>
      </c>
      <c r="AA78" s="23">
        <f>ABS(+W78/V78)</f>
        <v>3.1736839004672113E-2</v>
      </c>
      <c r="AB78" s="23">
        <f>ABS(X78/V78)</f>
        <v>2.1820492951044768E-2</v>
      </c>
      <c r="AC78" s="36">
        <f t="shared" ref="AC78:AD81" si="92">AC77</f>
        <v>0.8</v>
      </c>
      <c r="AD78" s="37">
        <f t="shared" si="92"/>
        <v>1.5</v>
      </c>
      <c r="AE78" s="22">
        <f t="shared" si="90"/>
        <v>0.73652632199065582</v>
      </c>
      <c r="AF78" s="22">
        <f t="shared" si="90"/>
        <v>1.4563590140979104</v>
      </c>
      <c r="AG78" s="22">
        <f>AF78*AE78</f>
        <v>1.0726467481514717</v>
      </c>
      <c r="AH78" s="38">
        <f>V78/AG78</f>
        <v>10.286284854743176</v>
      </c>
      <c r="AJ78" s="147" t="s">
        <v>539</v>
      </c>
      <c r="AK78" s="148">
        <v>140</v>
      </c>
      <c r="AL78" s="148">
        <v>270</v>
      </c>
      <c r="AM78" s="148">
        <v>4</v>
      </c>
      <c r="AN78" s="149">
        <v>250</v>
      </c>
      <c r="AO78" s="149">
        <v>400</v>
      </c>
      <c r="AP78" s="149">
        <v>40</v>
      </c>
      <c r="AQ78" s="48"/>
      <c r="AR78" s="48"/>
      <c r="AS78" s="48"/>
      <c r="AT78" s="48">
        <v>3</v>
      </c>
      <c r="AU78" s="48">
        <v>3</v>
      </c>
      <c r="AV78" s="149">
        <f>+AT78*2+(AU78-2)*2</f>
        <v>8</v>
      </c>
      <c r="AW78" s="159">
        <v>1.2</v>
      </c>
      <c r="AX78" s="155" t="s">
        <v>538</v>
      </c>
      <c r="AY78" s="180">
        <f>+AV78</f>
        <v>8</v>
      </c>
      <c r="BA78" s="154"/>
      <c r="BB78" s="177" t="s">
        <v>537</v>
      </c>
      <c r="BC78" s="179">
        <v>1</v>
      </c>
      <c r="BD78" s="166" t="s">
        <v>526</v>
      </c>
      <c r="BE78" s="154"/>
      <c r="BG78" s="9"/>
      <c r="BH78" s="16"/>
      <c r="BI78" s="208"/>
      <c r="BJ78" s="124"/>
      <c r="BK78" s="63"/>
      <c r="BL78" s="63"/>
      <c r="BM78" s="125"/>
      <c r="BN78" s="133"/>
      <c r="BO78" s="44"/>
      <c r="BP78" s="64"/>
      <c r="BQ78" s="125"/>
      <c r="BS78" s="63"/>
      <c r="BT78" s="63"/>
      <c r="BU78" s="63"/>
      <c r="BV78" s="63"/>
    </row>
    <row r="79" spans="1:74" ht="15" hidden="1" x14ac:dyDescent="0.25">
      <c r="A79" s="216" t="s">
        <v>649</v>
      </c>
      <c r="B79" s="216" t="s">
        <v>354</v>
      </c>
      <c r="C79" s="216" t="s">
        <v>352</v>
      </c>
      <c r="D79" s="216">
        <v>-0.1678</v>
      </c>
      <c r="E79" s="216">
        <v>0.23580000000000001</v>
      </c>
      <c r="F79" s="216">
        <v>-0.19589999999999999</v>
      </c>
      <c r="G79" s="216">
        <v>-0.49864999999999998</v>
      </c>
      <c r="H79" s="216">
        <v>-0.26346999999999998</v>
      </c>
      <c r="I79" s="216">
        <v>-7.6990000000000007E-5</v>
      </c>
      <c r="K79" s="33"/>
      <c r="L79" s="17" t="s">
        <v>376</v>
      </c>
      <c r="M79" s="34">
        <f t="shared" ref="M79:R79" si="93">D77+0.25*D78-D79</f>
        <v>0.18404999999999999</v>
      </c>
      <c r="N79" s="34">
        <f t="shared" si="93"/>
        <v>-0.23045000000000002</v>
      </c>
      <c r="O79" s="34">
        <f t="shared" si="93"/>
        <v>11.42535</v>
      </c>
      <c r="P79" s="34">
        <f t="shared" si="93"/>
        <v>0.64712999999999998</v>
      </c>
      <c r="Q79" s="34">
        <f t="shared" si="93"/>
        <v>0.28618250000000001</v>
      </c>
      <c r="R79" s="35">
        <f t="shared" si="93"/>
        <v>-9.4942499999999967E-5</v>
      </c>
      <c r="S79" s="17"/>
      <c r="T79" s="29"/>
      <c r="U79" s="29" t="s">
        <v>376</v>
      </c>
      <c r="V79" s="23">
        <f t="shared" si="89"/>
        <v>11.42535</v>
      </c>
      <c r="W79" s="23">
        <f t="shared" si="89"/>
        <v>0.64712999999999998</v>
      </c>
      <c r="X79" s="23">
        <f t="shared" si="89"/>
        <v>0.28618250000000001</v>
      </c>
      <c r="Y79" s="29"/>
      <c r="Z79" s="31">
        <f>ABS(V79)/AC79/AD79</f>
        <v>9.5211249999999996</v>
      </c>
      <c r="AA79" s="23">
        <f>ABS(+W79/V79)</f>
        <v>5.6639840355000068E-2</v>
      </c>
      <c r="AB79" s="23">
        <f>ABS(X79/V79)</f>
        <v>2.5048029163220385E-2</v>
      </c>
      <c r="AC79" s="36">
        <f t="shared" si="92"/>
        <v>0.8</v>
      </c>
      <c r="AD79" s="37">
        <f t="shared" si="92"/>
        <v>1.5</v>
      </c>
      <c r="AE79" s="22">
        <f t="shared" si="90"/>
        <v>0.68672031928999988</v>
      </c>
      <c r="AF79" s="22">
        <f t="shared" si="90"/>
        <v>1.4499039416735593</v>
      </c>
      <c r="AG79" s="22">
        <f>AF79*AE79</f>
        <v>0.99567849776589601</v>
      </c>
      <c r="AH79" s="38">
        <f>V79/AG79</f>
        <v>11.474938974414137</v>
      </c>
      <c r="AJ79" s="146" t="s">
        <v>514</v>
      </c>
      <c r="AK79" s="145"/>
      <c r="AL79" s="145"/>
      <c r="AM79" s="145"/>
      <c r="AN79" s="139"/>
      <c r="AO79" s="146" t="s">
        <v>507</v>
      </c>
      <c r="AP79" s="145" t="s">
        <v>626</v>
      </c>
      <c r="AQ79" s="145">
        <f>0.6*AR76</f>
        <v>2100</v>
      </c>
      <c r="AR79" s="212" t="s">
        <v>627</v>
      </c>
      <c r="AS79" s="211">
        <f>+AR80+AR81</f>
        <v>1898.2754836309525</v>
      </c>
      <c r="AT79" s="48" t="s">
        <v>515</v>
      </c>
      <c r="AU79" s="48"/>
      <c r="AV79" s="48" t="s">
        <v>518</v>
      </c>
      <c r="AW79" s="160"/>
      <c r="AX79" s="155" t="s">
        <v>524</v>
      </c>
      <c r="AY79" s="182">
        <f>IF(BC78=(1+1/4),+(1+3/8),IF(BC78=1,(1+1/8),IF(BC78=(7/8),1,IF(BC78=(3/4),+(7/8),IF(BC78=(5/8),+(3/4),IF(BC78=(1/2),(9/16),IF(BC78=(3/8),+(7/16),"no valido")))))))</f>
        <v>1.125</v>
      </c>
      <c r="AZ79" s="165" t="s">
        <v>526</v>
      </c>
      <c r="BA79" s="172" t="s">
        <v>531</v>
      </c>
      <c r="BB79" s="178" t="s">
        <v>529</v>
      </c>
      <c r="BC79" s="158">
        <f>+AY80+3</f>
        <v>12</v>
      </c>
      <c r="BD79" s="166" t="s">
        <v>526</v>
      </c>
      <c r="BE79" s="172" t="s">
        <v>531</v>
      </c>
      <c r="BG79" s="113"/>
      <c r="BH79" s="68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126"/>
      <c r="BV79" s="63"/>
    </row>
    <row r="80" spans="1:74" ht="15" hidden="1" x14ac:dyDescent="0.25">
      <c r="A80" s="216" t="s">
        <v>649</v>
      </c>
      <c r="B80" s="216" t="s">
        <v>355</v>
      </c>
      <c r="C80" s="216" t="s">
        <v>352</v>
      </c>
      <c r="D80" s="216">
        <v>8.6E-3</v>
      </c>
      <c r="E80" s="216">
        <v>-2.7997000000000001</v>
      </c>
      <c r="F80" s="216">
        <v>0.65549999999999997</v>
      </c>
      <c r="G80" s="216">
        <v>5.4969400000000004</v>
      </c>
      <c r="H80" s="216">
        <v>1.242E-2</v>
      </c>
      <c r="I80" s="216">
        <v>-2.9349999999999999E-5</v>
      </c>
      <c r="K80" s="33"/>
      <c r="L80" s="17" t="s">
        <v>377</v>
      </c>
      <c r="M80" s="34">
        <f t="shared" ref="M80:R80" si="94">D77+0.25*D78+D80</f>
        <v>2.4850000000000001E-2</v>
      </c>
      <c r="N80" s="34">
        <f t="shared" si="94"/>
        <v>-2.7943500000000001</v>
      </c>
      <c r="O80" s="34">
        <f t="shared" si="94"/>
        <v>11.88495</v>
      </c>
      <c r="P80" s="34">
        <f t="shared" si="94"/>
        <v>5.6454200000000005</v>
      </c>
      <c r="Q80" s="34">
        <f t="shared" si="94"/>
        <v>3.5132499999999997E-2</v>
      </c>
      <c r="R80" s="35">
        <f t="shared" si="94"/>
        <v>-2.0128249999999998E-4</v>
      </c>
      <c r="S80" s="17"/>
      <c r="T80" s="29"/>
      <c r="U80" s="29" t="s">
        <v>377</v>
      </c>
      <c r="V80" s="23">
        <f t="shared" si="89"/>
        <v>11.88495</v>
      </c>
      <c r="W80" s="23">
        <f t="shared" si="89"/>
        <v>5.6454200000000005</v>
      </c>
      <c r="X80" s="23">
        <f t="shared" si="89"/>
        <v>3.5132499999999997E-2</v>
      </c>
      <c r="Y80" s="29"/>
      <c r="Z80" s="31">
        <f>ABS(V80)/AC80/AD80</f>
        <v>9.9041249999999987</v>
      </c>
      <c r="AA80" s="23">
        <f>ABS(+W80/V80)</f>
        <v>0.47500578462677595</v>
      </c>
      <c r="AB80" s="23">
        <f>ABS(X80/V80)</f>
        <v>2.9560494575071833E-3</v>
      </c>
      <c r="AC80" s="36">
        <f t="shared" si="92"/>
        <v>0.8</v>
      </c>
      <c r="AD80" s="37">
        <f t="shared" si="92"/>
        <v>1.5</v>
      </c>
      <c r="AE80" s="22">
        <f t="shared" si="90"/>
        <v>-0.15001156925355186</v>
      </c>
      <c r="AF80" s="22">
        <f t="shared" si="90"/>
        <v>1.4940879010849857</v>
      </c>
      <c r="AG80" s="22">
        <f>AF80*AE80</f>
        <v>-0.22413047064450425</v>
      </c>
      <c r="AH80" s="38">
        <f>V80/AG80</f>
        <v>-53.026926529998001</v>
      </c>
      <c r="AJ80" s="147" t="s">
        <v>500</v>
      </c>
      <c r="AK80" s="24">
        <f>(MAX(V77:V81)+ABS(MAX(W77:W81))/(AL78/1000))*1000</f>
        <v>36202.662962962961</v>
      </c>
      <c r="AL80" s="150" t="s">
        <v>502</v>
      </c>
      <c r="AM80" s="24">
        <f>+ABS(MAX(AK80:AK81))/(+AK78*2/10+AL78*2/10)/(AP78/10)</f>
        <v>110.37397244805781</v>
      </c>
      <c r="AN80" s="151" t="str">
        <f>IF(AM80&lt;=AM81,"OK","REDIS")</f>
        <v>OK</v>
      </c>
      <c r="AO80" s="150" t="s">
        <v>508</v>
      </c>
      <c r="AP80" s="24">
        <f>((AO78/10/2-AL78/10/2)/2)*((MAX(ABS(MAX(W77:W81)),ABS(MIN(W77:W81)))*100000))/(AL78/10)</f>
        <v>67954.129629629635</v>
      </c>
      <c r="AQ80" s="150" t="s">
        <v>510</v>
      </c>
      <c r="AR80" s="24">
        <f>+AP80/(AK78*AP78*AP78/6/10/10/10)</f>
        <v>1820.1999007936508</v>
      </c>
      <c r="AS80" s="152" t="str">
        <f>IF(AR80&lt;=0.6*AR76*1.1,"OK","REDIS")</f>
        <v>OK</v>
      </c>
      <c r="AT80" s="24" t="s">
        <v>516</v>
      </c>
      <c r="AU80" s="174">
        <f>+AW78*(AP80/100000)/((AO78-AL78)/1000/4)/(AT78-1)</f>
        <v>12.545377777777777</v>
      </c>
      <c r="AV80" s="24" t="s">
        <v>519</v>
      </c>
      <c r="AW80" s="175">
        <f>+AW78*(ABS(MAX(M77:M81))+ABS(MIN(M77:M81)+ABS(MAX(N77:N81))+ABS(MIN(N77:N81))))/AV78</f>
        <v>0.84478500000000012</v>
      </c>
      <c r="AX80" s="155" t="s">
        <v>525</v>
      </c>
      <c r="AY80" s="182">
        <f>IF(BC78=(1+1/4),+(11-1/4),IF(BC78=1,(9),IF(BC78=(7/8),(7-7/8),IF(BC78=(3/4),+(6-3/4),IF(BC78=(5/8),+(5-5/8),IF(BC78=(1/2),(4-1/2),IF(BC78=(3-3/8),+(7/16),"no valido")))))))</f>
        <v>9</v>
      </c>
      <c r="AZ80" s="166" t="s">
        <v>526</v>
      </c>
      <c r="BA80" s="168" t="s">
        <v>533</v>
      </c>
      <c r="BB80" s="153" t="s">
        <v>521</v>
      </c>
      <c r="BC80" s="44">
        <f>+AV78</f>
        <v>8</v>
      </c>
      <c r="BD80" s="166" t="s">
        <v>527</v>
      </c>
      <c r="BE80" s="162" t="s">
        <v>534</v>
      </c>
      <c r="BG80" s="113"/>
      <c r="BH80" s="68"/>
      <c r="BI80" s="114"/>
      <c r="BJ80" s="45"/>
      <c r="BK80" s="63"/>
      <c r="BL80" s="63"/>
      <c r="BM80" s="63"/>
      <c r="BN80" s="70"/>
      <c r="BO80" s="70"/>
      <c r="BP80" s="44"/>
      <c r="BQ80" s="63"/>
      <c r="BR80" s="44"/>
      <c r="BS80" s="70"/>
      <c r="BT80" s="70"/>
      <c r="BU80" s="207"/>
      <c r="BV80" s="63"/>
    </row>
    <row r="81" spans="1:74" ht="15" hidden="1" x14ac:dyDescent="0.25">
      <c r="A81" s="216" t="s">
        <v>649</v>
      </c>
      <c r="B81" s="216" t="s">
        <v>624</v>
      </c>
      <c r="C81" s="216" t="s">
        <v>389</v>
      </c>
      <c r="D81" s="216">
        <v>1.95E-2</v>
      </c>
      <c r="E81" s="216">
        <v>1.4E-3</v>
      </c>
      <c r="F81" s="216">
        <v>13.8246</v>
      </c>
      <c r="G81" s="216">
        <v>0.18189</v>
      </c>
      <c r="H81" s="216">
        <v>2.7439999999999999E-2</v>
      </c>
      <c r="I81" s="216">
        <v>-2.0000000000000001E-4</v>
      </c>
      <c r="K81" s="39"/>
      <c r="L81" s="40" t="s">
        <v>378</v>
      </c>
      <c r="M81" s="41">
        <f t="shared" ref="M81:R81" si="95">D77+0.25*D78-D80</f>
        <v>7.6500000000000005E-3</v>
      </c>
      <c r="N81" s="41">
        <f t="shared" si="95"/>
        <v>2.80505</v>
      </c>
      <c r="O81" s="41">
        <f t="shared" si="95"/>
        <v>10.57395</v>
      </c>
      <c r="P81" s="41">
        <f t="shared" si="95"/>
        <v>-5.3484600000000002</v>
      </c>
      <c r="Q81" s="41">
        <f t="shared" si="95"/>
        <v>1.02925E-2</v>
      </c>
      <c r="R81" s="42">
        <f t="shared" si="95"/>
        <v>-1.4258249999999997E-4</v>
      </c>
      <c r="S81" s="17"/>
      <c r="T81" s="29"/>
      <c r="U81" s="29" t="s">
        <v>378</v>
      </c>
      <c r="V81" s="23">
        <f t="shared" si="89"/>
        <v>10.57395</v>
      </c>
      <c r="W81" s="23">
        <f t="shared" si="89"/>
        <v>-5.3484600000000002</v>
      </c>
      <c r="X81" s="23">
        <f t="shared" si="89"/>
        <v>1.02925E-2</v>
      </c>
      <c r="Y81" s="29"/>
      <c r="Z81" s="31">
        <f>ABS(V81)/AC81/AD81</f>
        <v>8.8116249999999994</v>
      </c>
      <c r="AA81" s="23">
        <f>ABS(+W81/V81)</f>
        <v>0.50581476174939355</v>
      </c>
      <c r="AB81" s="23">
        <f>ABS(X81/V81)</f>
        <v>9.7338269993710953E-4</v>
      </c>
      <c r="AC81" s="36">
        <f t="shared" si="92"/>
        <v>0.8</v>
      </c>
      <c r="AD81" s="37">
        <f t="shared" si="92"/>
        <v>1.5</v>
      </c>
      <c r="AE81" s="22">
        <f t="shared" si="90"/>
        <v>-0.21162952349878705</v>
      </c>
      <c r="AF81" s="22">
        <f t="shared" si="90"/>
        <v>1.4980532346001258</v>
      </c>
      <c r="AG81" s="22">
        <f>AF81*AE81</f>
        <v>-0.31703229221424128</v>
      </c>
      <c r="AH81" s="38">
        <f>V81/AG81</f>
        <v>-33.352911547743624</v>
      </c>
      <c r="AJ81" s="147" t="s">
        <v>501</v>
      </c>
      <c r="AK81" s="24">
        <f>(MAX(V77:V81)+ABS(MAX(X77:X81))/(AK78/1000))*1000</f>
        <v>17337.860714285714</v>
      </c>
      <c r="AL81" s="150" t="s">
        <v>505</v>
      </c>
      <c r="AM81" s="24">
        <f>+AR76*0.4/3</f>
        <v>466.66666666666669</v>
      </c>
      <c r="AN81" s="24"/>
      <c r="AO81" s="150" t="s">
        <v>509</v>
      </c>
      <c r="AP81" s="24">
        <f>((AN78/10/2-AK78/10/2)/2)*(MAX(+ABS(MAX(X77:X81)),ABS(MIN(X77:X81)))*100000/(AK78/10))</f>
        <v>5621.4419642857138</v>
      </c>
      <c r="AQ81" s="150" t="s">
        <v>511</v>
      </c>
      <c r="AR81" s="24">
        <f>+AP81/(AL78*AP78*AP78/6/1000)</f>
        <v>78.075582837301582</v>
      </c>
      <c r="AS81" s="152" t="str">
        <f>IF(AR81&lt;=0.6*AR76*1.1,"OK","REDIS")</f>
        <v>OK</v>
      </c>
      <c r="AT81" s="24" t="s">
        <v>517</v>
      </c>
      <c r="AU81" s="174">
        <f>+AW78*(AP81/100000)/((AN78-AK78)/1000/4)/(AU78-1)</f>
        <v>1.2264964285714286</v>
      </c>
      <c r="AV81" s="24"/>
      <c r="AW81" s="161"/>
      <c r="AX81" s="156" t="s">
        <v>522</v>
      </c>
      <c r="AY81" s="181">
        <f>IF(AY79=(1+3/8),+AV78/3,IF(AY79=(1+1/8),+AV78/6,IF(AY79=1,+AV78/8,IF(AY79=(7/8),+AV78/11,IF(AY79=0.75,+AV78/18,IF(AY79=(9/16),+AV78/45,IF(AY79=(7/16),+AV78/84,"NO HAY DATO")))))))</f>
        <v>1.3333333333333333</v>
      </c>
      <c r="AZ81" s="167" t="s">
        <v>527</v>
      </c>
      <c r="BA81" s="176"/>
      <c r="BB81" s="164" t="s">
        <v>523</v>
      </c>
      <c r="BC81" s="129">
        <f>+BC80*BC79*2.54/100</f>
        <v>2.4384000000000001</v>
      </c>
      <c r="BD81" s="173" t="s">
        <v>528</v>
      </c>
      <c r="BE81" s="130"/>
      <c r="BG81" s="113"/>
      <c r="BH81" s="68"/>
      <c r="BI81" s="209"/>
      <c r="BJ81" s="134"/>
      <c r="BK81" s="135"/>
      <c r="BL81" s="63"/>
      <c r="BM81" s="125"/>
      <c r="BN81" s="133"/>
      <c r="BO81" s="44"/>
      <c r="BR81" s="135"/>
      <c r="BS81" s="63"/>
      <c r="BT81" s="125"/>
      <c r="BU81" s="133"/>
      <c r="BV81" s="44"/>
    </row>
    <row r="82" spans="1:74" ht="15" hidden="1" x14ac:dyDescent="0.25">
      <c r="A82" s="216" t="s">
        <v>649</v>
      </c>
      <c r="B82" s="216" t="s">
        <v>625</v>
      </c>
      <c r="C82" s="216" t="s">
        <v>389</v>
      </c>
      <c r="D82" s="216">
        <v>2.5000000000000001E-3</v>
      </c>
      <c r="E82" s="216">
        <v>2.8005</v>
      </c>
      <c r="F82" s="216">
        <v>7.2443</v>
      </c>
      <c r="G82" s="216">
        <v>-5.3929999999999998</v>
      </c>
      <c r="H82" s="216">
        <v>3.2599999999999999E-3</v>
      </c>
      <c r="I82" s="216">
        <v>-8.776E-5</v>
      </c>
      <c r="K82" s="25" t="s">
        <v>357</v>
      </c>
      <c r="L82" s="26" t="s">
        <v>358</v>
      </c>
      <c r="M82" s="27" t="s">
        <v>359</v>
      </c>
      <c r="N82" s="27" t="s">
        <v>360</v>
      </c>
      <c r="O82" s="27" t="s">
        <v>361</v>
      </c>
      <c r="P82" s="27" t="s">
        <v>362</v>
      </c>
      <c r="Q82" s="27" t="s">
        <v>363</v>
      </c>
      <c r="R82" s="28" t="s">
        <v>364</v>
      </c>
      <c r="S82" s="17"/>
      <c r="T82" s="29" t="s">
        <v>365</v>
      </c>
      <c r="U82" s="29" t="s">
        <v>358</v>
      </c>
      <c r="V82" s="30" t="s">
        <v>361</v>
      </c>
      <c r="W82" s="30" t="s">
        <v>362</v>
      </c>
      <c r="X82" s="30" t="s">
        <v>363</v>
      </c>
      <c r="Y82" s="29" t="s">
        <v>366</v>
      </c>
      <c r="Z82" s="31" t="s">
        <v>367</v>
      </c>
      <c r="AA82" s="23" t="s">
        <v>368</v>
      </c>
      <c r="AB82" s="23" t="s">
        <v>369</v>
      </c>
      <c r="AC82" s="22" t="s">
        <v>0</v>
      </c>
      <c r="AD82" s="22" t="s">
        <v>1</v>
      </c>
      <c r="AE82" s="22" t="s">
        <v>370</v>
      </c>
      <c r="AF82" s="22" t="s">
        <v>371</v>
      </c>
      <c r="AG82" s="22" t="s">
        <v>372</v>
      </c>
      <c r="AH82" s="32" t="s">
        <v>373</v>
      </c>
      <c r="AJ82" s="143" t="s">
        <v>365</v>
      </c>
      <c r="AK82" s="144" t="s">
        <v>498</v>
      </c>
      <c r="AL82" s="145"/>
      <c r="AM82" s="139"/>
      <c r="AN82" s="146" t="s">
        <v>499</v>
      </c>
      <c r="AO82" s="145"/>
      <c r="AP82" s="139"/>
      <c r="AQ82" s="147" t="s">
        <v>506</v>
      </c>
      <c r="AR82" s="48">
        <v>3500</v>
      </c>
      <c r="AS82" s="147" t="s">
        <v>405</v>
      </c>
      <c r="AT82" s="146" t="s">
        <v>512</v>
      </c>
      <c r="AU82" s="145"/>
      <c r="AV82" s="145"/>
      <c r="AW82" s="145"/>
      <c r="AX82" s="163" t="s">
        <v>532</v>
      </c>
      <c r="AY82" s="157" t="s">
        <v>515</v>
      </c>
      <c r="AZ82" s="169">
        <v>6.9</v>
      </c>
      <c r="BA82" s="171" t="str">
        <f>IF(MAX(AU86:AU87)&lt;=AZ82,"OK","REDIS")</f>
        <v>REDIS</v>
      </c>
      <c r="BB82" s="163" t="s">
        <v>536</v>
      </c>
      <c r="BC82" s="170" t="s">
        <v>515</v>
      </c>
      <c r="BD82" s="169">
        <v>8.36</v>
      </c>
      <c r="BE82" s="171" t="str">
        <f>IF(MAX(AU86:AU87)&lt;=BD82,"OK","REDIS")</f>
        <v>REDIS</v>
      </c>
      <c r="BG82" s="113"/>
      <c r="BH82" s="68"/>
      <c r="BI82" s="136"/>
      <c r="BJ82" s="128"/>
      <c r="BK82" s="111"/>
      <c r="BL82" s="16"/>
      <c r="BM82" s="63"/>
      <c r="BN82" s="44"/>
      <c r="BO82" s="126"/>
      <c r="BR82" s="111"/>
      <c r="BS82" s="16"/>
      <c r="BT82" s="63"/>
      <c r="BU82" s="44"/>
      <c r="BV82" s="126"/>
    </row>
    <row r="83" spans="1:74" ht="15" hidden="1" x14ac:dyDescent="0.25">
      <c r="A83" s="216" t="s">
        <v>650</v>
      </c>
      <c r="B83" s="216" t="s">
        <v>351</v>
      </c>
      <c r="C83" s="216" t="s">
        <v>352</v>
      </c>
      <c r="D83" s="216">
        <v>-4.9099999999999998E-2</v>
      </c>
      <c r="E83" s="216">
        <v>-5.0500000000000002E-4</v>
      </c>
      <c r="F83" s="216">
        <v>5.5598999999999998</v>
      </c>
      <c r="G83" s="216">
        <v>5.79E-3</v>
      </c>
      <c r="H83" s="216">
        <v>-0.24010000000000001</v>
      </c>
      <c r="I83" s="216">
        <v>-2.463E-5</v>
      </c>
      <c r="K83" s="33" t="str">
        <f>+A83</f>
        <v>70</v>
      </c>
      <c r="L83" s="17" t="s">
        <v>374</v>
      </c>
      <c r="M83" s="34">
        <f t="shared" ref="M83:R83" si="96">D83+D84</f>
        <v>-8.2400000000000001E-2</v>
      </c>
      <c r="N83" s="34">
        <f t="shared" si="96"/>
        <v>-3.0049999999999999E-3</v>
      </c>
      <c r="O83" s="34">
        <f t="shared" si="96"/>
        <v>8.4209999999999994</v>
      </c>
      <c r="P83" s="34">
        <f t="shared" si="96"/>
        <v>1.3100000000000001E-2</v>
      </c>
      <c r="Q83" s="34">
        <f t="shared" si="96"/>
        <v>-0.37889</v>
      </c>
      <c r="R83" s="35">
        <f t="shared" si="96"/>
        <v>-3.54E-5</v>
      </c>
      <c r="S83" s="17"/>
      <c r="T83" s="29" t="str">
        <f>K83</f>
        <v>70</v>
      </c>
      <c r="U83" s="29" t="s">
        <v>374</v>
      </c>
      <c r="V83" s="23">
        <f t="shared" ref="V83:X87" si="97">O83</f>
        <v>8.4209999999999994</v>
      </c>
      <c r="W83" s="23">
        <f t="shared" si="97"/>
        <v>1.3100000000000001E-2</v>
      </c>
      <c r="X83" s="23">
        <f t="shared" si="97"/>
        <v>-0.37889</v>
      </c>
      <c r="Y83" s="29">
        <v>15</v>
      </c>
      <c r="Z83" s="31">
        <f>ABS(V83)/AC83/AD83</f>
        <v>6.5789062499999993</v>
      </c>
      <c r="AA83" s="23">
        <f>ABS(+W83/V83)</f>
        <v>1.5556347227170171E-3</v>
      </c>
      <c r="AB83" s="23">
        <f>ABS(X83/V83)</f>
        <v>4.4993468709179439E-2</v>
      </c>
      <c r="AC83" s="36">
        <v>0.8</v>
      </c>
      <c r="AD83" s="37">
        <v>1.6</v>
      </c>
      <c r="AE83" s="22">
        <f t="shared" ref="AE83:AF87" si="98">AC83-2*AA83</f>
        <v>0.79688873055456599</v>
      </c>
      <c r="AF83" s="22">
        <f t="shared" si="98"/>
        <v>1.5100130625816413</v>
      </c>
      <c r="AG83" s="22">
        <f>AF83*AE83</f>
        <v>1.2033123925614966</v>
      </c>
      <c r="AH83" s="38">
        <f>V83/AG83</f>
        <v>6.9981827263277649</v>
      </c>
      <c r="AJ83" s="48" t="str">
        <f>+K83</f>
        <v>70</v>
      </c>
      <c r="AK83" s="147" t="s">
        <v>0</v>
      </c>
      <c r="AL83" s="147" t="s">
        <v>1</v>
      </c>
      <c r="AM83" s="147" t="s">
        <v>438</v>
      </c>
      <c r="AN83" s="147" t="s">
        <v>503</v>
      </c>
      <c r="AO83" s="147" t="s">
        <v>504</v>
      </c>
      <c r="AP83" s="147" t="s">
        <v>323</v>
      </c>
      <c r="AQ83" s="48"/>
      <c r="AR83" s="48"/>
      <c r="AS83" s="48"/>
      <c r="AT83" s="147" t="s">
        <v>0</v>
      </c>
      <c r="AU83" s="147" t="s">
        <v>1</v>
      </c>
      <c r="AV83" s="147" t="s">
        <v>513</v>
      </c>
      <c r="AW83" s="159" t="s">
        <v>520</v>
      </c>
      <c r="AX83" s="141" t="s">
        <v>530</v>
      </c>
      <c r="AY83" s="157" t="s">
        <v>178</v>
      </c>
      <c r="AZ83" s="44">
        <v>12</v>
      </c>
      <c r="BA83" s="172" t="str">
        <f>IF(AW86&lt;=AZ83,"OK","REDIS")</f>
        <v>OK</v>
      </c>
      <c r="BB83" s="141" t="s">
        <v>535</v>
      </c>
      <c r="BC83" s="120" t="s">
        <v>178</v>
      </c>
      <c r="BD83" s="44">
        <v>4.3</v>
      </c>
      <c r="BE83" s="172" t="str">
        <f>IF(AW86&lt;=BD83,"OK","REDIS")</f>
        <v>OK</v>
      </c>
      <c r="BG83" s="113"/>
      <c r="BH83" s="68"/>
      <c r="BI83" s="136"/>
      <c r="BJ83" s="128"/>
      <c r="BM83" s="137"/>
      <c r="BN83" s="63"/>
      <c r="BO83" s="125"/>
      <c r="BT83" s="137"/>
      <c r="BU83" s="63"/>
      <c r="BV83" s="125"/>
    </row>
    <row r="84" spans="1:74" ht="15" hidden="1" x14ac:dyDescent="0.25">
      <c r="A84" s="216" t="s">
        <v>650</v>
      </c>
      <c r="B84" s="216" t="s">
        <v>353</v>
      </c>
      <c r="C84" s="216" t="s">
        <v>352</v>
      </c>
      <c r="D84" s="216">
        <v>-3.3300000000000003E-2</v>
      </c>
      <c r="E84" s="216">
        <v>-2.5000000000000001E-3</v>
      </c>
      <c r="F84" s="216">
        <v>2.8611</v>
      </c>
      <c r="G84" s="216">
        <v>7.3099999999999997E-3</v>
      </c>
      <c r="H84" s="216">
        <v>-0.13879</v>
      </c>
      <c r="I84" s="216">
        <v>-1.077E-5</v>
      </c>
      <c r="K84" s="33"/>
      <c r="L84" s="17" t="s">
        <v>375</v>
      </c>
      <c r="M84" s="34">
        <f t="shared" ref="M84:R84" si="99">D83+0.25*D84+D85</f>
        <v>-0.87422499999999992</v>
      </c>
      <c r="N84" s="34">
        <f t="shared" si="99"/>
        <v>2.0070000000000001E-2</v>
      </c>
      <c r="O84" s="34">
        <f t="shared" si="99"/>
        <v>5.8044750000000001</v>
      </c>
      <c r="P84" s="34">
        <f t="shared" si="99"/>
        <v>-3.33525E-2</v>
      </c>
      <c r="Q84" s="34">
        <f t="shared" si="99"/>
        <v>-2.3644075</v>
      </c>
      <c r="R84" s="35">
        <f t="shared" si="99"/>
        <v>-1.973225E-4</v>
      </c>
      <c r="S84" s="17"/>
      <c r="T84" s="29"/>
      <c r="U84" s="29" t="s">
        <v>375</v>
      </c>
      <c r="V84" s="23">
        <f t="shared" si="97"/>
        <v>5.8044750000000001</v>
      </c>
      <c r="W84" s="23">
        <f t="shared" si="97"/>
        <v>-3.33525E-2</v>
      </c>
      <c r="X84" s="23">
        <f t="shared" si="97"/>
        <v>-2.3644075</v>
      </c>
      <c r="Y84" s="29">
        <f>1.33*Y83</f>
        <v>19.950000000000003</v>
      </c>
      <c r="Z84" s="31">
        <f>ABS(V84)/AC84/AD84</f>
        <v>4.5347460937499999</v>
      </c>
      <c r="AA84" s="23">
        <f>ABS(+W84/V84)</f>
        <v>5.7459977000503919E-3</v>
      </c>
      <c r="AB84" s="23">
        <f>ABS(X84/V84)</f>
        <v>0.40734217995598221</v>
      </c>
      <c r="AC84" s="36">
        <f t="shared" ref="AC84:AD87" si="100">AC83</f>
        <v>0.8</v>
      </c>
      <c r="AD84" s="37">
        <f t="shared" si="100"/>
        <v>1.6</v>
      </c>
      <c r="AE84" s="22">
        <f t="shared" si="98"/>
        <v>0.78850800459989923</v>
      </c>
      <c r="AF84" s="22">
        <f t="shared" si="98"/>
        <v>0.78531564008803567</v>
      </c>
      <c r="AG84" s="22">
        <f>AF84*AE84</f>
        <v>0.61922766834690968</v>
      </c>
      <c r="AH84" s="38">
        <f>V84/AG84</f>
        <v>9.3737332756716576</v>
      </c>
      <c r="AJ84" s="147" t="s">
        <v>539</v>
      </c>
      <c r="AK84" s="148">
        <v>160</v>
      </c>
      <c r="AL84" s="148">
        <v>300</v>
      </c>
      <c r="AM84" s="148">
        <v>4</v>
      </c>
      <c r="AN84" s="149">
        <v>250</v>
      </c>
      <c r="AO84" s="149">
        <v>450</v>
      </c>
      <c r="AP84" s="149">
        <v>22</v>
      </c>
      <c r="AQ84" s="48"/>
      <c r="AR84" s="48"/>
      <c r="AS84" s="48"/>
      <c r="AT84" s="48">
        <v>3</v>
      </c>
      <c r="AU84" s="48">
        <v>3</v>
      </c>
      <c r="AV84" s="149">
        <f>+AT84*2+(AU84-2)*2</f>
        <v>8</v>
      </c>
      <c r="AW84" s="159">
        <v>1.2</v>
      </c>
      <c r="AX84" s="155" t="s">
        <v>538</v>
      </c>
      <c r="AY84" s="180">
        <f>+AV84</f>
        <v>8</v>
      </c>
      <c r="BA84" s="154"/>
      <c r="BB84" s="177" t="s">
        <v>537</v>
      </c>
      <c r="BC84" s="179">
        <v>1</v>
      </c>
      <c r="BD84" s="166" t="s">
        <v>526</v>
      </c>
      <c r="BE84" s="154"/>
      <c r="BG84" s="113"/>
      <c r="BH84" s="68"/>
      <c r="BI84" s="136"/>
      <c r="BJ84" s="138"/>
      <c r="BM84" s="125"/>
      <c r="BN84" s="133"/>
      <c r="BO84" s="44"/>
      <c r="BT84" s="125"/>
      <c r="BU84" s="133"/>
      <c r="BV84" s="44"/>
    </row>
    <row r="85" spans="1:74" ht="15" hidden="1" x14ac:dyDescent="0.25">
      <c r="A85" s="216" t="s">
        <v>650</v>
      </c>
      <c r="B85" s="216" t="s">
        <v>354</v>
      </c>
      <c r="C85" s="216" t="s">
        <v>352</v>
      </c>
      <c r="D85" s="216">
        <v>-0.81679999999999997</v>
      </c>
      <c r="E85" s="216">
        <v>2.12E-2</v>
      </c>
      <c r="F85" s="216">
        <v>-0.47070000000000001</v>
      </c>
      <c r="G85" s="216">
        <v>-4.0969999999999999E-2</v>
      </c>
      <c r="H85" s="216">
        <v>-2.08961</v>
      </c>
      <c r="I85" s="216">
        <v>-1.7000000000000001E-4</v>
      </c>
      <c r="K85" s="33"/>
      <c r="L85" s="17" t="s">
        <v>376</v>
      </c>
      <c r="M85" s="34">
        <f t="shared" ref="M85:R85" si="101">D83+0.25*D84-D85</f>
        <v>0.75937500000000002</v>
      </c>
      <c r="N85" s="34">
        <f t="shared" si="101"/>
        <v>-2.2329999999999999E-2</v>
      </c>
      <c r="O85" s="34">
        <f t="shared" si="101"/>
        <v>6.7458749999999998</v>
      </c>
      <c r="P85" s="34">
        <f t="shared" si="101"/>
        <v>4.8587499999999999E-2</v>
      </c>
      <c r="Q85" s="34">
        <f t="shared" si="101"/>
        <v>1.8148124999999999</v>
      </c>
      <c r="R85" s="35">
        <f t="shared" si="101"/>
        <v>1.4267750000000002E-4</v>
      </c>
      <c r="S85" s="17"/>
      <c r="T85" s="29"/>
      <c r="U85" s="29" t="s">
        <v>376</v>
      </c>
      <c r="V85" s="23">
        <f t="shared" si="97"/>
        <v>6.7458749999999998</v>
      </c>
      <c r="W85" s="23">
        <f t="shared" si="97"/>
        <v>4.8587499999999999E-2</v>
      </c>
      <c r="X85" s="23">
        <f t="shared" si="97"/>
        <v>1.8148124999999999</v>
      </c>
      <c r="Y85" s="29"/>
      <c r="Z85" s="31">
        <f>ABS(V85)/AC85/AD85</f>
        <v>5.2702148437499989</v>
      </c>
      <c r="AA85" s="23">
        <f>ABS(+W85/V85)</f>
        <v>7.2025497063019995E-3</v>
      </c>
      <c r="AB85" s="23">
        <f>ABS(X85/V85)</f>
        <v>0.26902551559286231</v>
      </c>
      <c r="AC85" s="36">
        <f t="shared" si="100"/>
        <v>0.8</v>
      </c>
      <c r="AD85" s="37">
        <f t="shared" si="100"/>
        <v>1.6</v>
      </c>
      <c r="AE85" s="22">
        <f t="shared" si="98"/>
        <v>0.78559490058739601</v>
      </c>
      <c r="AF85" s="22">
        <f t="shared" si="98"/>
        <v>1.0619489688142756</v>
      </c>
      <c r="AG85" s="22">
        <f>AF85*AE85</f>
        <v>0.83426169458453858</v>
      </c>
      <c r="AH85" s="38">
        <f>V85/AG85</f>
        <v>8.0860418784533046</v>
      </c>
      <c r="AJ85" s="146" t="s">
        <v>514</v>
      </c>
      <c r="AK85" s="145"/>
      <c r="AL85" s="145"/>
      <c r="AM85" s="145"/>
      <c r="AN85" s="139"/>
      <c r="AO85" s="146" t="s">
        <v>507</v>
      </c>
      <c r="AP85" s="145" t="s">
        <v>626</v>
      </c>
      <c r="AQ85" s="145">
        <f>0.6*AR82</f>
        <v>2100</v>
      </c>
      <c r="AR85" s="212" t="s">
        <v>627</v>
      </c>
      <c r="AS85" s="211">
        <f>+AR86+AR87</f>
        <v>2145.8987603305786</v>
      </c>
      <c r="AT85" s="48" t="s">
        <v>515</v>
      </c>
      <c r="AU85" s="48"/>
      <c r="AV85" s="48" t="s">
        <v>518</v>
      </c>
      <c r="AW85" s="160"/>
      <c r="AX85" s="155" t="s">
        <v>524</v>
      </c>
      <c r="AY85" s="182">
        <f>IF(BC84=(1+1/4),+(1+3/8),IF(BC84=1,(1+1/8),IF(BC84=(7/8),1,IF(BC84=(3/4),+(7/8),IF(BC84=(5/8),+(3/4),IF(BC84=(1/2),(9/16),IF(BC84=(3/8),+(7/16),"no valido")))))))</f>
        <v>1.125</v>
      </c>
      <c r="AZ85" s="165" t="s">
        <v>526</v>
      </c>
      <c r="BA85" s="172" t="s">
        <v>531</v>
      </c>
      <c r="BB85" s="178" t="s">
        <v>529</v>
      </c>
      <c r="BC85" s="158">
        <f>+AY86+3</f>
        <v>12</v>
      </c>
      <c r="BD85" s="166" t="s">
        <v>526</v>
      </c>
      <c r="BE85" s="172" t="s">
        <v>531</v>
      </c>
      <c r="BG85" s="113"/>
      <c r="BH85" s="68"/>
      <c r="BI85" s="114"/>
      <c r="BJ85" s="45"/>
      <c r="BK85" s="63"/>
      <c r="BL85" s="63"/>
      <c r="BM85" s="63"/>
      <c r="BN85" s="70"/>
      <c r="BO85" s="70"/>
      <c r="BP85" s="44"/>
      <c r="BQ85" s="63"/>
      <c r="BR85" s="44"/>
      <c r="BS85" s="70"/>
      <c r="BT85" s="70"/>
      <c r="BU85" s="207"/>
      <c r="BV85" s="63"/>
    </row>
    <row r="86" spans="1:74" ht="15" hidden="1" x14ac:dyDescent="0.25">
      <c r="A86" s="216" t="s">
        <v>650</v>
      </c>
      <c r="B86" s="216" t="s">
        <v>355</v>
      </c>
      <c r="C86" s="216" t="s">
        <v>352</v>
      </c>
      <c r="D86" s="216">
        <v>-6.7900000000000002E-2</v>
      </c>
      <c r="E86" s="216">
        <v>-0.39689999999999998</v>
      </c>
      <c r="F86" s="216">
        <v>0.23680000000000001</v>
      </c>
      <c r="G86" s="216">
        <v>0.78944999999999999</v>
      </c>
      <c r="H86" s="216">
        <v>-0.28159000000000001</v>
      </c>
      <c r="I86" s="216">
        <v>4.0000000000000002E-4</v>
      </c>
      <c r="K86" s="33"/>
      <c r="L86" s="17" t="s">
        <v>377</v>
      </c>
      <c r="M86" s="34">
        <f t="shared" ref="M86:R86" si="102">D83+0.25*D84+D86</f>
        <v>-0.12532499999999999</v>
      </c>
      <c r="N86" s="34">
        <f t="shared" si="102"/>
        <v>-0.39802999999999999</v>
      </c>
      <c r="O86" s="34">
        <f t="shared" si="102"/>
        <v>6.5119749999999996</v>
      </c>
      <c r="P86" s="34">
        <f t="shared" si="102"/>
        <v>0.79706750000000004</v>
      </c>
      <c r="Q86" s="34">
        <f t="shared" si="102"/>
        <v>-0.55638750000000003</v>
      </c>
      <c r="R86" s="35">
        <f t="shared" si="102"/>
        <v>3.7267750000000003E-4</v>
      </c>
      <c r="S86" s="17"/>
      <c r="T86" s="29"/>
      <c r="U86" s="29" t="s">
        <v>377</v>
      </c>
      <c r="V86" s="23">
        <f t="shared" si="97"/>
        <v>6.5119749999999996</v>
      </c>
      <c r="W86" s="23">
        <f t="shared" si="97"/>
        <v>0.79706750000000004</v>
      </c>
      <c r="X86" s="23">
        <f t="shared" si="97"/>
        <v>-0.55638750000000003</v>
      </c>
      <c r="Y86" s="29"/>
      <c r="Z86" s="31">
        <f>ABS(V86)/AC86/AD86</f>
        <v>5.087480468749999</v>
      </c>
      <c r="AA86" s="23">
        <f>ABS(+W86/V86)</f>
        <v>0.12240027027130787</v>
      </c>
      <c r="AB86" s="23">
        <f>ABS(X86/V86)</f>
        <v>8.5440668921486967E-2</v>
      </c>
      <c r="AC86" s="36">
        <f t="shared" si="100"/>
        <v>0.8</v>
      </c>
      <c r="AD86" s="37">
        <f t="shared" si="100"/>
        <v>1.6</v>
      </c>
      <c r="AE86" s="22">
        <f t="shared" si="98"/>
        <v>0.55519945945738436</v>
      </c>
      <c r="AF86" s="22">
        <f t="shared" si="98"/>
        <v>1.4291186621570262</v>
      </c>
      <c r="AG86" s="22">
        <f>AF86*AE86</f>
        <v>0.79344590873004128</v>
      </c>
      <c r="AH86" s="38">
        <f>V86/AG86</f>
        <v>8.2072072315840838</v>
      </c>
      <c r="AJ86" s="147" t="s">
        <v>500</v>
      </c>
      <c r="AK86" s="24">
        <f>(MAX(V83:V87)+ABS(MAX(W83:W87))/(AL84/1000))*1000</f>
        <v>11077.891666666666</v>
      </c>
      <c r="AL86" s="150" t="s">
        <v>502</v>
      </c>
      <c r="AM86" s="24">
        <f>+ABS(MAX(AK86:AK87))/(+AK84*2/10+AL84*2/10)/(AP84/10)</f>
        <v>97.646136981225297</v>
      </c>
      <c r="AN86" s="151" t="str">
        <f>IF(AM86&lt;=AM87,"OK","REDIS")</f>
        <v>OK</v>
      </c>
      <c r="AO86" s="150" t="s">
        <v>508</v>
      </c>
      <c r="AP86" s="24">
        <f>((AO84/10/2-AL84/10/2)/2)*((MAX(ABS(MAX(W83:W87)),ABS(MIN(W83:W87)))*100000))/(AL84/10)</f>
        <v>9963.34375</v>
      </c>
      <c r="AQ86" s="150" t="s">
        <v>510</v>
      </c>
      <c r="AR86" s="24">
        <f>+AP86/(AK84*AP84*AP84/6/10/10/10)</f>
        <v>771.95328641528931</v>
      </c>
      <c r="AS86" s="152" t="str">
        <f>IF(AR86&lt;=0.6*AR82*1.1,"OK","REDIS")</f>
        <v>OK</v>
      </c>
      <c r="AT86" s="24" t="s">
        <v>516</v>
      </c>
      <c r="AU86" s="174">
        <f>+AW84*(AP86/100000)/((AO84-AL84)/1000/4)/(AT84-1)</f>
        <v>1.5941350000000001</v>
      </c>
      <c r="AV86" s="24" t="s">
        <v>519</v>
      </c>
      <c r="AW86" s="175">
        <f>+AW84*(ABS(MAX(M83:M87))+ABS(MIN(M83:M87)+ABS(MAX(N83:N87))+ABS(MIN(N83:N87))))/AV84</f>
        <v>0.12597</v>
      </c>
      <c r="AX86" s="155" t="s">
        <v>525</v>
      </c>
      <c r="AY86" s="182">
        <f>IF(BC84=(1+1/4),+(11-1/4),IF(BC84=1,(9),IF(BC84=(7/8),(7-7/8),IF(BC84=(3/4),+(6-3/4),IF(BC84=(5/8),+(5-5/8),IF(BC84=(1/2),(4-1/2),IF(BC84=(3-3/8),+(7/16),"no valido")))))))</f>
        <v>9</v>
      </c>
      <c r="AZ86" s="166" t="s">
        <v>526</v>
      </c>
      <c r="BA86" s="168" t="s">
        <v>533</v>
      </c>
      <c r="BB86" s="153" t="s">
        <v>521</v>
      </c>
      <c r="BC86" s="44">
        <f>+AV84</f>
        <v>8</v>
      </c>
      <c r="BD86" s="166" t="s">
        <v>527</v>
      </c>
      <c r="BE86" s="162" t="s">
        <v>534</v>
      </c>
      <c r="BG86" s="109"/>
      <c r="BH86" s="142"/>
      <c r="BJ86" s="109"/>
      <c r="BK86" s="142"/>
      <c r="BM86" s="110"/>
      <c r="BN86" s="110"/>
      <c r="BO86" s="110"/>
      <c r="BP86" s="110"/>
    </row>
    <row r="87" spans="1:74" ht="15" hidden="1" x14ac:dyDescent="0.25">
      <c r="A87" s="216" t="s">
        <v>650</v>
      </c>
      <c r="B87" s="216" t="s">
        <v>624</v>
      </c>
      <c r="C87" s="216" t="s">
        <v>389</v>
      </c>
      <c r="D87" s="216">
        <v>-6.8699999999999997E-2</v>
      </c>
      <c r="E87" s="216">
        <v>-7.0699999999999995E-4</v>
      </c>
      <c r="F87" s="216">
        <v>7.7839</v>
      </c>
      <c r="G87" s="216">
        <v>8.1099999999999992E-3</v>
      </c>
      <c r="H87" s="216">
        <v>-0.33613999999999999</v>
      </c>
      <c r="I87" s="216">
        <v>-3.4480000000000002E-5</v>
      </c>
      <c r="K87" s="39"/>
      <c r="L87" s="40" t="s">
        <v>378</v>
      </c>
      <c r="M87" s="41">
        <f t="shared" ref="M87:R87" si="103">D83+0.25*D84-D86</f>
        <v>1.0475000000000005E-2</v>
      </c>
      <c r="N87" s="41">
        <f t="shared" si="103"/>
        <v>0.39576999999999996</v>
      </c>
      <c r="O87" s="41">
        <f t="shared" si="103"/>
        <v>6.0383750000000003</v>
      </c>
      <c r="P87" s="41">
        <f t="shared" si="103"/>
        <v>-0.78183249999999993</v>
      </c>
      <c r="Q87" s="41">
        <f t="shared" si="103"/>
        <v>6.7924999999999791E-3</v>
      </c>
      <c r="R87" s="42">
        <f t="shared" si="103"/>
        <v>-4.2732250000000001E-4</v>
      </c>
      <c r="S87" s="17"/>
      <c r="T87" s="29"/>
      <c r="U87" s="29" t="s">
        <v>378</v>
      </c>
      <c r="V87" s="23">
        <f t="shared" si="97"/>
        <v>6.0383750000000003</v>
      </c>
      <c r="W87" s="23">
        <f t="shared" si="97"/>
        <v>-0.78183249999999993</v>
      </c>
      <c r="X87" s="23">
        <f t="shared" si="97"/>
        <v>6.7924999999999791E-3</v>
      </c>
      <c r="Y87" s="29"/>
      <c r="Z87" s="31">
        <f>ABS(V87)/AC87/AD87</f>
        <v>4.7174804687499998</v>
      </c>
      <c r="AA87" s="23">
        <f>ABS(+W87/V87)</f>
        <v>0.12947730142629432</v>
      </c>
      <c r="AB87" s="23">
        <f>ABS(X87/V87)</f>
        <v>1.1248887324818314E-3</v>
      </c>
      <c r="AC87" s="36">
        <f t="shared" si="100"/>
        <v>0.8</v>
      </c>
      <c r="AD87" s="37">
        <f t="shared" si="100"/>
        <v>1.6</v>
      </c>
      <c r="AE87" s="22">
        <f t="shared" si="98"/>
        <v>0.5410453971474114</v>
      </c>
      <c r="AF87" s="22">
        <f t="shared" si="98"/>
        <v>1.5977502225350364</v>
      </c>
      <c r="AG87" s="22">
        <f>AF87*AE87</f>
        <v>0.86445540369383367</v>
      </c>
      <c r="AH87" s="38">
        <f>V87/AG87</f>
        <v>6.9851781528554442</v>
      </c>
      <c r="AJ87" s="147" t="s">
        <v>501</v>
      </c>
      <c r="AK87" s="24">
        <f>(MAX(V83:V87)+ABS(MAX(X83:X87))/(AK84/1000))*1000</f>
        <v>19763.578125</v>
      </c>
      <c r="AL87" s="150" t="s">
        <v>505</v>
      </c>
      <c r="AM87" s="24">
        <f>+AR82*0.4/3</f>
        <v>466.66666666666669</v>
      </c>
      <c r="AN87" s="24"/>
      <c r="AO87" s="150" t="s">
        <v>509</v>
      </c>
      <c r="AP87" s="24">
        <f>((AN84/10/2-AK84/10/2)/2)*(MAX(+ABS(MAX(X83:X87)),ABS(MIN(X83:X87)))*100000/(AK84/10))</f>
        <v>33249.48046875</v>
      </c>
      <c r="AQ87" s="150" t="s">
        <v>511</v>
      </c>
      <c r="AR87" s="24">
        <f>+AP87/(AL84*AP84*AP84/6/1000)</f>
        <v>1373.9454739152893</v>
      </c>
      <c r="AS87" s="152" t="str">
        <f>IF(AR87&lt;=0.6*AR82*1.1,"OK","REDIS")</f>
        <v>OK</v>
      </c>
      <c r="AT87" s="24" t="s">
        <v>517</v>
      </c>
      <c r="AU87" s="174">
        <f>+AW84*(AP87/100000)/((AN84-AK84)/1000/4)/(AU84-1)</f>
        <v>8.8665281249999985</v>
      </c>
      <c r="AV87" s="24"/>
      <c r="AW87" s="161"/>
      <c r="AX87" s="156" t="s">
        <v>522</v>
      </c>
      <c r="AY87" s="181">
        <f>IF(AY85=(1+3/8),+AV84/3,IF(AY85=(1+1/8),+AV84/6,IF(AY85=1,+AV84/8,IF(AY85=(7/8),+AV84/11,IF(AY85=0.75,+AV84/18,IF(AY85=(9/16),+AV84/45,IF(AY85=(7/16),+AV84/84,"NO HAY DATO")))))))</f>
        <v>1.3333333333333333</v>
      </c>
      <c r="AZ87" s="167" t="s">
        <v>527</v>
      </c>
      <c r="BA87" s="176"/>
      <c r="BB87" s="164" t="s">
        <v>523</v>
      </c>
      <c r="BC87" s="129">
        <f>+BC86*BC85*2.54/100</f>
        <v>2.4384000000000001</v>
      </c>
      <c r="BD87" s="173" t="s">
        <v>528</v>
      </c>
      <c r="BE87" s="130"/>
      <c r="BG87" s="111"/>
      <c r="BH87" s="9"/>
      <c r="BI87" s="125"/>
      <c r="BJ87" s="125"/>
      <c r="BK87" s="44"/>
      <c r="BL87" s="44"/>
      <c r="BM87" s="126"/>
      <c r="BN87" s="44"/>
      <c r="BO87" s="44"/>
      <c r="BP87" s="44"/>
      <c r="BQ87" s="126"/>
      <c r="BR87" s="44"/>
      <c r="BS87" s="44"/>
      <c r="BT87" s="44"/>
      <c r="BU87" s="44"/>
      <c r="BV87" s="44"/>
    </row>
    <row r="88" spans="1:74" ht="15" hidden="1" x14ac:dyDescent="0.25">
      <c r="A88" s="216" t="s">
        <v>650</v>
      </c>
      <c r="B88" s="216" t="s">
        <v>625</v>
      </c>
      <c r="C88" s="216" t="s">
        <v>389</v>
      </c>
      <c r="D88" s="216">
        <v>2.86E-2</v>
      </c>
      <c r="E88" s="216">
        <v>0.39650000000000002</v>
      </c>
      <c r="F88" s="216">
        <v>4.2111999999999998</v>
      </c>
      <c r="G88" s="216">
        <v>-0.78481999999999996</v>
      </c>
      <c r="H88" s="216">
        <v>8.9510000000000006E-2</v>
      </c>
      <c r="I88" s="216">
        <v>-4.2000000000000002E-4</v>
      </c>
      <c r="K88" s="25" t="s">
        <v>357</v>
      </c>
      <c r="L88" s="26" t="s">
        <v>358</v>
      </c>
      <c r="M88" s="27" t="s">
        <v>359</v>
      </c>
      <c r="N88" s="27" t="s">
        <v>360</v>
      </c>
      <c r="O88" s="27" t="s">
        <v>361</v>
      </c>
      <c r="P88" s="27" t="s">
        <v>362</v>
      </c>
      <c r="Q88" s="27" t="s">
        <v>363</v>
      </c>
      <c r="R88" s="28" t="s">
        <v>364</v>
      </c>
      <c r="S88" s="17"/>
      <c r="T88" s="29" t="s">
        <v>365</v>
      </c>
      <c r="U88" s="29" t="s">
        <v>358</v>
      </c>
      <c r="V88" s="30" t="s">
        <v>361</v>
      </c>
      <c r="W88" s="30" t="s">
        <v>362</v>
      </c>
      <c r="X88" s="30" t="s">
        <v>363</v>
      </c>
      <c r="Y88" s="29" t="s">
        <v>366</v>
      </c>
      <c r="Z88" s="31" t="s">
        <v>367</v>
      </c>
      <c r="AA88" s="23" t="s">
        <v>368</v>
      </c>
      <c r="AB88" s="23" t="s">
        <v>369</v>
      </c>
      <c r="AC88" s="22" t="s">
        <v>0</v>
      </c>
      <c r="AD88" s="22" t="s">
        <v>1</v>
      </c>
      <c r="AE88" s="22" t="s">
        <v>370</v>
      </c>
      <c r="AF88" s="22" t="s">
        <v>371</v>
      </c>
      <c r="AG88" s="22" t="s">
        <v>372</v>
      </c>
      <c r="AH88" s="32" t="s">
        <v>373</v>
      </c>
      <c r="AJ88" s="143" t="s">
        <v>365</v>
      </c>
      <c r="AK88" s="144" t="s">
        <v>498</v>
      </c>
      <c r="AL88" s="145"/>
      <c r="AM88" s="139"/>
      <c r="AN88" s="146" t="s">
        <v>499</v>
      </c>
      <c r="AO88" s="145"/>
      <c r="AP88" s="139"/>
      <c r="AQ88" s="147" t="s">
        <v>506</v>
      </c>
      <c r="AR88" s="48">
        <v>3500</v>
      </c>
      <c r="AS88" s="147" t="s">
        <v>405</v>
      </c>
      <c r="AT88" s="146" t="s">
        <v>512</v>
      </c>
      <c r="AU88" s="145"/>
      <c r="AV88" s="145"/>
      <c r="AW88" s="145"/>
      <c r="AX88" s="163" t="s">
        <v>532</v>
      </c>
      <c r="AY88" s="157" t="s">
        <v>515</v>
      </c>
      <c r="AZ88" s="169">
        <v>6.9</v>
      </c>
      <c r="BA88" s="171" t="str">
        <f>IF(MAX(AU92:AU93)&lt;=AZ88,"OK","REDIS")</f>
        <v>OK</v>
      </c>
      <c r="BB88" s="163" t="s">
        <v>536</v>
      </c>
      <c r="BC88" s="170" t="s">
        <v>515</v>
      </c>
      <c r="BD88" s="169">
        <v>8.36</v>
      </c>
      <c r="BE88" s="171" t="str">
        <f>IF(MAX(AU92:AU93)&lt;=BD88,"OK","REDIS")</f>
        <v>OK</v>
      </c>
      <c r="BG88" s="9"/>
      <c r="BH88" s="16"/>
      <c r="BI88" s="208"/>
      <c r="BJ88" s="124"/>
      <c r="BK88" s="63"/>
      <c r="BL88" s="63"/>
      <c r="BM88" s="125"/>
      <c r="BN88" s="133"/>
      <c r="BO88" s="44"/>
      <c r="BP88" s="64"/>
      <c r="BQ88" s="125"/>
      <c r="BS88" s="63"/>
      <c r="BT88" s="63"/>
      <c r="BU88" s="63"/>
      <c r="BV88" s="63"/>
    </row>
    <row r="89" spans="1:74" ht="15" hidden="1" x14ac:dyDescent="0.25">
      <c r="A89" s="216" t="s">
        <v>651</v>
      </c>
      <c r="B89" s="216" t="s">
        <v>351</v>
      </c>
      <c r="C89" s="216" t="s">
        <v>352</v>
      </c>
      <c r="D89" s="216">
        <v>3.8E-3</v>
      </c>
      <c r="E89" s="216">
        <v>5.0900000000000001E-2</v>
      </c>
      <c r="F89" s="216">
        <v>6.8000999999999996</v>
      </c>
      <c r="G89" s="216">
        <v>-4.7719999999999999E-2</v>
      </c>
      <c r="H89" s="216">
        <v>0.27979999999999999</v>
      </c>
      <c r="I89" s="216">
        <v>-5.7739999999999999E-5</v>
      </c>
      <c r="K89" s="33" t="str">
        <f>+A89</f>
        <v>71</v>
      </c>
      <c r="L89" s="17" t="s">
        <v>374</v>
      </c>
      <c r="M89" s="34">
        <f t="shared" ref="M89:R89" si="104">D89+D90</f>
        <v>-3.2000000000000002E-3</v>
      </c>
      <c r="N89" s="34">
        <f t="shared" si="104"/>
        <v>8.0600000000000005E-2</v>
      </c>
      <c r="O89" s="34">
        <f t="shared" si="104"/>
        <v>10.5648</v>
      </c>
      <c r="P89" s="34">
        <f t="shared" si="104"/>
        <v>-7.4319999999999997E-2</v>
      </c>
      <c r="Q89" s="34">
        <f t="shared" si="104"/>
        <v>0.43423999999999996</v>
      </c>
      <c r="R89" s="35">
        <f t="shared" si="104"/>
        <v>-9.4320000000000005E-5</v>
      </c>
      <c r="S89" s="17"/>
      <c r="T89" s="29" t="str">
        <f>K89</f>
        <v>71</v>
      </c>
      <c r="U89" s="29" t="s">
        <v>374</v>
      </c>
      <c r="V89" s="23">
        <f t="shared" ref="V89:X93" si="105">O89</f>
        <v>10.5648</v>
      </c>
      <c r="W89" s="23">
        <f t="shared" si="105"/>
        <v>-7.4319999999999997E-2</v>
      </c>
      <c r="X89" s="23">
        <f t="shared" si="105"/>
        <v>0.43423999999999996</v>
      </c>
      <c r="Y89" s="29">
        <v>15</v>
      </c>
      <c r="Z89" s="31">
        <f>ABS(V89)/AC89/AD89</f>
        <v>6.2885714285714283</v>
      </c>
      <c r="AA89" s="23">
        <f>ABS(+W89/V89)</f>
        <v>7.0346812055126452E-3</v>
      </c>
      <c r="AB89" s="23">
        <f>ABS(X89/V89)</f>
        <v>4.1102529153415113E-2</v>
      </c>
      <c r="AC89" s="36">
        <v>0.8</v>
      </c>
      <c r="AD89" s="37">
        <v>2.1</v>
      </c>
      <c r="AE89" s="22">
        <f t="shared" ref="AE89:AF93" si="106">AC89-2*AA89</f>
        <v>0.78593063758897475</v>
      </c>
      <c r="AF89" s="22">
        <f t="shared" si="106"/>
        <v>2.01779494169317</v>
      </c>
      <c r="AG89" s="22">
        <f>AF89*AE89</f>
        <v>1.5858468650487212</v>
      </c>
      <c r="AH89" s="38">
        <f>V89/AG89</f>
        <v>6.6619294919597563</v>
      </c>
      <c r="AJ89" s="48" t="str">
        <f>+K89</f>
        <v>71</v>
      </c>
      <c r="AK89" s="147" t="s">
        <v>0</v>
      </c>
      <c r="AL89" s="147" t="s">
        <v>1</v>
      </c>
      <c r="AM89" s="147" t="s">
        <v>438</v>
      </c>
      <c r="AN89" s="147" t="s">
        <v>503</v>
      </c>
      <c r="AO89" s="147" t="s">
        <v>504</v>
      </c>
      <c r="AP89" s="147" t="s">
        <v>323</v>
      </c>
      <c r="AQ89" s="48"/>
      <c r="AR89" s="48"/>
      <c r="AS89" s="48"/>
      <c r="AT89" s="147" t="s">
        <v>0</v>
      </c>
      <c r="AU89" s="147" t="s">
        <v>1</v>
      </c>
      <c r="AV89" s="147" t="s">
        <v>513</v>
      </c>
      <c r="AW89" s="159" t="s">
        <v>520</v>
      </c>
      <c r="AX89" s="141" t="s">
        <v>530</v>
      </c>
      <c r="AY89" s="157" t="s">
        <v>178</v>
      </c>
      <c r="AZ89" s="44">
        <v>12</v>
      </c>
      <c r="BA89" s="172" t="str">
        <f>IF(AW92&lt;=AZ89,"OK","REDIS")</f>
        <v>OK</v>
      </c>
      <c r="BB89" s="141" t="s">
        <v>535</v>
      </c>
      <c r="BC89" s="120" t="s">
        <v>178</v>
      </c>
      <c r="BD89" s="44">
        <v>4.3</v>
      </c>
      <c r="BE89" s="172" t="str">
        <f>IF(AW92&lt;=BD89,"OK","REDIS")</f>
        <v>OK</v>
      </c>
      <c r="BG89" s="113"/>
      <c r="BH89" s="68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126"/>
      <c r="BV89" s="63"/>
    </row>
    <row r="90" spans="1:74" ht="15" hidden="1" x14ac:dyDescent="0.25">
      <c r="A90" s="216" t="s">
        <v>651</v>
      </c>
      <c r="B90" s="216" t="s">
        <v>353</v>
      </c>
      <c r="C90" s="216" t="s">
        <v>352</v>
      </c>
      <c r="D90" s="216">
        <v>-7.0000000000000001E-3</v>
      </c>
      <c r="E90" s="216">
        <v>2.9700000000000001E-2</v>
      </c>
      <c r="F90" s="216">
        <v>3.7646999999999999</v>
      </c>
      <c r="G90" s="216">
        <v>-2.6599999999999999E-2</v>
      </c>
      <c r="H90" s="216">
        <v>0.15443999999999999</v>
      </c>
      <c r="I90" s="216">
        <v>-3.6579999999999999E-5</v>
      </c>
      <c r="K90" s="33"/>
      <c r="L90" s="17" t="s">
        <v>375</v>
      </c>
      <c r="M90" s="34">
        <f t="shared" ref="M90:R90" si="107">D89+0.25*D90+D91</f>
        <v>-1.15845</v>
      </c>
      <c r="N90" s="34">
        <f t="shared" si="107"/>
        <v>7.8625E-2</v>
      </c>
      <c r="O90" s="34">
        <f t="shared" si="107"/>
        <v>7.3449749999999998</v>
      </c>
      <c r="P90" s="34">
        <f t="shared" si="107"/>
        <v>-8.9969999999999994E-2</v>
      </c>
      <c r="Q90" s="34">
        <f t="shared" si="107"/>
        <v>-2.1171899999999999</v>
      </c>
      <c r="R90" s="35">
        <f t="shared" si="107"/>
        <v>-1.2661500000000001E-4</v>
      </c>
      <c r="S90" s="17"/>
      <c r="T90" s="29"/>
      <c r="U90" s="29" t="s">
        <v>375</v>
      </c>
      <c r="V90" s="23">
        <f t="shared" si="105"/>
        <v>7.3449749999999998</v>
      </c>
      <c r="W90" s="23">
        <f t="shared" si="105"/>
        <v>-8.9969999999999994E-2</v>
      </c>
      <c r="X90" s="23">
        <f t="shared" si="105"/>
        <v>-2.1171899999999999</v>
      </c>
      <c r="Y90" s="29">
        <f>1.33*Y89</f>
        <v>19.950000000000003</v>
      </c>
      <c r="Z90" s="31">
        <f>ABS(V90)/AC90/AD90</f>
        <v>4.3720089285714279</v>
      </c>
      <c r="AA90" s="23">
        <f>ABS(+W90/V90)</f>
        <v>1.2249190773283776E-2</v>
      </c>
      <c r="AB90" s="23">
        <f>ABS(X90/V90)</f>
        <v>0.288250130191049</v>
      </c>
      <c r="AC90" s="36">
        <f t="shared" ref="AC90:AD93" si="108">AC89</f>
        <v>0.8</v>
      </c>
      <c r="AD90" s="37">
        <f t="shared" si="108"/>
        <v>2.1</v>
      </c>
      <c r="AE90" s="22">
        <f t="shared" si="106"/>
        <v>0.77550161845343246</v>
      </c>
      <c r="AF90" s="22">
        <f t="shared" si="106"/>
        <v>1.5234997396179022</v>
      </c>
      <c r="AG90" s="22">
        <f>AF90*AE90</f>
        <v>1.1814765137870662</v>
      </c>
      <c r="AH90" s="38">
        <f>V90/AG90</f>
        <v>6.2167761392536338</v>
      </c>
      <c r="AJ90" s="147" t="s">
        <v>539</v>
      </c>
      <c r="AK90" s="148">
        <v>300</v>
      </c>
      <c r="AL90" s="148">
        <v>160</v>
      </c>
      <c r="AM90" s="148">
        <v>4</v>
      </c>
      <c r="AN90" s="149">
        <v>450</v>
      </c>
      <c r="AO90" s="149">
        <v>250</v>
      </c>
      <c r="AP90" s="149">
        <v>25</v>
      </c>
      <c r="AQ90" s="48"/>
      <c r="AR90" s="48"/>
      <c r="AS90" s="48"/>
      <c r="AT90" s="48">
        <v>3</v>
      </c>
      <c r="AU90" s="48">
        <v>3</v>
      </c>
      <c r="AV90" s="149">
        <f>+AT90*2+(AU90-2)*2</f>
        <v>8</v>
      </c>
      <c r="AW90" s="159">
        <v>1.2</v>
      </c>
      <c r="AX90" s="155" t="s">
        <v>538</v>
      </c>
      <c r="AY90" s="180">
        <f>+AV90</f>
        <v>8</v>
      </c>
      <c r="BA90" s="154"/>
      <c r="BB90" s="177" t="s">
        <v>537</v>
      </c>
      <c r="BC90" s="179">
        <v>1</v>
      </c>
      <c r="BD90" s="166" t="s">
        <v>526</v>
      </c>
      <c r="BE90" s="154"/>
      <c r="BG90" s="113"/>
      <c r="BH90" s="68"/>
      <c r="BI90" s="114"/>
      <c r="BJ90" s="45"/>
      <c r="BK90" s="63"/>
      <c r="BL90" s="63"/>
      <c r="BM90" s="63"/>
      <c r="BN90" s="70"/>
      <c r="BO90" s="70"/>
      <c r="BP90" s="44"/>
      <c r="BQ90" s="63"/>
      <c r="BR90" s="44"/>
      <c r="BS90" s="70"/>
      <c r="BT90" s="70"/>
      <c r="BU90" s="207"/>
      <c r="BV90" s="63"/>
    </row>
    <row r="91" spans="1:74" ht="15" hidden="1" x14ac:dyDescent="0.25">
      <c r="A91" s="216" t="s">
        <v>651</v>
      </c>
      <c r="B91" s="216" t="s">
        <v>354</v>
      </c>
      <c r="C91" s="216" t="s">
        <v>352</v>
      </c>
      <c r="D91" s="216">
        <v>-1.1605000000000001</v>
      </c>
      <c r="E91" s="216">
        <v>2.0299999999999999E-2</v>
      </c>
      <c r="F91" s="216">
        <v>-0.39629999999999999</v>
      </c>
      <c r="G91" s="216">
        <v>-3.56E-2</v>
      </c>
      <c r="H91" s="216">
        <v>-2.4356</v>
      </c>
      <c r="I91" s="216">
        <v>-5.9729999999999999E-5</v>
      </c>
      <c r="K91" s="33"/>
      <c r="L91" s="17" t="s">
        <v>376</v>
      </c>
      <c r="M91" s="34">
        <f t="shared" ref="M91:R91" si="109">D89+0.25*D90-D91</f>
        <v>1.1625500000000002</v>
      </c>
      <c r="N91" s="34">
        <f t="shared" si="109"/>
        <v>3.8025000000000003E-2</v>
      </c>
      <c r="O91" s="34">
        <f t="shared" si="109"/>
        <v>8.137575</v>
      </c>
      <c r="P91" s="34">
        <f t="shared" si="109"/>
        <v>-1.8770000000000002E-2</v>
      </c>
      <c r="Q91" s="34">
        <f t="shared" si="109"/>
        <v>2.7540100000000001</v>
      </c>
      <c r="R91" s="35">
        <f t="shared" si="109"/>
        <v>-7.154999999999995E-6</v>
      </c>
      <c r="S91" s="17"/>
      <c r="T91" s="29"/>
      <c r="U91" s="29" t="s">
        <v>376</v>
      </c>
      <c r="V91" s="23">
        <f t="shared" si="105"/>
        <v>8.137575</v>
      </c>
      <c r="W91" s="23">
        <f t="shared" si="105"/>
        <v>-1.8770000000000002E-2</v>
      </c>
      <c r="X91" s="23">
        <f t="shared" si="105"/>
        <v>2.7540100000000001</v>
      </c>
      <c r="Y91" s="29"/>
      <c r="Z91" s="31">
        <f>ABS(V91)/AC91/AD91</f>
        <v>4.8437946428571426</v>
      </c>
      <c r="AA91" s="23">
        <f>ABS(+W91/V91)</f>
        <v>2.3065839638958781E-3</v>
      </c>
      <c r="AB91" s="23">
        <f>ABS(X91/V91)</f>
        <v>0.33843128941975958</v>
      </c>
      <c r="AC91" s="36">
        <f t="shared" si="108"/>
        <v>0.8</v>
      </c>
      <c r="AD91" s="37">
        <f t="shared" si="108"/>
        <v>2.1</v>
      </c>
      <c r="AE91" s="22">
        <f t="shared" si="106"/>
        <v>0.79538683207220828</v>
      </c>
      <c r="AF91" s="22">
        <f t="shared" si="106"/>
        <v>1.4231374211604808</v>
      </c>
      <c r="AG91" s="22">
        <f>AF91*AE91</f>
        <v>1.131944765020247</v>
      </c>
      <c r="AH91" s="38">
        <f>V91/AG91</f>
        <v>7.1890212768945876</v>
      </c>
      <c r="AJ91" s="146" t="s">
        <v>514</v>
      </c>
      <c r="AK91" s="145"/>
      <c r="AL91" s="145"/>
      <c r="AM91" s="145"/>
      <c r="AN91" s="139"/>
      <c r="AO91" s="146" t="s">
        <v>507</v>
      </c>
      <c r="AP91" s="145" t="s">
        <v>626</v>
      </c>
      <c r="AQ91" s="145">
        <f>0.6*AR88</f>
        <v>2100</v>
      </c>
      <c r="AR91" s="212" t="s">
        <v>627</v>
      </c>
      <c r="AS91" s="211">
        <f>+AR92+AR93</f>
        <v>2397.0089999999996</v>
      </c>
      <c r="AT91" s="48" t="s">
        <v>515</v>
      </c>
      <c r="AU91" s="48"/>
      <c r="AV91" s="48" t="s">
        <v>518</v>
      </c>
      <c r="AW91" s="160"/>
      <c r="AX91" s="155" t="s">
        <v>524</v>
      </c>
      <c r="AY91" s="182">
        <f>IF(BC90=(1+1/4),+(1+3/8),IF(BC90=1,(1+1/8),IF(BC90=(7/8),1,IF(BC90=(3/4),+(7/8),IF(BC90=(5/8),+(3/4),IF(BC90=(1/2),(9/16),IF(BC90=(3/8),+(7/16),"no valido")))))))</f>
        <v>1.125</v>
      </c>
      <c r="AZ91" s="165" t="s">
        <v>526</v>
      </c>
      <c r="BA91" s="172" t="s">
        <v>531</v>
      </c>
      <c r="BB91" s="178" t="s">
        <v>529</v>
      </c>
      <c r="BC91" s="158">
        <f>+AY92+3</f>
        <v>12</v>
      </c>
      <c r="BD91" s="166" t="s">
        <v>526</v>
      </c>
      <c r="BE91" s="172" t="s">
        <v>531</v>
      </c>
      <c r="BG91" s="113"/>
      <c r="BH91" s="68"/>
      <c r="BI91" s="209"/>
      <c r="BJ91" s="134"/>
      <c r="BK91" s="135"/>
      <c r="BL91" s="63"/>
      <c r="BM91" s="125"/>
      <c r="BN91" s="133"/>
      <c r="BO91" s="44"/>
      <c r="BR91" s="135"/>
      <c r="BS91" s="63"/>
      <c r="BT91" s="125"/>
      <c r="BU91" s="133"/>
      <c r="BV91" s="44"/>
    </row>
    <row r="92" spans="1:74" ht="15" hidden="1" x14ac:dyDescent="0.25">
      <c r="A92" s="216" t="s">
        <v>651</v>
      </c>
      <c r="B92" s="216" t="s">
        <v>355</v>
      </c>
      <c r="C92" s="216" t="s">
        <v>352</v>
      </c>
      <c r="D92" s="216">
        <v>-6.8500000000000005E-2</v>
      </c>
      <c r="E92" s="216">
        <v>-0.37980000000000003</v>
      </c>
      <c r="F92" s="216">
        <v>-0.1176</v>
      </c>
      <c r="G92" s="216">
        <v>0.68230000000000002</v>
      </c>
      <c r="H92" s="216">
        <v>-0.14191000000000001</v>
      </c>
      <c r="I92" s="216">
        <v>5.6999999999999998E-4</v>
      </c>
      <c r="K92" s="33"/>
      <c r="L92" s="17" t="s">
        <v>377</v>
      </c>
      <c r="M92" s="34">
        <f t="shared" ref="M92:R92" si="110">D89+0.25*D90+D92</f>
        <v>-6.6450000000000009E-2</v>
      </c>
      <c r="N92" s="34">
        <f t="shared" si="110"/>
        <v>-0.32147500000000001</v>
      </c>
      <c r="O92" s="34">
        <f t="shared" si="110"/>
        <v>7.6236749999999995</v>
      </c>
      <c r="P92" s="34">
        <f t="shared" si="110"/>
        <v>0.62792999999999999</v>
      </c>
      <c r="Q92" s="34">
        <f t="shared" si="110"/>
        <v>0.17649999999999996</v>
      </c>
      <c r="R92" s="35">
        <f t="shared" si="110"/>
        <v>5.0311499999999994E-4</v>
      </c>
      <c r="S92" s="17"/>
      <c r="T92" s="29"/>
      <c r="U92" s="29" t="s">
        <v>377</v>
      </c>
      <c r="V92" s="23">
        <f t="shared" si="105"/>
        <v>7.6236749999999995</v>
      </c>
      <c r="W92" s="23">
        <f t="shared" si="105"/>
        <v>0.62792999999999999</v>
      </c>
      <c r="X92" s="23">
        <f t="shared" si="105"/>
        <v>0.17649999999999996</v>
      </c>
      <c r="Y92" s="29"/>
      <c r="Z92" s="31">
        <f>ABS(V92)/AC92/AD92</f>
        <v>4.5379017857142845</v>
      </c>
      <c r="AA92" s="23">
        <f>ABS(+W92/V92)</f>
        <v>8.2365788153351244E-2</v>
      </c>
      <c r="AB92" s="23">
        <f>ABS(X92/V92)</f>
        <v>2.3151564042276196E-2</v>
      </c>
      <c r="AC92" s="36">
        <f t="shared" si="108"/>
        <v>0.8</v>
      </c>
      <c r="AD92" s="37">
        <f t="shared" si="108"/>
        <v>2.1</v>
      </c>
      <c r="AE92" s="22">
        <f t="shared" si="106"/>
        <v>0.6352684236932975</v>
      </c>
      <c r="AF92" s="22">
        <f t="shared" si="106"/>
        <v>2.0536968719154478</v>
      </c>
      <c r="AG92" s="22">
        <f>AF92*AE92</f>
        <v>1.3046487745655824</v>
      </c>
      <c r="AH92" s="38">
        <f>V92/AG92</f>
        <v>5.8434692528941401</v>
      </c>
      <c r="AJ92" s="147" t="s">
        <v>500</v>
      </c>
      <c r="AK92" s="24">
        <f>(MAX(V89:V93)+ABS(MAX(W89:W93))/(AL90/1000))*1000</f>
        <v>14489.362500000001</v>
      </c>
      <c r="AL92" s="150" t="s">
        <v>502</v>
      </c>
      <c r="AM92" s="24">
        <f>+ABS(MAX(AK92:AK93))/(+AK90*2/10+AL90*2/10)/(AP90/10)</f>
        <v>85.847101449275357</v>
      </c>
      <c r="AN92" s="151" t="str">
        <f>IF(AM92&lt;=AM93,"OK","REDIS")</f>
        <v>OK</v>
      </c>
      <c r="AO92" s="150" t="s">
        <v>508</v>
      </c>
      <c r="AP92" s="24">
        <f>((AO90/10/2-AL90/10/2)/2)*((MAX(ABS(MAX(W89:W93)),ABS(MIN(W89:W93)))*100000))/(AL90/10)</f>
        <v>10359.421875</v>
      </c>
      <c r="AQ92" s="150" t="s">
        <v>510</v>
      </c>
      <c r="AR92" s="24">
        <f>+AP92/(AK90*AP90*AP90/6/10/10/10)</f>
        <v>331.50150000000002</v>
      </c>
      <c r="AS92" s="152" t="str">
        <f>IF(AR92&lt;=0.6*AR88*1.1,"OK","REDIS")</f>
        <v>OK</v>
      </c>
      <c r="AT92" s="24" t="s">
        <v>516</v>
      </c>
      <c r="AU92" s="174">
        <f>+AW90*(AP92/100000)/((AO90-AL90)/1000/4)/(AT90-1)</f>
        <v>2.7625124999999997</v>
      </c>
      <c r="AV92" s="24" t="s">
        <v>519</v>
      </c>
      <c r="AW92" s="175">
        <f>+AW90*(ABS(MAX(M89:M93))+ABS(MIN(M89:M93)+ABS(MAX(N89:N93))+ABS(MIN(N89:N93))))/AV90</f>
        <v>0.23421</v>
      </c>
      <c r="AX92" s="155" t="s">
        <v>525</v>
      </c>
      <c r="AY92" s="182">
        <f>IF(BC90=(1+1/4),+(11-1/4),IF(BC90=1,(9),IF(BC90=(7/8),(7-7/8),IF(BC90=(3/4),+(6-3/4),IF(BC90=(5/8),+(5-5/8),IF(BC90=(1/2),(4-1/2),IF(BC90=(3-3/8),+(7/16),"no valido")))))))</f>
        <v>9</v>
      </c>
      <c r="AZ92" s="166" t="s">
        <v>526</v>
      </c>
      <c r="BA92" s="168" t="s">
        <v>533</v>
      </c>
      <c r="BB92" s="153" t="s">
        <v>521</v>
      </c>
      <c r="BC92" s="44">
        <f>+AV90</f>
        <v>8</v>
      </c>
      <c r="BD92" s="166" t="s">
        <v>527</v>
      </c>
      <c r="BE92" s="162" t="s">
        <v>534</v>
      </c>
      <c r="BG92" s="113"/>
      <c r="BH92" s="68"/>
      <c r="BI92" s="136"/>
      <c r="BJ92" s="128"/>
      <c r="BK92" s="111"/>
      <c r="BL92" s="16"/>
      <c r="BM92" s="63"/>
      <c r="BN92" s="44"/>
      <c r="BO92" s="126"/>
      <c r="BR92" s="111"/>
      <c r="BS92" s="16"/>
      <c r="BT92" s="63"/>
      <c r="BU92" s="44"/>
      <c r="BV92" s="126"/>
    </row>
    <row r="93" spans="1:74" ht="15" hidden="1" x14ac:dyDescent="0.25">
      <c r="A93" s="216" t="s">
        <v>651</v>
      </c>
      <c r="B93" s="216" t="s">
        <v>624</v>
      </c>
      <c r="C93" s="216" t="s">
        <v>389</v>
      </c>
      <c r="D93" s="216">
        <v>5.3E-3</v>
      </c>
      <c r="E93" s="216">
        <v>7.1199999999999999E-2</v>
      </c>
      <c r="F93" s="216">
        <v>9.5200999999999993</v>
      </c>
      <c r="G93" s="216">
        <v>-6.6799999999999998E-2</v>
      </c>
      <c r="H93" s="216">
        <v>0.39172000000000001</v>
      </c>
      <c r="I93" s="216">
        <v>-8.0829999999999997E-5</v>
      </c>
      <c r="K93" s="39"/>
      <c r="L93" s="40" t="s">
        <v>378</v>
      </c>
      <c r="M93" s="41">
        <f t="shared" ref="M93:R93" si="111">D89+0.25*D90-D92</f>
        <v>7.0550000000000002E-2</v>
      </c>
      <c r="N93" s="41">
        <f t="shared" si="111"/>
        <v>0.43812500000000004</v>
      </c>
      <c r="O93" s="41">
        <f t="shared" si="111"/>
        <v>7.8588750000000003</v>
      </c>
      <c r="P93" s="41">
        <f t="shared" si="111"/>
        <v>-0.73667000000000005</v>
      </c>
      <c r="Q93" s="41">
        <f t="shared" si="111"/>
        <v>0.46031999999999995</v>
      </c>
      <c r="R93" s="42">
        <f t="shared" si="111"/>
        <v>-6.3688500000000001E-4</v>
      </c>
      <c r="S93" s="17"/>
      <c r="T93" s="29"/>
      <c r="U93" s="29" t="s">
        <v>378</v>
      </c>
      <c r="V93" s="23">
        <f t="shared" si="105"/>
        <v>7.8588750000000003</v>
      </c>
      <c r="W93" s="23">
        <f t="shared" si="105"/>
        <v>-0.73667000000000005</v>
      </c>
      <c r="X93" s="23">
        <f t="shared" si="105"/>
        <v>0.46031999999999995</v>
      </c>
      <c r="Y93" s="29"/>
      <c r="Z93" s="31">
        <f>ABS(V93)/AC93/AD93</f>
        <v>4.6779017857142859</v>
      </c>
      <c r="AA93" s="23">
        <f>ABS(+W93/V93)</f>
        <v>9.3737335178381134E-2</v>
      </c>
      <c r="AB93" s="23">
        <f>ABS(X93/V93)</f>
        <v>5.8573269074772144E-2</v>
      </c>
      <c r="AC93" s="36">
        <f t="shared" si="108"/>
        <v>0.8</v>
      </c>
      <c r="AD93" s="37">
        <f t="shared" si="108"/>
        <v>2.1</v>
      </c>
      <c r="AE93" s="22">
        <f t="shared" si="106"/>
        <v>0.6125253296432378</v>
      </c>
      <c r="AF93" s="22">
        <f t="shared" si="106"/>
        <v>1.9828534618504559</v>
      </c>
      <c r="AG93" s="22">
        <f>AF93*AE93</f>
        <v>1.2145479703541857</v>
      </c>
      <c r="AH93" s="38">
        <f>V93/AG93</f>
        <v>6.4706172105398192</v>
      </c>
      <c r="AJ93" s="147" t="s">
        <v>501</v>
      </c>
      <c r="AK93" s="24">
        <f>(MAX(V89:V93)+ABS(MAX(X89:X93))/(AK90/1000))*1000</f>
        <v>19744.833333333332</v>
      </c>
      <c r="AL93" s="150" t="s">
        <v>505</v>
      </c>
      <c r="AM93" s="24">
        <f>+AR88*0.4/3</f>
        <v>466.66666666666669</v>
      </c>
      <c r="AN93" s="24"/>
      <c r="AO93" s="150" t="s">
        <v>509</v>
      </c>
      <c r="AP93" s="24">
        <f>((AN90/10/2-AK90/10/2)/2)*(MAX(+ABS(MAX(X89:X93)),ABS(MIN(X89:X93)))*100000/(AK90/10))</f>
        <v>34425.125</v>
      </c>
      <c r="AQ93" s="150" t="s">
        <v>511</v>
      </c>
      <c r="AR93" s="24">
        <f>+AP93/(AL90*AP90*AP90/6/1000)</f>
        <v>2065.5074999999997</v>
      </c>
      <c r="AS93" s="152" t="str">
        <f>IF(AR93&lt;=0.6*AR88*1.1,"OK","REDIS")</f>
        <v>OK</v>
      </c>
      <c r="AT93" s="24" t="s">
        <v>517</v>
      </c>
      <c r="AU93" s="174">
        <f>+AW90*(AP93/100000)/((AN90-AK90)/1000/4)/(AU90-1)</f>
        <v>5.5080200000000001</v>
      </c>
      <c r="AV93" s="24"/>
      <c r="AW93" s="161"/>
      <c r="AX93" s="156" t="s">
        <v>522</v>
      </c>
      <c r="AY93" s="181">
        <f>IF(AY91=(1+3/8),+AV90/3,IF(AY91=(1+1/8),+AV90/6,IF(AY91=1,+AV90/8,IF(AY91=(7/8),+AV90/11,IF(AY91=0.75,+AV90/18,IF(AY91=(9/16),+AV90/45,IF(AY91=(7/16),+AV90/84,"NO HAY DATO")))))))</f>
        <v>1.3333333333333333</v>
      </c>
      <c r="AZ93" s="167" t="s">
        <v>527</v>
      </c>
      <c r="BA93" s="176"/>
      <c r="BB93" s="164" t="s">
        <v>523</v>
      </c>
      <c r="BC93" s="129">
        <f>+BC92*BC91*2.54/100</f>
        <v>2.4384000000000001</v>
      </c>
      <c r="BD93" s="173" t="s">
        <v>528</v>
      </c>
      <c r="BE93" s="130"/>
      <c r="BG93" s="113"/>
      <c r="BH93" s="68"/>
      <c r="BI93" s="136"/>
      <c r="BJ93" s="128"/>
      <c r="BM93" s="137"/>
      <c r="BN93" s="63"/>
      <c r="BO93" s="125"/>
      <c r="BT93" s="137"/>
      <c r="BU93" s="63"/>
      <c r="BV93" s="125"/>
    </row>
    <row r="94" spans="1:74" ht="15" hidden="1" x14ac:dyDescent="0.25">
      <c r="A94" s="216" t="s">
        <v>651</v>
      </c>
      <c r="B94" s="216" t="s">
        <v>625</v>
      </c>
      <c r="C94" s="216" t="s">
        <v>389</v>
      </c>
      <c r="D94" s="216">
        <v>7.1499999999999994E-2</v>
      </c>
      <c r="E94" s="216">
        <v>0.42049999999999998</v>
      </c>
      <c r="F94" s="216">
        <v>5.5576999999999996</v>
      </c>
      <c r="G94" s="216">
        <v>-0.72048000000000001</v>
      </c>
      <c r="H94" s="216">
        <v>0.36574000000000001</v>
      </c>
      <c r="I94" s="216">
        <v>-6.2E-4</v>
      </c>
      <c r="K94" s="25" t="s">
        <v>357</v>
      </c>
      <c r="L94" s="26" t="s">
        <v>358</v>
      </c>
      <c r="M94" s="27" t="s">
        <v>359</v>
      </c>
      <c r="N94" s="27" t="s">
        <v>360</v>
      </c>
      <c r="O94" s="27" t="s">
        <v>361</v>
      </c>
      <c r="P94" s="27" t="s">
        <v>362</v>
      </c>
      <c r="Q94" s="27" t="s">
        <v>363</v>
      </c>
      <c r="R94" s="28" t="s">
        <v>364</v>
      </c>
      <c r="S94" s="17"/>
      <c r="T94" s="29" t="s">
        <v>365</v>
      </c>
      <c r="U94" s="29" t="s">
        <v>358</v>
      </c>
      <c r="V94" s="30" t="s">
        <v>361</v>
      </c>
      <c r="W94" s="30" t="s">
        <v>362</v>
      </c>
      <c r="X94" s="30" t="s">
        <v>363</v>
      </c>
      <c r="Y94" s="29" t="s">
        <v>366</v>
      </c>
      <c r="Z94" s="31" t="s">
        <v>367</v>
      </c>
      <c r="AA94" s="23" t="s">
        <v>368</v>
      </c>
      <c r="AB94" s="23" t="s">
        <v>369</v>
      </c>
      <c r="AC94" s="22" t="s">
        <v>0</v>
      </c>
      <c r="AD94" s="22" t="s">
        <v>1</v>
      </c>
      <c r="AE94" s="22" t="s">
        <v>370</v>
      </c>
      <c r="AF94" s="22" t="s">
        <v>371</v>
      </c>
      <c r="AG94" s="22" t="s">
        <v>372</v>
      </c>
      <c r="AH94" s="32" t="s">
        <v>373</v>
      </c>
      <c r="AJ94" s="143" t="s">
        <v>365</v>
      </c>
      <c r="AK94" s="144" t="s">
        <v>498</v>
      </c>
      <c r="AL94" s="145"/>
      <c r="AM94" s="139"/>
      <c r="AN94" s="146" t="s">
        <v>499</v>
      </c>
      <c r="AO94" s="145"/>
      <c r="AP94" s="139"/>
      <c r="AQ94" s="147" t="s">
        <v>506</v>
      </c>
      <c r="AR94" s="48">
        <v>3500</v>
      </c>
      <c r="AS94" s="147" t="s">
        <v>405</v>
      </c>
      <c r="AT94" s="146" t="s">
        <v>512</v>
      </c>
      <c r="AU94" s="145"/>
      <c r="AV94" s="145"/>
      <c r="AW94" s="145"/>
      <c r="AX94" s="163" t="s">
        <v>532</v>
      </c>
      <c r="AY94" s="157" t="s">
        <v>515</v>
      </c>
      <c r="AZ94" s="169">
        <v>6.9</v>
      </c>
      <c r="BA94" s="171" t="str">
        <f>IF(MAX(AU98:AU99)&lt;=AZ94,"OK","REDIS")</f>
        <v>OK</v>
      </c>
      <c r="BB94" s="163" t="s">
        <v>536</v>
      </c>
      <c r="BC94" s="170" t="s">
        <v>515</v>
      </c>
      <c r="BD94" s="169">
        <v>8.36</v>
      </c>
      <c r="BE94" s="171" t="str">
        <f>IF(MAX(AU98:AU99)&lt;=BD94,"OK","REDIS")</f>
        <v>OK</v>
      </c>
      <c r="BG94" s="113"/>
      <c r="BH94" s="68"/>
      <c r="BI94" s="136"/>
      <c r="BJ94" s="138"/>
      <c r="BM94" s="125"/>
      <c r="BN94" s="133"/>
      <c r="BO94" s="44"/>
      <c r="BT94" s="125"/>
      <c r="BU94" s="133"/>
      <c r="BV94" s="44"/>
    </row>
    <row r="95" spans="1:74" ht="15" hidden="1" x14ac:dyDescent="0.25">
      <c r="A95" s="216" t="s">
        <v>652</v>
      </c>
      <c r="B95" s="216" t="s">
        <v>351</v>
      </c>
      <c r="C95" s="216" t="s">
        <v>352</v>
      </c>
      <c r="D95" s="216">
        <v>-0.05</v>
      </c>
      <c r="E95" s="216">
        <v>3.6499999999999998E-2</v>
      </c>
      <c r="F95" s="216">
        <v>5.7496999999999998</v>
      </c>
      <c r="G95" s="216">
        <v>-3.4430000000000002E-2</v>
      </c>
      <c r="H95" s="216">
        <v>0.22897000000000001</v>
      </c>
      <c r="I95" s="216">
        <v>-4.3949999999999998E-5</v>
      </c>
      <c r="K95" s="33" t="str">
        <f>+A95</f>
        <v>72</v>
      </c>
      <c r="L95" s="17" t="s">
        <v>374</v>
      </c>
      <c r="M95" s="34">
        <f t="shared" ref="M95:R95" si="112">D95+D96</f>
        <v>-8.1600000000000006E-2</v>
      </c>
      <c r="N95" s="34">
        <f t="shared" si="112"/>
        <v>5.7599999999999998E-2</v>
      </c>
      <c r="O95" s="34">
        <f t="shared" si="112"/>
        <v>8.7751000000000001</v>
      </c>
      <c r="P95" s="34">
        <f t="shared" si="112"/>
        <v>-5.3449999999999998E-2</v>
      </c>
      <c r="Q95" s="34">
        <f t="shared" si="112"/>
        <v>0.36619999999999997</v>
      </c>
      <c r="R95" s="35">
        <f t="shared" si="112"/>
        <v>-7.0389999999999995E-5</v>
      </c>
      <c r="S95" s="17"/>
      <c r="T95" s="29" t="str">
        <f>K95</f>
        <v>72</v>
      </c>
      <c r="U95" s="29" t="s">
        <v>374</v>
      </c>
      <c r="V95" s="23">
        <f t="shared" ref="V95:X99" si="113">O95</f>
        <v>8.7751000000000001</v>
      </c>
      <c r="W95" s="23">
        <f t="shared" si="113"/>
        <v>-5.3449999999999998E-2</v>
      </c>
      <c r="X95" s="23">
        <f t="shared" si="113"/>
        <v>0.36619999999999997</v>
      </c>
      <c r="Y95" s="29">
        <v>15</v>
      </c>
      <c r="Z95" s="31">
        <f>ABS(V95)/AC95/AD95</f>
        <v>7.3125833333333325</v>
      </c>
      <c r="AA95" s="23">
        <f>ABS(+W95/V95)</f>
        <v>6.0910986769381545E-3</v>
      </c>
      <c r="AB95" s="23">
        <f>ABS(X95/V95)</f>
        <v>4.1731718157058034E-2</v>
      </c>
      <c r="AC95" s="36">
        <v>0.8</v>
      </c>
      <c r="AD95" s="37">
        <v>1.5</v>
      </c>
      <c r="AE95" s="22">
        <f t="shared" ref="AE95:AF99" si="114">AC95-2*AA95</f>
        <v>0.78781780264612378</v>
      </c>
      <c r="AF95" s="22">
        <f t="shared" si="114"/>
        <v>1.416536563685884</v>
      </c>
      <c r="AG95" s="22">
        <f>AF95*AE95</f>
        <v>1.115972722970904</v>
      </c>
      <c r="AH95" s="38">
        <f>V95/AG95</f>
        <v>7.8631850217980528</v>
      </c>
      <c r="AJ95" s="48" t="str">
        <f>+K95</f>
        <v>72</v>
      </c>
      <c r="AK95" s="147" t="s">
        <v>0</v>
      </c>
      <c r="AL95" s="147" t="s">
        <v>1</v>
      </c>
      <c r="AM95" s="147" t="s">
        <v>438</v>
      </c>
      <c r="AN95" s="147" t="s">
        <v>503</v>
      </c>
      <c r="AO95" s="147" t="s">
        <v>504</v>
      </c>
      <c r="AP95" s="147" t="s">
        <v>323</v>
      </c>
      <c r="AQ95" s="48"/>
      <c r="AR95" s="48"/>
      <c r="AS95" s="48"/>
      <c r="AT95" s="147" t="s">
        <v>0</v>
      </c>
      <c r="AU95" s="147" t="s">
        <v>1</v>
      </c>
      <c r="AV95" s="147" t="s">
        <v>513</v>
      </c>
      <c r="AW95" s="159" t="s">
        <v>520</v>
      </c>
      <c r="AX95" s="141" t="s">
        <v>530</v>
      </c>
      <c r="AY95" s="157" t="s">
        <v>178</v>
      </c>
      <c r="AZ95" s="44">
        <v>12</v>
      </c>
      <c r="BA95" s="172" t="str">
        <f>IF(AW98&lt;=AZ95,"OK","REDIS")</f>
        <v>OK</v>
      </c>
      <c r="BB95" s="141" t="s">
        <v>535</v>
      </c>
      <c r="BC95" s="120" t="s">
        <v>178</v>
      </c>
      <c r="BD95" s="44">
        <v>4.3</v>
      </c>
      <c r="BE95" s="172" t="str">
        <f>IF(AW98&lt;=BD95,"OK","REDIS")</f>
        <v>OK</v>
      </c>
      <c r="BG95" s="113"/>
      <c r="BH95" s="68"/>
      <c r="BI95" s="114"/>
      <c r="BJ95" s="45"/>
      <c r="BK95" s="63"/>
      <c r="BL95" s="63"/>
      <c r="BM95" s="63"/>
      <c r="BN95" s="70"/>
      <c r="BO95" s="70"/>
      <c r="BP95" s="44"/>
      <c r="BQ95" s="63"/>
      <c r="BR95" s="44"/>
      <c r="BS95" s="70"/>
      <c r="BT95" s="70"/>
      <c r="BU95" s="207"/>
      <c r="BV95" s="63"/>
    </row>
    <row r="96" spans="1:74" ht="15" hidden="1" x14ac:dyDescent="0.25">
      <c r="A96" s="216" t="s">
        <v>652</v>
      </c>
      <c r="B96" s="216" t="s">
        <v>353</v>
      </c>
      <c r="C96" s="216" t="s">
        <v>352</v>
      </c>
      <c r="D96" s="216">
        <v>-3.1600000000000003E-2</v>
      </c>
      <c r="E96" s="216">
        <v>2.1100000000000001E-2</v>
      </c>
      <c r="F96" s="216">
        <v>3.0253999999999999</v>
      </c>
      <c r="G96" s="216">
        <v>-1.9019999999999999E-2</v>
      </c>
      <c r="H96" s="216">
        <v>0.13722999999999999</v>
      </c>
      <c r="I96" s="216">
        <v>-2.6440000000000001E-5</v>
      </c>
      <c r="K96" s="33"/>
      <c r="L96" s="17" t="s">
        <v>375</v>
      </c>
      <c r="M96" s="34">
        <f t="shared" ref="M96:R96" si="115">D95+0.25*D96+D97</f>
        <v>-0.81790000000000007</v>
      </c>
      <c r="N96" s="34">
        <f t="shared" si="115"/>
        <v>5.7675000000000004E-2</v>
      </c>
      <c r="O96" s="34">
        <f t="shared" si="115"/>
        <v>6.2109500000000004</v>
      </c>
      <c r="P96" s="34">
        <f t="shared" si="115"/>
        <v>-6.5935000000000007E-2</v>
      </c>
      <c r="Q96" s="34">
        <f t="shared" si="115"/>
        <v>-1.4880424999999999</v>
      </c>
      <c r="R96" s="35">
        <f t="shared" si="115"/>
        <v>-1.4214999999999999E-4</v>
      </c>
      <c r="S96" s="17"/>
      <c r="T96" s="29"/>
      <c r="U96" s="29" t="s">
        <v>375</v>
      </c>
      <c r="V96" s="23">
        <f t="shared" si="113"/>
        <v>6.2109500000000004</v>
      </c>
      <c r="W96" s="23">
        <f t="shared" si="113"/>
        <v>-6.5935000000000007E-2</v>
      </c>
      <c r="X96" s="23">
        <f t="shared" si="113"/>
        <v>-1.4880424999999999</v>
      </c>
      <c r="Y96" s="29">
        <f>1.33*Y95</f>
        <v>19.950000000000003</v>
      </c>
      <c r="Z96" s="31">
        <f>ABS(V96)/AC96/AD96</f>
        <v>5.175791666666667</v>
      </c>
      <c r="AA96" s="23">
        <f>ABS(+W96/V96)</f>
        <v>1.0615928320144262E-2</v>
      </c>
      <c r="AB96" s="23">
        <f>ABS(X96/V96)</f>
        <v>0.23958371907679177</v>
      </c>
      <c r="AC96" s="36">
        <f t="shared" ref="AC96:AD99" si="116">AC95</f>
        <v>0.8</v>
      </c>
      <c r="AD96" s="37">
        <f t="shared" si="116"/>
        <v>1.5</v>
      </c>
      <c r="AE96" s="22">
        <f t="shared" si="114"/>
        <v>0.77876814335971156</v>
      </c>
      <c r="AF96" s="22">
        <f t="shared" si="114"/>
        <v>1.0208325618464165</v>
      </c>
      <c r="AG96" s="22">
        <f>AF96*AE96</f>
        <v>0.79499187887027167</v>
      </c>
      <c r="AH96" s="38">
        <f>V96/AG96</f>
        <v>7.8125955309456883</v>
      </c>
      <c r="AJ96" s="147" t="s">
        <v>539</v>
      </c>
      <c r="AK96" s="148">
        <v>300</v>
      </c>
      <c r="AL96" s="148">
        <v>160</v>
      </c>
      <c r="AM96" s="148">
        <v>4</v>
      </c>
      <c r="AN96" s="149">
        <v>450</v>
      </c>
      <c r="AO96" s="149">
        <v>250</v>
      </c>
      <c r="AP96" s="149">
        <v>25</v>
      </c>
      <c r="AQ96" s="48"/>
      <c r="AR96" s="48"/>
      <c r="AS96" s="48"/>
      <c r="AT96" s="48">
        <v>3</v>
      </c>
      <c r="AU96" s="48">
        <v>3</v>
      </c>
      <c r="AV96" s="149">
        <f>+AT96*2+(AU96-2)*2</f>
        <v>8</v>
      </c>
      <c r="AW96" s="159">
        <v>1.2</v>
      </c>
      <c r="AX96" s="155" t="s">
        <v>538</v>
      </c>
      <c r="AY96" s="180">
        <f>+AV96</f>
        <v>8</v>
      </c>
      <c r="BA96" s="154"/>
      <c r="BB96" s="177" t="s">
        <v>537</v>
      </c>
      <c r="BC96" s="179">
        <v>1</v>
      </c>
      <c r="BD96" s="166" t="s">
        <v>526</v>
      </c>
      <c r="BE96" s="154"/>
      <c r="BG96" s="109"/>
      <c r="BH96" s="142"/>
      <c r="BJ96" s="109"/>
      <c r="BK96" s="142"/>
      <c r="BM96" s="110"/>
      <c r="BN96" s="110"/>
      <c r="BO96" s="110"/>
      <c r="BP96" s="110"/>
    </row>
    <row r="97" spans="1:74" ht="15" hidden="1" x14ac:dyDescent="0.25">
      <c r="A97" s="216" t="s">
        <v>652</v>
      </c>
      <c r="B97" s="216" t="s">
        <v>354</v>
      </c>
      <c r="C97" s="216" t="s">
        <v>352</v>
      </c>
      <c r="D97" s="216">
        <v>-0.76</v>
      </c>
      <c r="E97" s="216">
        <v>1.5900000000000001E-2</v>
      </c>
      <c r="F97" s="216">
        <v>-0.29509999999999997</v>
      </c>
      <c r="G97" s="216">
        <v>-2.6749999999999999E-2</v>
      </c>
      <c r="H97" s="216">
        <v>-1.75132</v>
      </c>
      <c r="I97" s="216">
        <v>-9.1589999999999996E-5</v>
      </c>
      <c r="K97" s="33"/>
      <c r="L97" s="17" t="s">
        <v>376</v>
      </c>
      <c r="M97" s="34">
        <f t="shared" ref="M97:R97" si="117">D95+0.25*D96-D97</f>
        <v>0.70209999999999995</v>
      </c>
      <c r="N97" s="34">
        <f t="shared" si="117"/>
        <v>2.5874999999999999E-2</v>
      </c>
      <c r="O97" s="34">
        <f t="shared" si="117"/>
        <v>6.8011499999999998</v>
      </c>
      <c r="P97" s="34">
        <f t="shared" si="117"/>
        <v>-1.2435000000000005E-2</v>
      </c>
      <c r="Q97" s="34">
        <f t="shared" si="117"/>
        <v>2.0145974999999998</v>
      </c>
      <c r="R97" s="35">
        <f t="shared" si="117"/>
        <v>4.1029999999999998E-5</v>
      </c>
      <c r="S97" s="17"/>
      <c r="T97" s="29"/>
      <c r="U97" s="29" t="s">
        <v>376</v>
      </c>
      <c r="V97" s="23">
        <f t="shared" si="113"/>
        <v>6.8011499999999998</v>
      </c>
      <c r="W97" s="23">
        <f t="shared" si="113"/>
        <v>-1.2435000000000005E-2</v>
      </c>
      <c r="X97" s="23">
        <f t="shared" si="113"/>
        <v>2.0145974999999998</v>
      </c>
      <c r="Y97" s="29"/>
      <c r="Z97" s="31">
        <f>ABS(V97)/AC97/AD97</f>
        <v>5.6676250000000001</v>
      </c>
      <c r="AA97" s="23">
        <f>ABS(+W97/V97)</f>
        <v>1.8283672614190255E-3</v>
      </c>
      <c r="AB97" s="23">
        <f>ABS(X97/V97)</f>
        <v>0.29621424317946227</v>
      </c>
      <c r="AC97" s="36">
        <f t="shared" si="116"/>
        <v>0.8</v>
      </c>
      <c r="AD97" s="37">
        <f t="shared" si="116"/>
        <v>1.5</v>
      </c>
      <c r="AE97" s="22">
        <f t="shared" si="114"/>
        <v>0.79634326547716194</v>
      </c>
      <c r="AF97" s="22">
        <f t="shared" si="114"/>
        <v>0.90757151364107547</v>
      </c>
      <c r="AG97" s="22">
        <f>AF97*AE97</f>
        <v>0.72273846282698462</v>
      </c>
      <c r="AH97" s="38">
        <f>V97/AG97</f>
        <v>9.4102505260303513</v>
      </c>
      <c r="AJ97" s="146" t="s">
        <v>514</v>
      </c>
      <c r="AK97" s="145"/>
      <c r="AL97" s="145"/>
      <c r="AM97" s="145"/>
      <c r="AN97" s="139"/>
      <c r="AO97" s="146" t="s">
        <v>507</v>
      </c>
      <c r="AP97" s="145" t="s">
        <v>626</v>
      </c>
      <c r="AQ97" s="145">
        <f>0.6*AR94</f>
        <v>2100</v>
      </c>
      <c r="AR97" s="212" t="s">
        <v>627</v>
      </c>
      <c r="AS97" s="211">
        <f>+AR98+AR99</f>
        <v>1765.0068749999996</v>
      </c>
      <c r="AT97" s="48" t="s">
        <v>515</v>
      </c>
      <c r="AU97" s="48"/>
      <c r="AV97" s="48" t="s">
        <v>518</v>
      </c>
      <c r="AW97" s="160"/>
      <c r="AX97" s="155" t="s">
        <v>524</v>
      </c>
      <c r="AY97" s="182">
        <f>IF(BC96=(1+1/4),+(1+3/8),IF(BC96=1,(1+1/8),IF(BC96=(7/8),1,IF(BC96=(3/4),+(7/8),IF(BC96=(5/8),+(3/4),IF(BC96=(1/2),(9/16),IF(BC96=(3/8),+(7/16),"no valido")))))))</f>
        <v>1.125</v>
      </c>
      <c r="AZ97" s="165" t="s">
        <v>526</v>
      </c>
      <c r="BA97" s="172" t="s">
        <v>531</v>
      </c>
      <c r="BB97" s="178" t="s">
        <v>529</v>
      </c>
      <c r="BC97" s="158">
        <f>+AY98+3</f>
        <v>12</v>
      </c>
      <c r="BD97" s="166" t="s">
        <v>526</v>
      </c>
      <c r="BE97" s="172" t="s">
        <v>531</v>
      </c>
      <c r="BG97" s="111"/>
      <c r="BH97" s="9"/>
      <c r="BI97" s="125"/>
      <c r="BJ97" s="125"/>
      <c r="BK97" s="44"/>
      <c r="BL97" s="44"/>
      <c r="BM97" s="126"/>
      <c r="BN97" s="44"/>
      <c r="BO97" s="44"/>
      <c r="BP97" s="44"/>
      <c r="BQ97" s="126"/>
      <c r="BR97" s="44"/>
      <c r="BS97" s="44"/>
      <c r="BT97" s="44"/>
      <c r="BU97" s="44"/>
      <c r="BV97" s="44"/>
    </row>
    <row r="98" spans="1:74" ht="15" hidden="1" x14ac:dyDescent="0.25">
      <c r="A98" s="216" t="s">
        <v>652</v>
      </c>
      <c r="B98" s="216" t="s">
        <v>355</v>
      </c>
      <c r="C98" s="216" t="s">
        <v>352</v>
      </c>
      <c r="D98" s="216">
        <v>-5.4600000000000003E-2</v>
      </c>
      <c r="E98" s="216">
        <v>-0.31369999999999998</v>
      </c>
      <c r="F98" s="216">
        <v>0.38819999999999999</v>
      </c>
      <c r="G98" s="216">
        <v>0.52539000000000002</v>
      </c>
      <c r="H98" s="216">
        <v>-2.69E-2</v>
      </c>
      <c r="I98" s="216">
        <v>2.9E-4</v>
      </c>
      <c r="K98" s="33"/>
      <c r="L98" s="17" t="s">
        <v>377</v>
      </c>
      <c r="M98" s="34">
        <f t="shared" ref="M98:R98" si="118">D95+0.25*D96+D98</f>
        <v>-0.11250000000000002</v>
      </c>
      <c r="N98" s="34">
        <f t="shared" si="118"/>
        <v>-0.27192499999999997</v>
      </c>
      <c r="O98" s="34">
        <f t="shared" si="118"/>
        <v>6.8942500000000004</v>
      </c>
      <c r="P98" s="34">
        <f t="shared" si="118"/>
        <v>0.486205</v>
      </c>
      <c r="Q98" s="34">
        <f t="shared" si="118"/>
        <v>0.23637749999999999</v>
      </c>
      <c r="R98" s="35">
        <f t="shared" si="118"/>
        <v>2.3944E-4</v>
      </c>
      <c r="S98" s="17"/>
      <c r="T98" s="29"/>
      <c r="U98" s="29" t="s">
        <v>377</v>
      </c>
      <c r="V98" s="23">
        <f t="shared" si="113"/>
        <v>6.8942500000000004</v>
      </c>
      <c r="W98" s="23">
        <f t="shared" si="113"/>
        <v>0.486205</v>
      </c>
      <c r="X98" s="23">
        <f t="shared" si="113"/>
        <v>0.23637749999999999</v>
      </c>
      <c r="Y98" s="29"/>
      <c r="Z98" s="31">
        <f>ABS(V98)/AC98/AD98</f>
        <v>5.7452083333333333</v>
      </c>
      <c r="AA98" s="23">
        <f>ABS(+W98/V98)</f>
        <v>7.0523262138738801E-2</v>
      </c>
      <c r="AB98" s="23">
        <f>ABS(X98/V98)</f>
        <v>3.4286180512746123E-2</v>
      </c>
      <c r="AC98" s="36">
        <f t="shared" si="116"/>
        <v>0.8</v>
      </c>
      <c r="AD98" s="37">
        <f t="shared" si="116"/>
        <v>1.5</v>
      </c>
      <c r="AE98" s="22">
        <f t="shared" si="114"/>
        <v>0.65895347572252239</v>
      </c>
      <c r="AF98" s="22">
        <f t="shared" si="114"/>
        <v>1.4314276389745078</v>
      </c>
      <c r="AG98" s="22">
        <f>AF98*AE98</f>
        <v>0.94324421794753588</v>
      </c>
      <c r="AH98" s="38">
        <f>V98/AG98</f>
        <v>7.3090827050089215</v>
      </c>
      <c r="AJ98" s="147" t="s">
        <v>500</v>
      </c>
      <c r="AK98" s="24">
        <f>(MAX(V95:V99)+ABS(MAX(W95:W99))/(AL96/1000))*1000</f>
        <v>11813.88125</v>
      </c>
      <c r="AL98" s="150" t="s">
        <v>502</v>
      </c>
      <c r="AM98" s="24">
        <f>+ABS(MAX(AK98:AK99))/(+AK96*2/10+AL96*2/10)/(AP96/10)</f>
        <v>67.349673913043475</v>
      </c>
      <c r="AN98" s="151" t="str">
        <f>IF(AM98&lt;=AM99,"OK","REDIS")</f>
        <v>OK</v>
      </c>
      <c r="AO98" s="150" t="s">
        <v>508</v>
      </c>
      <c r="AP98" s="24">
        <f>((AO96/10/2-AL96/10/2)/2)*((MAX(ABS(MAX(W95:W99)),ABS(MIN(W95:W99)))*100000))/(AL96/10)</f>
        <v>7939.3359375000009</v>
      </c>
      <c r="AQ98" s="150" t="s">
        <v>510</v>
      </c>
      <c r="AR98" s="24">
        <f>+AP98/(AK96*AP96*AP96/6/10/10/10)</f>
        <v>254.05875000000003</v>
      </c>
      <c r="AS98" s="152" t="str">
        <f>IF(AR98&lt;=0.6*AR94*1.1,"OK","REDIS")</f>
        <v>OK</v>
      </c>
      <c r="AT98" s="24" t="s">
        <v>516</v>
      </c>
      <c r="AU98" s="174">
        <f>+AW96*(AP98/100000)/((AO96-AL96)/1000/4)/(AT96-1)</f>
        <v>2.1171562500000003</v>
      </c>
      <c r="AV98" s="24" t="s">
        <v>519</v>
      </c>
      <c r="AW98" s="175">
        <f>+AW96*(ABS(MAX(M95:M99))+ABS(MIN(M95:M99)+ABS(MAX(N95:N99))+ABS(MIN(N95:N99))))/AV96</f>
        <v>0.13389000000000001</v>
      </c>
      <c r="AX98" s="155" t="s">
        <v>525</v>
      </c>
      <c r="AY98" s="182">
        <f>IF(BC96=(1+1/4),+(11-1/4),IF(BC96=1,(9),IF(BC96=(7/8),(7-7/8),IF(BC96=(3/4),+(6-3/4),IF(BC96=(5/8),+(5-5/8),IF(BC96=(1/2),(4-1/2),IF(BC96=(3-3/8),+(7/16),"no valido")))))))</f>
        <v>9</v>
      </c>
      <c r="AZ98" s="166" t="s">
        <v>526</v>
      </c>
      <c r="BA98" s="168" t="s">
        <v>533</v>
      </c>
      <c r="BB98" s="153" t="s">
        <v>521</v>
      </c>
      <c r="BC98" s="44">
        <f>+AV96</f>
        <v>8</v>
      </c>
      <c r="BD98" s="166" t="s">
        <v>527</v>
      </c>
      <c r="BE98" s="162" t="s">
        <v>534</v>
      </c>
      <c r="BG98" s="9"/>
      <c r="BH98" s="16"/>
      <c r="BI98" s="208"/>
      <c r="BJ98" s="124"/>
      <c r="BK98" s="63"/>
      <c r="BL98" s="63"/>
      <c r="BM98" s="125"/>
      <c r="BN98" s="133"/>
      <c r="BO98" s="44"/>
      <c r="BP98" s="64"/>
      <c r="BQ98" s="125"/>
      <c r="BS98" s="63"/>
      <c r="BT98" s="63"/>
      <c r="BU98" s="63"/>
      <c r="BV98" s="63"/>
    </row>
    <row r="99" spans="1:74" ht="15" hidden="1" x14ac:dyDescent="0.25">
      <c r="A99" s="216" t="s">
        <v>652</v>
      </c>
      <c r="B99" s="216" t="s">
        <v>624</v>
      </c>
      <c r="C99" s="216" t="s">
        <v>389</v>
      </c>
      <c r="D99" s="216">
        <v>-7.0000000000000007E-2</v>
      </c>
      <c r="E99" s="216">
        <v>5.11E-2</v>
      </c>
      <c r="F99" s="216">
        <v>8.0495999999999999</v>
      </c>
      <c r="G99" s="216">
        <v>-4.82E-2</v>
      </c>
      <c r="H99" s="216">
        <v>0.32055</v>
      </c>
      <c r="I99" s="216">
        <v>-6.1530000000000002E-5</v>
      </c>
      <c r="K99" s="39"/>
      <c r="L99" s="40" t="s">
        <v>378</v>
      </c>
      <c r="M99" s="41">
        <f t="shared" ref="M99:R99" si="119">D95+0.25*D96-D98</f>
        <v>-3.3000000000000043E-3</v>
      </c>
      <c r="N99" s="41">
        <f t="shared" si="119"/>
        <v>0.35547499999999999</v>
      </c>
      <c r="O99" s="41">
        <f t="shared" si="119"/>
        <v>6.1178499999999998</v>
      </c>
      <c r="P99" s="41">
        <f t="shared" si="119"/>
        <v>-0.56457500000000005</v>
      </c>
      <c r="Q99" s="41">
        <f t="shared" si="119"/>
        <v>0.29017749999999998</v>
      </c>
      <c r="R99" s="42">
        <f t="shared" si="119"/>
        <v>-3.4056000000000001E-4</v>
      </c>
      <c r="S99" s="17"/>
      <c r="T99" s="29"/>
      <c r="U99" s="29" t="s">
        <v>378</v>
      </c>
      <c r="V99" s="23">
        <f t="shared" si="113"/>
        <v>6.1178499999999998</v>
      </c>
      <c r="W99" s="23">
        <f t="shared" si="113"/>
        <v>-0.56457500000000005</v>
      </c>
      <c r="X99" s="23">
        <f t="shared" si="113"/>
        <v>0.29017749999999998</v>
      </c>
      <c r="Y99" s="29"/>
      <c r="Z99" s="31">
        <f>ABS(V99)/AC99/AD99</f>
        <v>5.098208333333333</v>
      </c>
      <c r="AA99" s="23">
        <f>ABS(+W99/V99)</f>
        <v>9.2283236758011408E-2</v>
      </c>
      <c r="AB99" s="23">
        <f>ABS(X99/V99)</f>
        <v>4.7431287135186379E-2</v>
      </c>
      <c r="AC99" s="36">
        <f t="shared" si="116"/>
        <v>0.8</v>
      </c>
      <c r="AD99" s="37">
        <f t="shared" si="116"/>
        <v>1.5</v>
      </c>
      <c r="AE99" s="22">
        <f t="shared" si="114"/>
        <v>0.6154335264839772</v>
      </c>
      <c r="AF99" s="22">
        <f t="shared" si="114"/>
        <v>1.4051374257296272</v>
      </c>
      <c r="AG99" s="22">
        <f>AF99*AE99</f>
        <v>0.86476868111140204</v>
      </c>
      <c r="AH99" s="38">
        <f>V99/AG99</f>
        <v>7.0745508407373512</v>
      </c>
      <c r="AJ99" s="147" t="s">
        <v>501</v>
      </c>
      <c r="AK99" s="24">
        <f>(MAX(V95:V99)+ABS(MAX(X95:X99))/(AK96/1000))*1000</f>
        <v>15490.424999999999</v>
      </c>
      <c r="AL99" s="150" t="s">
        <v>505</v>
      </c>
      <c r="AM99" s="24">
        <f>+AR94*0.4/3</f>
        <v>466.66666666666669</v>
      </c>
      <c r="AN99" s="24"/>
      <c r="AO99" s="150" t="s">
        <v>509</v>
      </c>
      <c r="AP99" s="24">
        <f>((AN96/10/2-AK96/10/2)/2)*(MAX(+ABS(MAX(X95:X99)),ABS(MIN(X95:X99)))*100000/(AK96/10))</f>
        <v>25182.468749999996</v>
      </c>
      <c r="AQ99" s="150" t="s">
        <v>511</v>
      </c>
      <c r="AR99" s="24">
        <f>+AP99/(AL96*AP96*AP96/6/1000)</f>
        <v>1510.9481249999997</v>
      </c>
      <c r="AS99" s="152" t="str">
        <f>IF(AR99&lt;=0.6*AR94*1.1,"OK","REDIS")</f>
        <v>OK</v>
      </c>
      <c r="AT99" s="24" t="s">
        <v>517</v>
      </c>
      <c r="AU99" s="174">
        <f>+AW96*(AP99/100000)/((AN96-AK96)/1000/4)/(AU96-1)</f>
        <v>4.0291949999999996</v>
      </c>
      <c r="AV99" s="24"/>
      <c r="AW99" s="161"/>
      <c r="AX99" s="156" t="s">
        <v>522</v>
      </c>
      <c r="AY99" s="181">
        <f>IF(AY97=(1+3/8),+AV96/3,IF(AY97=(1+1/8),+AV96/6,IF(AY97=1,+AV96/8,IF(AY97=(7/8),+AV96/11,IF(AY97=0.75,+AV96/18,IF(AY97=(9/16),+AV96/45,IF(AY97=(7/16),+AV96/84,"NO HAY DATO")))))))</f>
        <v>1.3333333333333333</v>
      </c>
      <c r="AZ99" s="167" t="s">
        <v>527</v>
      </c>
      <c r="BA99" s="176"/>
      <c r="BB99" s="164" t="s">
        <v>523</v>
      </c>
      <c r="BC99" s="129">
        <f>+BC98*BC97*2.54/100</f>
        <v>2.4384000000000001</v>
      </c>
      <c r="BD99" s="173" t="s">
        <v>528</v>
      </c>
      <c r="BE99" s="130"/>
      <c r="BG99" s="113"/>
      <c r="BH99" s="68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126"/>
      <c r="BV99" s="63"/>
    </row>
    <row r="100" spans="1:74" ht="15" hidden="1" x14ac:dyDescent="0.25">
      <c r="A100" s="216" t="s">
        <v>652</v>
      </c>
      <c r="B100" s="216" t="s">
        <v>625</v>
      </c>
      <c r="C100" s="216" t="s">
        <v>389</v>
      </c>
      <c r="D100" s="216">
        <v>1.46E-2</v>
      </c>
      <c r="E100" s="216">
        <v>0.34289999999999998</v>
      </c>
      <c r="F100" s="216">
        <v>4.2115</v>
      </c>
      <c r="G100" s="216">
        <v>-0.55293999999999999</v>
      </c>
      <c r="H100" s="216">
        <v>0.21007000000000001</v>
      </c>
      <c r="I100" s="216">
        <v>-3.3E-4</v>
      </c>
      <c r="K100" s="25" t="s">
        <v>357</v>
      </c>
      <c r="L100" s="26" t="s">
        <v>358</v>
      </c>
      <c r="M100" s="27" t="s">
        <v>359</v>
      </c>
      <c r="N100" s="27" t="s">
        <v>360</v>
      </c>
      <c r="O100" s="27" t="s">
        <v>361</v>
      </c>
      <c r="P100" s="27" t="s">
        <v>362</v>
      </c>
      <c r="Q100" s="27" t="s">
        <v>363</v>
      </c>
      <c r="R100" s="28" t="s">
        <v>364</v>
      </c>
      <c r="S100" s="17"/>
      <c r="T100" s="29" t="s">
        <v>365</v>
      </c>
      <c r="U100" s="29" t="s">
        <v>358</v>
      </c>
      <c r="V100" s="30" t="s">
        <v>361</v>
      </c>
      <c r="W100" s="30" t="s">
        <v>362</v>
      </c>
      <c r="X100" s="30" t="s">
        <v>363</v>
      </c>
      <c r="Y100" s="29" t="s">
        <v>366</v>
      </c>
      <c r="Z100" s="31" t="s">
        <v>367</v>
      </c>
      <c r="AA100" s="23" t="s">
        <v>368</v>
      </c>
      <c r="AB100" s="23" t="s">
        <v>369</v>
      </c>
      <c r="AC100" s="22" t="s">
        <v>0</v>
      </c>
      <c r="AD100" s="22" t="s">
        <v>1</v>
      </c>
      <c r="AE100" s="22" t="s">
        <v>370</v>
      </c>
      <c r="AF100" s="22" t="s">
        <v>371</v>
      </c>
      <c r="AG100" s="22" t="s">
        <v>372</v>
      </c>
      <c r="AH100" s="32" t="s">
        <v>373</v>
      </c>
      <c r="AJ100" s="143" t="s">
        <v>365</v>
      </c>
      <c r="AK100" s="144" t="s">
        <v>498</v>
      </c>
      <c r="AL100" s="145"/>
      <c r="AM100" s="139"/>
      <c r="AN100" s="146" t="s">
        <v>499</v>
      </c>
      <c r="AO100" s="145"/>
      <c r="AP100" s="139"/>
      <c r="AQ100" s="147" t="s">
        <v>506</v>
      </c>
      <c r="AR100" s="48">
        <v>3500</v>
      </c>
      <c r="AS100" s="147" t="s">
        <v>405</v>
      </c>
      <c r="AT100" s="146" t="s">
        <v>512</v>
      </c>
      <c r="AU100" s="145"/>
      <c r="AV100" s="145"/>
      <c r="AW100" s="145"/>
      <c r="AX100" s="163" t="s">
        <v>532</v>
      </c>
      <c r="AY100" s="157" t="s">
        <v>515</v>
      </c>
      <c r="AZ100" s="169">
        <v>6.9</v>
      </c>
      <c r="BA100" s="171" t="str">
        <f>IF(MAX(AU104:AU105)&lt;=AZ100,"OK","REDIS")</f>
        <v>OK</v>
      </c>
      <c r="BB100" s="163" t="s">
        <v>536</v>
      </c>
      <c r="BC100" s="170" t="s">
        <v>515</v>
      </c>
      <c r="BD100" s="169">
        <v>8.36</v>
      </c>
      <c r="BE100" s="171" t="str">
        <f>IF(MAX(AU104:AU105)&lt;=BD100,"OK","REDIS")</f>
        <v>OK</v>
      </c>
      <c r="BG100" s="113"/>
      <c r="BH100" s="68"/>
      <c r="BI100" s="114"/>
      <c r="BJ100" s="45"/>
      <c r="BK100" s="63"/>
      <c r="BL100" s="63"/>
      <c r="BM100" s="63"/>
      <c r="BN100" s="70"/>
      <c r="BO100" s="70"/>
      <c r="BP100" s="44"/>
      <c r="BQ100" s="63"/>
      <c r="BR100" s="44"/>
      <c r="BS100" s="70"/>
      <c r="BT100" s="70"/>
      <c r="BU100" s="207"/>
      <c r="BV100" s="63"/>
    </row>
    <row r="101" spans="1:74" ht="15" hidden="1" x14ac:dyDescent="0.25">
      <c r="A101" s="216" t="s">
        <v>653</v>
      </c>
      <c r="B101" s="216" t="s">
        <v>351</v>
      </c>
      <c r="C101" s="216" t="s">
        <v>352</v>
      </c>
      <c r="D101" s="216">
        <v>-4.1000000000000003E-3</v>
      </c>
      <c r="E101" s="216">
        <v>-4.4900000000000002E-2</v>
      </c>
      <c r="F101" s="216">
        <v>5.2259000000000002</v>
      </c>
      <c r="G101" s="216">
        <v>4.8309999999999999E-2</v>
      </c>
      <c r="H101" s="216">
        <v>7.2819999999999996E-2</v>
      </c>
      <c r="I101" s="216">
        <v>-5.9909999999999999E-6</v>
      </c>
      <c r="K101" s="33" t="str">
        <f>+A101</f>
        <v>73</v>
      </c>
      <c r="L101" s="17" t="s">
        <v>374</v>
      </c>
      <c r="M101" s="34">
        <f t="shared" ref="M101:R101" si="120">D101+D102</f>
        <v>-9.0000000000000011E-3</v>
      </c>
      <c r="N101" s="34">
        <f t="shared" si="120"/>
        <v>-7.2900000000000006E-2</v>
      </c>
      <c r="O101" s="34">
        <f t="shared" si="120"/>
        <v>8.0227000000000004</v>
      </c>
      <c r="P101" s="34">
        <f t="shared" si="120"/>
        <v>7.9210000000000003E-2</v>
      </c>
      <c r="Q101" s="34">
        <f t="shared" si="120"/>
        <v>0.11491999999999999</v>
      </c>
      <c r="R101" s="35">
        <f t="shared" si="120"/>
        <v>-1.08E-5</v>
      </c>
      <c r="S101" s="17"/>
      <c r="T101" s="29" t="str">
        <f>K101</f>
        <v>73</v>
      </c>
      <c r="U101" s="29" t="s">
        <v>374</v>
      </c>
      <c r="V101" s="23">
        <f t="shared" ref="V101:X105" si="121">O101</f>
        <v>8.0227000000000004</v>
      </c>
      <c r="W101" s="23">
        <f t="shared" si="121"/>
        <v>7.9210000000000003E-2</v>
      </c>
      <c r="X101" s="23">
        <f t="shared" si="121"/>
        <v>0.11491999999999999</v>
      </c>
      <c r="Y101" s="29">
        <v>15</v>
      </c>
      <c r="Z101" s="31">
        <f>ABS(V101)/AC101/AD101</f>
        <v>6.6855833333333337</v>
      </c>
      <c r="AA101" s="23">
        <f>ABS(+W101/V101)</f>
        <v>9.8732346965485426E-3</v>
      </c>
      <c r="AB101" s="23">
        <f>ABS(X101/V101)</f>
        <v>1.4324354643698503E-2</v>
      </c>
      <c r="AC101" s="36">
        <v>0.8</v>
      </c>
      <c r="AD101" s="37">
        <v>1.5</v>
      </c>
      <c r="AE101" s="22">
        <f t="shared" ref="AE101:AF105" si="122">AC101-2*AA101</f>
        <v>0.78025353060690295</v>
      </c>
      <c r="AF101" s="22">
        <f t="shared" si="122"/>
        <v>1.471351290712603</v>
      </c>
      <c r="AG101" s="22">
        <f>AF101*AE101</f>
        <v>1.1480270393415322</v>
      </c>
      <c r="AH101" s="38">
        <f>V101/AG101</f>
        <v>6.9882500368645832</v>
      </c>
      <c r="AJ101" s="48" t="str">
        <f>+K101</f>
        <v>73</v>
      </c>
      <c r="AK101" s="147" t="s">
        <v>0</v>
      </c>
      <c r="AL101" s="147" t="s">
        <v>1</v>
      </c>
      <c r="AM101" s="147" t="s">
        <v>438</v>
      </c>
      <c r="AN101" s="147" t="s">
        <v>503</v>
      </c>
      <c r="AO101" s="147" t="s">
        <v>504</v>
      </c>
      <c r="AP101" s="147" t="s">
        <v>323</v>
      </c>
      <c r="AQ101" s="48"/>
      <c r="AR101" s="48"/>
      <c r="AS101" s="48"/>
      <c r="AT101" s="147" t="s">
        <v>0</v>
      </c>
      <c r="AU101" s="147" t="s">
        <v>1</v>
      </c>
      <c r="AV101" s="147" t="s">
        <v>513</v>
      </c>
      <c r="AW101" s="159" t="s">
        <v>520</v>
      </c>
      <c r="AX101" s="141" t="s">
        <v>530</v>
      </c>
      <c r="AY101" s="157" t="s">
        <v>178</v>
      </c>
      <c r="AZ101" s="44">
        <v>12</v>
      </c>
      <c r="BA101" s="172" t="str">
        <f>IF(AW104&lt;=AZ101,"OK","REDIS")</f>
        <v>OK</v>
      </c>
      <c r="BB101" s="141" t="s">
        <v>535</v>
      </c>
      <c r="BC101" s="120" t="s">
        <v>178</v>
      </c>
      <c r="BD101" s="44">
        <v>4.3</v>
      </c>
      <c r="BE101" s="172" t="str">
        <f>IF(AW104&lt;=BD101,"OK","REDIS")</f>
        <v>OK</v>
      </c>
      <c r="BG101" s="113"/>
      <c r="BH101" s="68"/>
      <c r="BI101" s="209"/>
      <c r="BJ101" s="134"/>
      <c r="BK101" s="135"/>
      <c r="BL101" s="63"/>
      <c r="BM101" s="125"/>
      <c r="BN101" s="133"/>
      <c r="BO101" s="44"/>
      <c r="BR101" s="135"/>
      <c r="BS101" s="63"/>
      <c r="BT101" s="125"/>
      <c r="BU101" s="133"/>
      <c r="BV101" s="44"/>
    </row>
    <row r="102" spans="1:74" ht="15" hidden="1" x14ac:dyDescent="0.25">
      <c r="A102" s="216" t="s">
        <v>653</v>
      </c>
      <c r="B102" s="216" t="s">
        <v>353</v>
      </c>
      <c r="C102" s="216" t="s">
        <v>352</v>
      </c>
      <c r="D102" s="216">
        <v>-4.8999999999999998E-3</v>
      </c>
      <c r="E102" s="216">
        <v>-2.8000000000000001E-2</v>
      </c>
      <c r="F102" s="216">
        <v>2.7968000000000002</v>
      </c>
      <c r="G102" s="216">
        <v>3.09E-2</v>
      </c>
      <c r="H102" s="216">
        <v>4.2099999999999999E-2</v>
      </c>
      <c r="I102" s="216">
        <v>-4.809E-6</v>
      </c>
      <c r="K102" s="33"/>
      <c r="L102" s="17" t="s">
        <v>375</v>
      </c>
      <c r="M102" s="34">
        <f t="shared" ref="M102:R102" si="123">D101+0.25*D102+D103</f>
        <v>-1.1418250000000001</v>
      </c>
      <c r="N102" s="34">
        <f t="shared" si="123"/>
        <v>-3.09E-2</v>
      </c>
      <c r="O102" s="34">
        <f t="shared" si="123"/>
        <v>5.7210000000000001</v>
      </c>
      <c r="P102" s="34">
        <f t="shared" si="123"/>
        <v>2.4085000000000002E-2</v>
      </c>
      <c r="Q102" s="34">
        <f t="shared" si="123"/>
        <v>-2.2899750000000001</v>
      </c>
      <c r="R102" s="35">
        <f t="shared" si="123"/>
        <v>-2.1573249999999999E-5</v>
      </c>
      <c r="S102" s="17"/>
      <c r="T102" s="29"/>
      <c r="U102" s="29" t="s">
        <v>375</v>
      </c>
      <c r="V102" s="23">
        <f t="shared" si="121"/>
        <v>5.7210000000000001</v>
      </c>
      <c r="W102" s="23">
        <f t="shared" si="121"/>
        <v>2.4085000000000002E-2</v>
      </c>
      <c r="X102" s="23">
        <f t="shared" si="121"/>
        <v>-2.2899750000000001</v>
      </c>
      <c r="Y102" s="29">
        <f>1.33*Y101</f>
        <v>19.950000000000003</v>
      </c>
      <c r="Z102" s="31">
        <f>ABS(V102)/AC102/AD102</f>
        <v>4.7675000000000001</v>
      </c>
      <c r="AA102" s="23">
        <f>ABS(+W102/V102)</f>
        <v>4.2099283342073067E-3</v>
      </c>
      <c r="AB102" s="23">
        <f>ABS(X102/V102)</f>
        <v>0.40027530152071317</v>
      </c>
      <c r="AC102" s="36">
        <f t="shared" ref="AC102:AD105" si="124">AC101</f>
        <v>0.8</v>
      </c>
      <c r="AD102" s="37">
        <f t="shared" si="124"/>
        <v>1.5</v>
      </c>
      <c r="AE102" s="22">
        <f t="shared" si="122"/>
        <v>0.79158014333158544</v>
      </c>
      <c r="AF102" s="22">
        <f t="shared" si="122"/>
        <v>0.69944939695857367</v>
      </c>
      <c r="AG102" s="22">
        <f>AF102*AE102</f>
        <v>0.55367025389765878</v>
      </c>
      <c r="AH102" s="38">
        <f>V102/AG102</f>
        <v>10.332865021600886</v>
      </c>
      <c r="AJ102" s="147" t="s">
        <v>539</v>
      </c>
      <c r="AK102" s="148">
        <v>300</v>
      </c>
      <c r="AL102" s="148">
        <v>160</v>
      </c>
      <c r="AM102" s="148">
        <v>4</v>
      </c>
      <c r="AN102" s="149">
        <v>450</v>
      </c>
      <c r="AO102" s="149">
        <v>250</v>
      </c>
      <c r="AP102" s="149">
        <v>25</v>
      </c>
      <c r="AQ102" s="48"/>
      <c r="AR102" s="48"/>
      <c r="AS102" s="48"/>
      <c r="AT102" s="48">
        <v>3</v>
      </c>
      <c r="AU102" s="48">
        <v>3</v>
      </c>
      <c r="AV102" s="149">
        <f>+AT102*2+(AU102-2)*2</f>
        <v>8</v>
      </c>
      <c r="AW102" s="159">
        <v>1.2</v>
      </c>
      <c r="AX102" s="155" t="s">
        <v>538</v>
      </c>
      <c r="AY102" s="180">
        <f>+AV102</f>
        <v>8</v>
      </c>
      <c r="BA102" s="154"/>
      <c r="BB102" s="177" t="s">
        <v>537</v>
      </c>
      <c r="BC102" s="179">
        <v>1</v>
      </c>
      <c r="BD102" s="166" t="s">
        <v>526</v>
      </c>
      <c r="BE102" s="154"/>
      <c r="BG102" s="113"/>
      <c r="BH102" s="68"/>
      <c r="BI102" s="136"/>
      <c r="BJ102" s="128"/>
      <c r="BK102" s="111"/>
      <c r="BL102" s="16"/>
      <c r="BM102" s="63"/>
      <c r="BN102" s="44"/>
      <c r="BO102" s="126"/>
      <c r="BR102" s="111"/>
      <c r="BS102" s="16"/>
      <c r="BT102" s="63"/>
      <c r="BU102" s="44"/>
      <c r="BV102" s="126"/>
    </row>
    <row r="103" spans="1:74" ht="15" hidden="1" x14ac:dyDescent="0.25">
      <c r="A103" s="216" t="s">
        <v>653</v>
      </c>
      <c r="B103" s="216" t="s">
        <v>354</v>
      </c>
      <c r="C103" s="216" t="s">
        <v>352</v>
      </c>
      <c r="D103" s="216">
        <v>-1.1365000000000001</v>
      </c>
      <c r="E103" s="216">
        <v>2.1000000000000001E-2</v>
      </c>
      <c r="F103" s="216">
        <v>-0.2041</v>
      </c>
      <c r="G103" s="216">
        <v>-3.1949999999999999E-2</v>
      </c>
      <c r="H103" s="216">
        <v>-2.3733200000000001</v>
      </c>
      <c r="I103" s="216">
        <v>-1.438E-5</v>
      </c>
      <c r="K103" s="33"/>
      <c r="L103" s="17" t="s">
        <v>376</v>
      </c>
      <c r="M103" s="34">
        <f t="shared" ref="M103:R103" si="125">D101+0.25*D102-D103</f>
        <v>1.131175</v>
      </c>
      <c r="N103" s="34">
        <f t="shared" si="125"/>
        <v>-7.2900000000000006E-2</v>
      </c>
      <c r="O103" s="34">
        <f t="shared" si="125"/>
        <v>6.1292000000000009</v>
      </c>
      <c r="P103" s="34">
        <f t="shared" si="125"/>
        <v>8.7985000000000008E-2</v>
      </c>
      <c r="Q103" s="34">
        <f t="shared" si="125"/>
        <v>2.4566650000000001</v>
      </c>
      <c r="R103" s="35">
        <f t="shared" si="125"/>
        <v>7.1867499999999994E-6</v>
      </c>
      <c r="S103" s="17"/>
      <c r="T103" s="29"/>
      <c r="U103" s="29" t="s">
        <v>376</v>
      </c>
      <c r="V103" s="23">
        <f t="shared" si="121"/>
        <v>6.1292000000000009</v>
      </c>
      <c r="W103" s="23">
        <f t="shared" si="121"/>
        <v>8.7985000000000008E-2</v>
      </c>
      <c r="X103" s="23">
        <f t="shared" si="121"/>
        <v>2.4566650000000001</v>
      </c>
      <c r="Y103" s="29"/>
      <c r="Z103" s="31">
        <f>ABS(V103)/AC103/AD103</f>
        <v>5.1076666666666677</v>
      </c>
      <c r="AA103" s="23">
        <f>ABS(+W103/V103)</f>
        <v>1.4355054493245447E-2</v>
      </c>
      <c r="AB103" s="23">
        <f>ABS(X103/V103)</f>
        <v>0.40081331984598312</v>
      </c>
      <c r="AC103" s="36">
        <f t="shared" si="124"/>
        <v>0.8</v>
      </c>
      <c r="AD103" s="37">
        <f t="shared" si="124"/>
        <v>1.5</v>
      </c>
      <c r="AE103" s="22">
        <f t="shared" si="122"/>
        <v>0.7712898910135092</v>
      </c>
      <c r="AF103" s="22">
        <f t="shared" si="122"/>
        <v>0.69837336030803376</v>
      </c>
      <c r="AG103" s="22">
        <f>AF103*AE103</f>
        <v>0.53864831295872151</v>
      </c>
      <c r="AH103" s="38">
        <f>V103/AG103</f>
        <v>11.37885305225063</v>
      </c>
      <c r="AJ103" s="146" t="s">
        <v>514</v>
      </c>
      <c r="AK103" s="145"/>
      <c r="AL103" s="145"/>
      <c r="AM103" s="145"/>
      <c r="AN103" s="139"/>
      <c r="AO103" s="146" t="s">
        <v>507</v>
      </c>
      <c r="AP103" s="145" t="s">
        <v>626</v>
      </c>
      <c r="AQ103" s="145">
        <f>0.6*AR100</f>
        <v>2100</v>
      </c>
      <c r="AR103" s="212" t="s">
        <v>627</v>
      </c>
      <c r="AS103" s="211">
        <f>+AR104+AR105</f>
        <v>2099.5410000000002</v>
      </c>
      <c r="AT103" s="48" t="s">
        <v>515</v>
      </c>
      <c r="AU103" s="48"/>
      <c r="AV103" s="48" t="s">
        <v>518</v>
      </c>
      <c r="AW103" s="160"/>
      <c r="AX103" s="155" t="s">
        <v>524</v>
      </c>
      <c r="AY103" s="182">
        <f>IF(BC102=(1+1/4),+(1+3/8),IF(BC102=1,(1+1/8),IF(BC102=(7/8),1,IF(BC102=(3/4),+(7/8),IF(BC102=(5/8),+(3/4),IF(BC102=(1/2),(9/16),IF(BC102=(3/8),+(7/16),"no valido")))))))</f>
        <v>1.125</v>
      </c>
      <c r="AZ103" s="165" t="s">
        <v>526</v>
      </c>
      <c r="BA103" s="172" t="s">
        <v>531</v>
      </c>
      <c r="BB103" s="178" t="s">
        <v>529</v>
      </c>
      <c r="BC103" s="158">
        <f>+AY104+3</f>
        <v>12</v>
      </c>
      <c r="BD103" s="166" t="s">
        <v>526</v>
      </c>
      <c r="BE103" s="172" t="s">
        <v>531</v>
      </c>
      <c r="BG103" s="113"/>
      <c r="BH103" s="68"/>
      <c r="BI103" s="136"/>
      <c r="BJ103" s="128"/>
      <c r="BM103" s="137"/>
      <c r="BN103" s="63"/>
      <c r="BO103" s="125"/>
      <c r="BT103" s="137"/>
      <c r="BU103" s="63"/>
      <c r="BV103" s="125"/>
    </row>
    <row r="104" spans="1:74" ht="15" hidden="1" x14ac:dyDescent="0.25">
      <c r="A104" s="216" t="s">
        <v>653</v>
      </c>
      <c r="B104" s="216" t="s">
        <v>355</v>
      </c>
      <c r="C104" s="216" t="s">
        <v>352</v>
      </c>
      <c r="D104" s="216">
        <v>3.3500000000000002E-2</v>
      </c>
      <c r="E104" s="216">
        <v>-0.30349999999999999</v>
      </c>
      <c r="F104" s="216">
        <v>-0.46689999999999998</v>
      </c>
      <c r="G104" s="216">
        <v>0.51517000000000002</v>
      </c>
      <c r="H104" s="216">
        <v>8.2699999999999996E-2</v>
      </c>
      <c r="I104" s="216">
        <v>1.2E-4</v>
      </c>
      <c r="K104" s="33"/>
      <c r="L104" s="17" t="s">
        <v>377</v>
      </c>
      <c r="M104" s="34">
        <f t="shared" ref="M104:R104" si="126">D101+0.25*D102+D104</f>
        <v>2.8175000000000002E-2</v>
      </c>
      <c r="N104" s="34">
        <f t="shared" si="126"/>
        <v>-0.35539999999999999</v>
      </c>
      <c r="O104" s="34">
        <f t="shared" si="126"/>
        <v>5.4582000000000006</v>
      </c>
      <c r="P104" s="34">
        <f t="shared" si="126"/>
        <v>0.57120499999999996</v>
      </c>
      <c r="Q104" s="34">
        <f t="shared" si="126"/>
        <v>0.166045</v>
      </c>
      <c r="R104" s="35">
        <f t="shared" si="126"/>
        <v>1.1280675E-4</v>
      </c>
      <c r="S104" s="17"/>
      <c r="T104" s="29"/>
      <c r="U104" s="29" t="s">
        <v>377</v>
      </c>
      <c r="V104" s="23">
        <f t="shared" si="121"/>
        <v>5.4582000000000006</v>
      </c>
      <c r="W104" s="23">
        <f t="shared" si="121"/>
        <v>0.57120499999999996</v>
      </c>
      <c r="X104" s="23">
        <f t="shared" si="121"/>
        <v>0.166045</v>
      </c>
      <c r="Y104" s="29"/>
      <c r="Z104" s="31">
        <f>ABS(V104)/AC104/AD104</f>
        <v>4.5484999999999998</v>
      </c>
      <c r="AA104" s="23">
        <f>ABS(+W104/V104)</f>
        <v>0.10465080063024439</v>
      </c>
      <c r="AB104" s="23">
        <f>ABS(X104/V104)</f>
        <v>3.0421201128577182E-2</v>
      </c>
      <c r="AC104" s="36">
        <f t="shared" si="124"/>
        <v>0.8</v>
      </c>
      <c r="AD104" s="37">
        <f t="shared" si="124"/>
        <v>1.5</v>
      </c>
      <c r="AE104" s="22">
        <f t="shared" si="122"/>
        <v>0.59069839873951124</v>
      </c>
      <c r="AF104" s="22">
        <f t="shared" si="122"/>
        <v>1.4391575977428457</v>
      </c>
      <c r="AG104" s="22">
        <f>AF104*AE104</f>
        <v>0.85010808852050057</v>
      </c>
      <c r="AH104" s="38">
        <f>V104/AG104</f>
        <v>6.4205953027682252</v>
      </c>
      <c r="AJ104" s="147" t="s">
        <v>500</v>
      </c>
      <c r="AK104" s="24">
        <f>(MAX(V101:V105)+ABS(MAX(W101:W105))/(AL102/1000))*1000</f>
        <v>11592.731250000001</v>
      </c>
      <c r="AL104" s="150" t="s">
        <v>502</v>
      </c>
      <c r="AM104" s="24">
        <f>+ABS(MAX(AK104:AK105))/(+AK102*2/10+AL102*2/10)/(AP102/10)</f>
        <v>70.485144927536254</v>
      </c>
      <c r="AN104" s="151" t="str">
        <f>IF(AM104&lt;=AM105,"OK","REDIS")</f>
        <v>OK</v>
      </c>
      <c r="AO104" s="150" t="s">
        <v>508</v>
      </c>
      <c r="AP104" s="24">
        <f>((AO102/10/2-AL102/10/2)/2)*((MAX(ABS(MAX(W101:W105)),ABS(MIN(W101:W105)))*100000))/(AL102/10)</f>
        <v>8032.5703124999991</v>
      </c>
      <c r="AQ104" s="150" t="s">
        <v>510</v>
      </c>
      <c r="AR104" s="24">
        <f>+AP104/(AK102*AP102*AP102/6/10/10/10)</f>
        <v>257.04224999999997</v>
      </c>
      <c r="AS104" s="152" t="str">
        <f>IF(AR104&lt;=0.6*AR100*1.1,"OK","REDIS")</f>
        <v>OK</v>
      </c>
      <c r="AT104" s="24" t="s">
        <v>516</v>
      </c>
      <c r="AU104" s="174">
        <f>+AW102*(AP104/100000)/((AO102-AL102)/1000/4)/(AT102-1)</f>
        <v>2.1420187500000001</v>
      </c>
      <c r="AV104" s="24" t="s">
        <v>519</v>
      </c>
      <c r="AW104" s="175">
        <f>+AW102*(ABS(MAX(M101:M105))+ABS(MIN(M101:M105)+ABS(MAX(N101:N105))+ABS(MIN(N101:N105))))/AV102</f>
        <v>0.24990000000000001</v>
      </c>
      <c r="AX104" s="155" t="s">
        <v>525</v>
      </c>
      <c r="AY104" s="182">
        <f>IF(BC102=(1+1/4),+(11-1/4),IF(BC102=1,(9),IF(BC102=(7/8),(7-7/8),IF(BC102=(3/4),+(6-3/4),IF(BC102=(5/8),+(5-5/8),IF(BC102=(1/2),(4-1/2),IF(BC102=(3-3/8),+(7/16),"no valido")))))))</f>
        <v>9</v>
      </c>
      <c r="AZ104" s="166" t="s">
        <v>526</v>
      </c>
      <c r="BA104" s="168" t="s">
        <v>533</v>
      </c>
      <c r="BB104" s="153" t="s">
        <v>521</v>
      </c>
      <c r="BC104" s="44">
        <f>+AV102</f>
        <v>8</v>
      </c>
      <c r="BD104" s="166" t="s">
        <v>527</v>
      </c>
      <c r="BE104" s="162" t="s">
        <v>534</v>
      </c>
      <c r="BG104" s="113"/>
      <c r="BH104" s="68"/>
      <c r="BI104" s="136"/>
      <c r="BJ104" s="138"/>
      <c r="BM104" s="125"/>
      <c r="BN104" s="133"/>
      <c r="BO104" s="44"/>
      <c r="BT104" s="125"/>
      <c r="BU104" s="133"/>
      <c r="BV104" s="44"/>
    </row>
    <row r="105" spans="1:74" ht="15" hidden="1" x14ac:dyDescent="0.25">
      <c r="A105" s="216" t="s">
        <v>653</v>
      </c>
      <c r="B105" s="216" t="s">
        <v>624</v>
      </c>
      <c r="C105" s="216" t="s">
        <v>389</v>
      </c>
      <c r="D105" s="216">
        <v>-5.7000000000000002E-3</v>
      </c>
      <c r="E105" s="216">
        <v>-6.2899999999999998E-2</v>
      </c>
      <c r="F105" s="216">
        <v>7.3162000000000003</v>
      </c>
      <c r="G105" s="216">
        <v>6.7629999999999996E-2</v>
      </c>
      <c r="H105" s="216">
        <v>0.10195</v>
      </c>
      <c r="I105" s="216">
        <v>-8.388E-6</v>
      </c>
      <c r="K105" s="39"/>
      <c r="L105" s="40" t="s">
        <v>378</v>
      </c>
      <c r="M105" s="41">
        <f t="shared" ref="M105:R105" si="127">D101+0.25*D102-D104</f>
        <v>-3.8824999999999998E-2</v>
      </c>
      <c r="N105" s="41">
        <f t="shared" si="127"/>
        <v>0.25159999999999999</v>
      </c>
      <c r="O105" s="41">
        <f t="shared" si="127"/>
        <v>6.3920000000000003</v>
      </c>
      <c r="P105" s="41">
        <f t="shared" si="127"/>
        <v>-0.45913500000000002</v>
      </c>
      <c r="Q105" s="41">
        <f t="shared" si="127"/>
        <v>6.4500000000000668E-4</v>
      </c>
      <c r="R105" s="42">
        <f t="shared" si="127"/>
        <v>-1.2719325E-4</v>
      </c>
      <c r="S105" s="17"/>
      <c r="T105" s="29"/>
      <c r="U105" s="29" t="s">
        <v>378</v>
      </c>
      <c r="V105" s="23">
        <f t="shared" si="121"/>
        <v>6.3920000000000003</v>
      </c>
      <c r="W105" s="23">
        <f t="shared" si="121"/>
        <v>-0.45913500000000002</v>
      </c>
      <c r="X105" s="23">
        <f t="shared" si="121"/>
        <v>6.4500000000000668E-4</v>
      </c>
      <c r="Y105" s="29"/>
      <c r="Z105" s="31">
        <f>ABS(V105)/AC105/AD105</f>
        <v>5.3266666666666671</v>
      </c>
      <c r="AA105" s="23">
        <f>ABS(+W105/V105)</f>
        <v>7.1829630788485602E-2</v>
      </c>
      <c r="AB105" s="23">
        <f>ABS(X105/V105)</f>
        <v>1.009073842302889E-4</v>
      </c>
      <c r="AC105" s="36">
        <f t="shared" si="124"/>
        <v>0.8</v>
      </c>
      <c r="AD105" s="37">
        <f t="shared" si="124"/>
        <v>1.5</v>
      </c>
      <c r="AE105" s="22">
        <f t="shared" si="122"/>
        <v>0.65634073842302887</v>
      </c>
      <c r="AF105" s="22">
        <f t="shared" si="122"/>
        <v>1.4997981852315394</v>
      </c>
      <c r="AG105" s="22">
        <f>AF105*AE105</f>
        <v>0.98437864838038724</v>
      </c>
      <c r="AH105" s="38">
        <f>V105/AG105</f>
        <v>6.4934362508947672</v>
      </c>
      <c r="AJ105" s="147" t="s">
        <v>501</v>
      </c>
      <c r="AK105" s="24">
        <f>(MAX(V101:V105)+ABS(MAX(X101:X105))/(AK102/1000))*1000</f>
        <v>16211.583333333338</v>
      </c>
      <c r="AL105" s="150" t="s">
        <v>505</v>
      </c>
      <c r="AM105" s="24">
        <f>+AR100*0.4/3</f>
        <v>466.66666666666669</v>
      </c>
      <c r="AN105" s="24"/>
      <c r="AO105" s="150" t="s">
        <v>509</v>
      </c>
      <c r="AP105" s="24">
        <f>((AN102/10/2-AK102/10/2)/2)*(MAX(+ABS(MAX(X101:X105)),ABS(MIN(X101:X105)))*100000/(AK102/10))</f>
        <v>30708.3125</v>
      </c>
      <c r="AQ105" s="150" t="s">
        <v>511</v>
      </c>
      <c r="AR105" s="24">
        <f>+AP105/(AL102*AP102*AP102/6/1000)</f>
        <v>1842.49875</v>
      </c>
      <c r="AS105" s="152" t="str">
        <f>IF(AR105&lt;=0.6*AR100*1.1,"OK","REDIS")</f>
        <v>OK</v>
      </c>
      <c r="AT105" s="24" t="s">
        <v>517</v>
      </c>
      <c r="AU105" s="174">
        <f>+AW102*(AP105/100000)/((AN102-AK102)/1000/4)/(AU102-1)</f>
        <v>4.9133300000000002</v>
      </c>
      <c r="AV105" s="24"/>
      <c r="AW105" s="161"/>
      <c r="AX105" s="156" t="s">
        <v>522</v>
      </c>
      <c r="AY105" s="181">
        <f>IF(AY103=(1+3/8),+AV102/3,IF(AY103=(1+1/8),+AV102/6,IF(AY103=1,+AV102/8,IF(AY103=(7/8),+AV102/11,IF(AY103=0.75,+AV102/18,IF(AY103=(9/16),+AV102/45,IF(AY103=(7/16),+AV102/84,"NO HAY DATO")))))))</f>
        <v>1.3333333333333333</v>
      </c>
      <c r="AZ105" s="167" t="s">
        <v>527</v>
      </c>
      <c r="BA105" s="176"/>
      <c r="BB105" s="164" t="s">
        <v>523</v>
      </c>
      <c r="BC105" s="129">
        <f>+BC104*BC103*2.54/100</f>
        <v>2.4384000000000001</v>
      </c>
      <c r="BD105" s="173" t="s">
        <v>528</v>
      </c>
      <c r="BE105" s="130"/>
      <c r="BG105" s="9"/>
    </row>
    <row r="106" spans="1:74" ht="15" hidden="1" x14ac:dyDescent="0.25">
      <c r="A106" s="216" t="s">
        <v>653</v>
      </c>
      <c r="B106" s="216" t="s">
        <v>625</v>
      </c>
      <c r="C106" s="216" t="s">
        <v>389</v>
      </c>
      <c r="D106" s="216">
        <v>-3.6700000000000003E-2</v>
      </c>
      <c r="E106" s="216">
        <v>0.2676</v>
      </c>
      <c r="F106" s="216">
        <v>4.6475999999999997</v>
      </c>
      <c r="G106" s="216">
        <v>-0.47652</v>
      </c>
      <c r="H106" s="216">
        <v>-2.444E-2</v>
      </c>
      <c r="I106" s="216">
        <v>-1.2E-4</v>
      </c>
      <c r="K106" s="25" t="s">
        <v>357</v>
      </c>
      <c r="L106" s="26" t="s">
        <v>358</v>
      </c>
      <c r="M106" s="27" t="s">
        <v>359</v>
      </c>
      <c r="N106" s="27" t="s">
        <v>360</v>
      </c>
      <c r="O106" s="27" t="s">
        <v>361</v>
      </c>
      <c r="P106" s="27" t="s">
        <v>362</v>
      </c>
      <c r="Q106" s="27" t="s">
        <v>363</v>
      </c>
      <c r="R106" s="28" t="s">
        <v>364</v>
      </c>
      <c r="S106" s="17"/>
      <c r="T106" s="29" t="s">
        <v>365</v>
      </c>
      <c r="U106" s="29" t="s">
        <v>358</v>
      </c>
      <c r="V106" s="30" t="s">
        <v>361</v>
      </c>
      <c r="W106" s="30" t="s">
        <v>362</v>
      </c>
      <c r="X106" s="30" t="s">
        <v>363</v>
      </c>
      <c r="Y106" s="29" t="s">
        <v>366</v>
      </c>
      <c r="Z106" s="31" t="s">
        <v>367</v>
      </c>
      <c r="AA106" s="23" t="s">
        <v>368</v>
      </c>
      <c r="AB106" s="23" t="s">
        <v>369</v>
      </c>
      <c r="AC106" s="22" t="s">
        <v>0</v>
      </c>
      <c r="AD106" s="22" t="s">
        <v>1</v>
      </c>
      <c r="AE106" s="22" t="s">
        <v>370</v>
      </c>
      <c r="AF106" s="22" t="s">
        <v>371</v>
      </c>
      <c r="AG106" s="22" t="s">
        <v>372</v>
      </c>
      <c r="AH106" s="32" t="s">
        <v>373</v>
      </c>
      <c r="AJ106" s="143" t="s">
        <v>365</v>
      </c>
      <c r="AK106" s="144" t="s">
        <v>498</v>
      </c>
      <c r="AL106" s="145"/>
      <c r="AM106" s="139"/>
      <c r="AN106" s="146" t="s">
        <v>499</v>
      </c>
      <c r="AO106" s="145"/>
      <c r="AP106" s="139"/>
      <c r="AQ106" s="147" t="s">
        <v>506</v>
      </c>
      <c r="AR106" s="48">
        <v>3500</v>
      </c>
      <c r="AS106" s="147" t="s">
        <v>405</v>
      </c>
      <c r="AT106" s="146" t="s">
        <v>512</v>
      </c>
      <c r="AU106" s="145"/>
      <c r="AV106" s="145"/>
      <c r="AW106" s="145"/>
      <c r="AX106" s="163" t="s">
        <v>532</v>
      </c>
      <c r="AY106" s="157" t="s">
        <v>515</v>
      </c>
      <c r="AZ106" s="169">
        <v>6.9</v>
      </c>
      <c r="BA106" s="171" t="str">
        <f>IF(MAX(AU110:AU111)&lt;=AZ106,"OK","REDIS")</f>
        <v>OK</v>
      </c>
      <c r="BB106" s="163" t="s">
        <v>536</v>
      </c>
      <c r="BC106" s="170" t="s">
        <v>515</v>
      </c>
      <c r="BD106" s="169">
        <v>8.36</v>
      </c>
      <c r="BE106" s="171" t="str">
        <f>IF(MAX(AU110:AU111)&lt;=BD106,"OK","REDIS")</f>
        <v>OK</v>
      </c>
      <c r="BG106" s="109"/>
      <c r="BH106" s="142"/>
      <c r="BJ106" s="109"/>
      <c r="BK106" s="142"/>
      <c r="BM106" s="110"/>
      <c r="BN106" s="110"/>
      <c r="BO106" s="110"/>
      <c r="BP106" s="110"/>
    </row>
    <row r="107" spans="1:74" ht="15" hidden="1" x14ac:dyDescent="0.25">
      <c r="A107" s="216" t="s">
        <v>654</v>
      </c>
      <c r="B107" s="216" t="s">
        <v>351</v>
      </c>
      <c r="C107" s="216" t="s">
        <v>352</v>
      </c>
      <c r="D107" s="216">
        <v>0.38200000000000001</v>
      </c>
      <c r="E107" s="216">
        <v>-4.4939999999999997E-4</v>
      </c>
      <c r="F107" s="216">
        <v>1.6013999999999999</v>
      </c>
      <c r="G107" s="216">
        <v>4.7710000000000002E-5</v>
      </c>
      <c r="H107" s="216">
        <v>0.41931000000000002</v>
      </c>
      <c r="I107" s="216">
        <v>-1.808E-5</v>
      </c>
      <c r="K107" s="33" t="str">
        <f>+A107</f>
        <v>74</v>
      </c>
      <c r="L107" s="17" t="s">
        <v>374</v>
      </c>
      <c r="M107" s="34">
        <f t="shared" ref="M107:R107" si="128">D107+D108</f>
        <v>0.51070000000000004</v>
      </c>
      <c r="N107" s="34">
        <f t="shared" si="128"/>
        <v>-9.2460000000000003E-4</v>
      </c>
      <c r="O107" s="34">
        <f t="shared" si="128"/>
        <v>2.1795</v>
      </c>
      <c r="P107" s="34">
        <f t="shared" si="128"/>
        <v>4.9770999999999995E-4</v>
      </c>
      <c r="Q107" s="34">
        <f t="shared" si="128"/>
        <v>0.55725000000000002</v>
      </c>
      <c r="R107" s="35">
        <f t="shared" si="128"/>
        <v>-2.4207999999999999E-5</v>
      </c>
      <c r="S107" s="17"/>
      <c r="T107" s="29" t="str">
        <f>K107</f>
        <v>74</v>
      </c>
      <c r="U107" s="29" t="s">
        <v>374</v>
      </c>
      <c r="V107" s="23">
        <f t="shared" ref="V107:X111" si="129">O107</f>
        <v>2.1795</v>
      </c>
      <c r="W107" s="23">
        <f t="shared" si="129"/>
        <v>4.9770999999999995E-4</v>
      </c>
      <c r="X107" s="23">
        <f t="shared" si="129"/>
        <v>0.55725000000000002</v>
      </c>
      <c r="Y107" s="29">
        <v>15</v>
      </c>
      <c r="Z107" s="31">
        <f>ABS(V107)/AC107/AD107</f>
        <v>0.80128676470588234</v>
      </c>
      <c r="AA107" s="23">
        <f>ABS(+W107/V107)</f>
        <v>2.2835971553108509E-4</v>
      </c>
      <c r="AB107" s="23">
        <f>ABS(X107/V107)</f>
        <v>0.2556779077770131</v>
      </c>
      <c r="AC107" s="36">
        <v>0.8</v>
      </c>
      <c r="AD107" s="37">
        <v>3.4</v>
      </c>
      <c r="AE107" s="22">
        <f t="shared" ref="AE107:AF111" si="130">AC107-2*AA107</f>
        <v>0.79954328056893786</v>
      </c>
      <c r="AF107" s="22">
        <f t="shared" si="130"/>
        <v>2.8886441844459738</v>
      </c>
      <c r="AG107" s="22">
        <f>AF107*AE107</f>
        <v>2.3095960476283182</v>
      </c>
      <c r="AH107" s="38">
        <f>V107/AG107</f>
        <v>0.94367151443564712</v>
      </c>
      <c r="AJ107" s="48" t="str">
        <f>+K107</f>
        <v>74</v>
      </c>
      <c r="AK107" s="147" t="s">
        <v>0</v>
      </c>
      <c r="AL107" s="147" t="s">
        <v>1</v>
      </c>
      <c r="AM107" s="147" t="s">
        <v>438</v>
      </c>
      <c r="AN107" s="147" t="s">
        <v>503</v>
      </c>
      <c r="AO107" s="147" t="s">
        <v>504</v>
      </c>
      <c r="AP107" s="147" t="s">
        <v>323</v>
      </c>
      <c r="AQ107" s="48"/>
      <c r="AR107" s="48"/>
      <c r="AS107" s="48"/>
      <c r="AT107" s="147" t="s">
        <v>0</v>
      </c>
      <c r="AU107" s="147" t="s">
        <v>1</v>
      </c>
      <c r="AV107" s="147" t="s">
        <v>513</v>
      </c>
      <c r="AW107" s="159" t="s">
        <v>520</v>
      </c>
      <c r="AX107" s="141" t="s">
        <v>530</v>
      </c>
      <c r="AY107" s="157" t="s">
        <v>178</v>
      </c>
      <c r="AZ107" s="44">
        <v>12</v>
      </c>
      <c r="BA107" s="172" t="str">
        <f>IF(AW110&lt;=AZ107,"OK","REDIS")</f>
        <v>OK</v>
      </c>
      <c r="BB107" s="141" t="s">
        <v>535</v>
      </c>
      <c r="BC107" s="120" t="s">
        <v>178</v>
      </c>
      <c r="BD107" s="44">
        <v>4.3</v>
      </c>
      <c r="BE107" s="172" t="str">
        <f>IF(AW110&lt;=BD107,"OK","REDIS")</f>
        <v>OK</v>
      </c>
      <c r="BG107" s="111"/>
      <c r="BH107" s="9"/>
      <c r="BI107" s="125"/>
      <c r="BJ107" s="125"/>
      <c r="BK107" s="44"/>
      <c r="BL107" s="44"/>
      <c r="BM107" s="126"/>
      <c r="BN107" s="44"/>
      <c r="BO107" s="44"/>
      <c r="BP107" s="44"/>
      <c r="BQ107" s="126"/>
      <c r="BR107" s="44"/>
      <c r="BS107" s="44"/>
      <c r="BT107" s="44"/>
      <c r="BU107" s="44"/>
      <c r="BV107" s="44"/>
    </row>
    <row r="108" spans="1:74" ht="15" hidden="1" x14ac:dyDescent="0.25">
      <c r="A108" s="216" t="s">
        <v>654</v>
      </c>
      <c r="B108" s="216" t="s">
        <v>353</v>
      </c>
      <c r="C108" s="216" t="s">
        <v>352</v>
      </c>
      <c r="D108" s="216">
        <v>0.12870000000000001</v>
      </c>
      <c r="E108" s="216">
        <v>-4.752E-4</v>
      </c>
      <c r="F108" s="216">
        <v>0.57809999999999995</v>
      </c>
      <c r="G108" s="216">
        <v>4.4999999999999999E-4</v>
      </c>
      <c r="H108" s="216">
        <v>0.13794000000000001</v>
      </c>
      <c r="I108" s="216">
        <v>-6.1279999999999996E-6</v>
      </c>
      <c r="K108" s="33"/>
      <c r="L108" s="17" t="s">
        <v>375</v>
      </c>
      <c r="M108" s="34">
        <f t="shared" ref="M108:R108" si="131">D107+0.25*D108+D109</f>
        <v>0.18487500000000001</v>
      </c>
      <c r="N108" s="34">
        <f t="shared" si="131"/>
        <v>-1.3389000000000001E-3</v>
      </c>
      <c r="O108" s="34">
        <f t="shared" si="131"/>
        <v>1.610625</v>
      </c>
      <c r="P108" s="34">
        <f t="shared" si="131"/>
        <v>2.30021E-3</v>
      </c>
      <c r="Q108" s="34">
        <f t="shared" si="131"/>
        <v>8.4284999999999999E-2</v>
      </c>
      <c r="R108" s="35">
        <f t="shared" si="131"/>
        <v>1.0917999999999999E-5</v>
      </c>
      <c r="S108" s="17"/>
      <c r="T108" s="29"/>
      <c r="U108" s="29" t="s">
        <v>375</v>
      </c>
      <c r="V108" s="23">
        <f t="shared" si="129"/>
        <v>1.610625</v>
      </c>
      <c r="W108" s="23">
        <f t="shared" si="129"/>
        <v>2.30021E-3</v>
      </c>
      <c r="X108" s="23">
        <f t="shared" si="129"/>
        <v>8.4284999999999999E-2</v>
      </c>
      <c r="Y108" s="29">
        <f>1.33*Y107</f>
        <v>19.950000000000003</v>
      </c>
      <c r="Z108" s="31">
        <f>ABS(V108)/AC108/AD108</f>
        <v>0.59214154411764708</v>
      </c>
      <c r="AA108" s="23">
        <f>ABS(+W108/V108)</f>
        <v>1.4281474582848275E-3</v>
      </c>
      <c r="AB108" s="23">
        <f>ABS(X108/V108)</f>
        <v>5.2330616996507567E-2</v>
      </c>
      <c r="AC108" s="36">
        <f>+AC107</f>
        <v>0.8</v>
      </c>
      <c r="AD108" s="37">
        <f>AD107</f>
        <v>3.4</v>
      </c>
      <c r="AE108" s="22">
        <f t="shared" si="130"/>
        <v>0.79714370508343035</v>
      </c>
      <c r="AF108" s="22">
        <f t="shared" si="130"/>
        <v>3.2953387660069846</v>
      </c>
      <c r="AG108" s="22">
        <f>AF108*AE108</f>
        <v>2.6268585534398672</v>
      </c>
      <c r="AH108" s="38">
        <f>V108/AG108</f>
        <v>0.6131373148702236</v>
      </c>
      <c r="AJ108" s="147" t="s">
        <v>539</v>
      </c>
      <c r="AK108" s="148">
        <v>300</v>
      </c>
      <c r="AL108" s="148">
        <v>160</v>
      </c>
      <c r="AM108" s="148">
        <v>4</v>
      </c>
      <c r="AN108" s="149">
        <v>450</v>
      </c>
      <c r="AO108" s="149">
        <v>250</v>
      </c>
      <c r="AP108" s="149">
        <v>25</v>
      </c>
      <c r="AQ108" s="48"/>
      <c r="AR108" s="48"/>
      <c r="AS108" s="48"/>
      <c r="AT108" s="48">
        <v>3</v>
      </c>
      <c r="AU108" s="48">
        <v>3</v>
      </c>
      <c r="AV108" s="149">
        <f>+AT108*2+(AU108-2)*2</f>
        <v>8</v>
      </c>
      <c r="AW108" s="159">
        <v>1.2</v>
      </c>
      <c r="AX108" s="155" t="s">
        <v>538</v>
      </c>
      <c r="AY108" s="180">
        <f>+AV108</f>
        <v>8</v>
      </c>
      <c r="BA108" s="154"/>
      <c r="BB108" s="177" t="s">
        <v>537</v>
      </c>
      <c r="BC108" s="179">
        <v>1</v>
      </c>
      <c r="BD108" s="166" t="s">
        <v>526</v>
      </c>
      <c r="BE108" s="154"/>
      <c r="BG108" s="9"/>
      <c r="BH108" s="16"/>
      <c r="BI108" s="208"/>
      <c r="BJ108" s="124"/>
      <c r="BK108" s="63"/>
      <c r="BL108" s="63"/>
      <c r="BM108" s="125"/>
      <c r="BN108" s="133"/>
      <c r="BO108" s="44"/>
      <c r="BP108" s="64"/>
      <c r="BQ108" s="125"/>
      <c r="BS108" s="63"/>
      <c r="BT108" s="63"/>
      <c r="BU108" s="63"/>
      <c r="BV108" s="63"/>
    </row>
    <row r="109" spans="1:74" ht="15" hidden="1" x14ac:dyDescent="0.25">
      <c r="A109" s="216" t="s">
        <v>654</v>
      </c>
      <c r="B109" s="216" t="s">
        <v>354</v>
      </c>
      <c r="C109" s="216" t="s">
        <v>352</v>
      </c>
      <c r="D109" s="216">
        <v>-0.2293</v>
      </c>
      <c r="E109" s="216">
        <v>-7.7070000000000003E-4</v>
      </c>
      <c r="F109" s="216">
        <v>-0.1353</v>
      </c>
      <c r="G109" s="216">
        <v>2.14E-3</v>
      </c>
      <c r="H109" s="216">
        <v>-0.36951000000000001</v>
      </c>
      <c r="I109" s="216">
        <v>3.0530000000000001E-5</v>
      </c>
      <c r="K109" s="33"/>
      <c r="L109" s="17" t="s">
        <v>376</v>
      </c>
      <c r="M109" s="34">
        <f t="shared" ref="M109:R109" si="132">D107+0.25*D108-D109</f>
        <v>0.64347500000000002</v>
      </c>
      <c r="N109" s="34">
        <f t="shared" si="132"/>
        <v>2.025000000000001E-4</v>
      </c>
      <c r="O109" s="34">
        <f t="shared" si="132"/>
        <v>1.8812249999999999</v>
      </c>
      <c r="P109" s="34">
        <f t="shared" si="132"/>
        <v>-1.9797899999999999E-3</v>
      </c>
      <c r="Q109" s="34">
        <f t="shared" si="132"/>
        <v>0.82330499999999995</v>
      </c>
      <c r="R109" s="35">
        <f t="shared" si="132"/>
        <v>-5.0142000000000002E-5</v>
      </c>
      <c r="S109" s="17"/>
      <c r="T109" s="29"/>
      <c r="U109" s="29" t="s">
        <v>376</v>
      </c>
      <c r="V109" s="23">
        <f t="shared" si="129"/>
        <v>1.8812249999999999</v>
      </c>
      <c r="W109" s="23">
        <f t="shared" si="129"/>
        <v>-1.9797899999999999E-3</v>
      </c>
      <c r="X109" s="23">
        <f t="shared" si="129"/>
        <v>0.82330499999999995</v>
      </c>
      <c r="Y109" s="29"/>
      <c r="Z109" s="31">
        <f>ABS(V109)/AC109/AD109</f>
        <v>0.69162683823529414</v>
      </c>
      <c r="AA109" s="23">
        <f>ABS(+W109/V109)</f>
        <v>1.0523940517481959E-3</v>
      </c>
      <c r="AB109" s="23">
        <f>ABS(X109/V109)</f>
        <v>0.43764302515648046</v>
      </c>
      <c r="AC109" s="36">
        <f>AC108</f>
        <v>0.8</v>
      </c>
      <c r="AD109" s="37">
        <f>AD108</f>
        <v>3.4</v>
      </c>
      <c r="AE109" s="22">
        <f t="shared" si="130"/>
        <v>0.7978952118965037</v>
      </c>
      <c r="AF109" s="22">
        <f t="shared" si="130"/>
        <v>2.524713949687039</v>
      </c>
      <c r="AG109" s="22">
        <f>AF109*AE109</f>
        <v>2.0144571718635986</v>
      </c>
      <c r="AH109" s="38">
        <f>V109/AG109</f>
        <v>0.93386199829686922</v>
      </c>
      <c r="AJ109" s="146" t="s">
        <v>514</v>
      </c>
      <c r="AK109" s="145"/>
      <c r="AL109" s="145"/>
      <c r="AM109" s="145"/>
      <c r="AN109" s="139"/>
      <c r="AO109" s="146" t="s">
        <v>507</v>
      </c>
      <c r="AP109" s="145" t="s">
        <v>626</v>
      </c>
      <c r="AQ109" s="145">
        <f>0.6*AR106</f>
        <v>2100</v>
      </c>
      <c r="AR109" s="212" t="s">
        <v>627</v>
      </c>
      <c r="AS109" s="211">
        <f>+AR110+AR111</f>
        <v>650.28834449999999</v>
      </c>
      <c r="AT109" s="48" t="s">
        <v>515</v>
      </c>
      <c r="AU109" s="48"/>
      <c r="AV109" s="48" t="s">
        <v>518</v>
      </c>
      <c r="AW109" s="160"/>
      <c r="AX109" s="155" t="s">
        <v>524</v>
      </c>
      <c r="AY109" s="182">
        <f>IF(BC108=(1+1/4),+(1+3/8),IF(BC108=1,(1+1/8),IF(BC108=(7/8),1,IF(BC108=(3/4),+(7/8),IF(BC108=(5/8),+(3/4),IF(BC108=(1/2),(9/16),IF(BC108=(3/8),+(7/16),"no valido")))))))</f>
        <v>1.125</v>
      </c>
      <c r="AZ109" s="165" t="s">
        <v>526</v>
      </c>
      <c r="BA109" s="172" t="s">
        <v>531</v>
      </c>
      <c r="BB109" s="178" t="s">
        <v>529</v>
      </c>
      <c r="BC109" s="158">
        <f>+AY110+3</f>
        <v>12</v>
      </c>
      <c r="BD109" s="166" t="s">
        <v>526</v>
      </c>
      <c r="BE109" s="172" t="s">
        <v>531</v>
      </c>
      <c r="BG109" s="113"/>
      <c r="BH109" s="68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126"/>
      <c r="BV109" s="63"/>
    </row>
    <row r="110" spans="1:74" ht="15" hidden="1" x14ac:dyDescent="0.25">
      <c r="A110" s="216" t="s">
        <v>654</v>
      </c>
      <c r="B110" s="216" t="s">
        <v>355</v>
      </c>
      <c r="C110" s="216" t="s">
        <v>352</v>
      </c>
      <c r="D110" s="216">
        <v>-2.0899999999999998E-2</v>
      </c>
      <c r="E110" s="216">
        <v>-2.5600000000000001E-2</v>
      </c>
      <c r="F110" s="216">
        <v>-1.14E-2</v>
      </c>
      <c r="G110" s="216">
        <v>7.2749999999999995E-2</v>
      </c>
      <c r="H110" s="216">
        <v>-3.3790000000000001E-2</v>
      </c>
      <c r="I110" s="216">
        <v>9.5E-4</v>
      </c>
      <c r="K110" s="33"/>
      <c r="L110" s="17" t="s">
        <v>377</v>
      </c>
      <c r="M110" s="34">
        <f t="shared" ref="M110:R110" si="133">D107+0.25*D108+D110</f>
        <v>0.39327500000000004</v>
      </c>
      <c r="N110" s="34">
        <f t="shared" si="133"/>
        <v>-2.6168200000000003E-2</v>
      </c>
      <c r="O110" s="34">
        <f t="shared" si="133"/>
        <v>1.7345249999999999</v>
      </c>
      <c r="P110" s="34">
        <f t="shared" si="133"/>
        <v>7.2910209999999989E-2</v>
      </c>
      <c r="Q110" s="34">
        <f t="shared" si="133"/>
        <v>0.42000500000000002</v>
      </c>
      <c r="R110" s="35">
        <f t="shared" si="133"/>
        <v>9.3038799999999998E-4</v>
      </c>
      <c r="S110" s="17"/>
      <c r="T110" s="29"/>
      <c r="U110" s="29" t="s">
        <v>377</v>
      </c>
      <c r="V110" s="23">
        <f t="shared" si="129"/>
        <v>1.7345249999999999</v>
      </c>
      <c r="W110" s="23">
        <f t="shared" si="129"/>
        <v>7.2910209999999989E-2</v>
      </c>
      <c r="X110" s="23">
        <f t="shared" si="129"/>
        <v>0.42000500000000002</v>
      </c>
      <c r="Y110" s="29"/>
      <c r="Z110" s="31">
        <f>ABS(V110)/AC110/AD110</f>
        <v>0.63769301470588224</v>
      </c>
      <c r="AA110" s="23">
        <f>ABS(+W110/V110)</f>
        <v>4.2034683847162767E-2</v>
      </c>
      <c r="AB110" s="23">
        <f>ABS(X110/V110)</f>
        <v>0.24214410285236596</v>
      </c>
      <c r="AC110" s="36">
        <f>AC109</f>
        <v>0.8</v>
      </c>
      <c r="AD110" s="37">
        <f>AD109</f>
        <v>3.4</v>
      </c>
      <c r="AE110" s="22">
        <f t="shared" si="130"/>
        <v>0.71593063230567455</v>
      </c>
      <c r="AF110" s="22">
        <f t="shared" si="130"/>
        <v>2.9157117942952682</v>
      </c>
      <c r="AG110" s="22">
        <f>AF110*AE110</f>
        <v>2.0874473885109244</v>
      </c>
      <c r="AH110" s="38">
        <f>V110/AG110</f>
        <v>0.83093112168796701</v>
      </c>
      <c r="AJ110" s="147" t="s">
        <v>500</v>
      </c>
      <c r="AK110" s="24">
        <f>(MAX(V107:V111)+ABS(MAX(W107:W111))/(AL108/1000))*1000</f>
        <v>2635.1888125</v>
      </c>
      <c r="AL110" s="150" t="s">
        <v>502</v>
      </c>
      <c r="AM110" s="24">
        <f>+ABS(MAX(AK110:AK111))/(+AK108*2/10+AL108*2/10)/(AP108/10)</f>
        <v>21.408043478260868</v>
      </c>
      <c r="AN110" s="151" t="str">
        <f>IF(AM110&lt;=AM111,"OK","REDIS")</f>
        <v>OK</v>
      </c>
      <c r="AO110" s="150" t="s">
        <v>508</v>
      </c>
      <c r="AP110" s="24">
        <f>((AO108/10/2-AL108/10/2)/2)*((MAX(ABS(MAX(W107:W111)),ABS(MIN(W107:W111)))*100000))/(AL108/10)</f>
        <v>1025.2998281249997</v>
      </c>
      <c r="AQ110" s="150" t="s">
        <v>510</v>
      </c>
      <c r="AR110" s="24">
        <f>+AP110/(AK108*AP108*AP108/6/10/10/10)</f>
        <v>32.809594499999989</v>
      </c>
      <c r="AS110" s="152" t="str">
        <f>IF(AR110&lt;=0.6*AR106*1.1,"OK","REDIS")</f>
        <v>OK</v>
      </c>
      <c r="AT110" s="24" t="s">
        <v>516</v>
      </c>
      <c r="AU110" s="174">
        <f>+AW108*(AP110/100000)/((AO108-AL108)/1000/4)/(AT108-1)</f>
        <v>0.27341328749999994</v>
      </c>
      <c r="AV110" s="24" t="s">
        <v>519</v>
      </c>
      <c r="AW110" s="175">
        <f>+AW108*(ABS(MAX(M107:M111))+ABS(MIN(M107:M111)+ABS(MAX(N107:N111))+ABS(MIN(N107:N111))))/AV108</f>
        <v>0.13193250000000001</v>
      </c>
      <c r="AX110" s="155" t="s">
        <v>525</v>
      </c>
      <c r="AY110" s="182">
        <f>IF(BC108=(1+1/4),+(11-1/4),IF(BC108=1,(9),IF(BC108=(7/8),(7-7/8),IF(BC108=(3/4),+(6-3/4),IF(BC108=(5/8),+(5-5/8),IF(BC108=(1/2),(4-1/2),IF(BC108=(3-3/8),+(7/16),"no valido")))))))</f>
        <v>9</v>
      </c>
      <c r="AZ110" s="166" t="s">
        <v>526</v>
      </c>
      <c r="BA110" s="168" t="s">
        <v>533</v>
      </c>
      <c r="BB110" s="153" t="s">
        <v>521</v>
      </c>
      <c r="BC110" s="44">
        <f>+AV108</f>
        <v>8</v>
      </c>
      <c r="BD110" s="166" t="s">
        <v>527</v>
      </c>
      <c r="BE110" s="162" t="s">
        <v>534</v>
      </c>
      <c r="BG110" s="113"/>
      <c r="BH110" s="68"/>
      <c r="BI110" s="114"/>
      <c r="BJ110" s="45"/>
      <c r="BK110" s="63"/>
      <c r="BL110" s="63"/>
      <c r="BM110" s="63"/>
      <c r="BN110" s="70"/>
      <c r="BO110" s="70"/>
      <c r="BP110" s="44"/>
      <c r="BQ110" s="63"/>
      <c r="BR110" s="44"/>
      <c r="BS110" s="70"/>
      <c r="BT110" s="70"/>
      <c r="BU110" s="207"/>
      <c r="BV110" s="63"/>
    </row>
    <row r="111" spans="1:74" ht="15" hidden="1" x14ac:dyDescent="0.25">
      <c r="A111" s="216" t="s">
        <v>654</v>
      </c>
      <c r="B111" s="216" t="s">
        <v>624</v>
      </c>
      <c r="C111" s="216" t="s">
        <v>389</v>
      </c>
      <c r="D111" s="216">
        <v>0.53490000000000004</v>
      </c>
      <c r="E111" s="216">
        <v>-6.2920000000000001E-4</v>
      </c>
      <c r="F111" s="216">
        <v>2.242</v>
      </c>
      <c r="G111" s="216">
        <v>6.6790000000000003E-5</v>
      </c>
      <c r="H111" s="216">
        <v>0.58703000000000005</v>
      </c>
      <c r="I111" s="216">
        <v>-2.5320000000000002E-5</v>
      </c>
      <c r="K111" s="39"/>
      <c r="L111" s="40" t="s">
        <v>378</v>
      </c>
      <c r="M111" s="41">
        <f t="shared" ref="M111:R111" si="134">D107+0.25*D108-D110</f>
        <v>0.43507499999999999</v>
      </c>
      <c r="N111" s="41">
        <f t="shared" si="134"/>
        <v>2.50318E-2</v>
      </c>
      <c r="O111" s="41">
        <f t="shared" si="134"/>
        <v>1.757325</v>
      </c>
      <c r="P111" s="41">
        <f t="shared" si="134"/>
        <v>-7.2589790000000001E-2</v>
      </c>
      <c r="Q111" s="41">
        <f t="shared" si="134"/>
        <v>0.48758499999999999</v>
      </c>
      <c r="R111" s="42">
        <f t="shared" si="134"/>
        <v>-9.6961200000000001E-4</v>
      </c>
      <c r="S111" s="17"/>
      <c r="T111" s="29"/>
      <c r="U111" s="29" t="s">
        <v>378</v>
      </c>
      <c r="V111" s="23">
        <f t="shared" si="129"/>
        <v>1.757325</v>
      </c>
      <c r="W111" s="23">
        <f t="shared" si="129"/>
        <v>-7.2589790000000001E-2</v>
      </c>
      <c r="X111" s="23">
        <f t="shared" si="129"/>
        <v>0.48758499999999999</v>
      </c>
      <c r="Y111" s="29"/>
      <c r="Z111" s="31">
        <f>ABS(V111)/AC111/AD111</f>
        <v>0.64607536764705875</v>
      </c>
      <c r="AA111" s="23">
        <f>ABS(+W111/V111)</f>
        <v>4.1306980780447554E-2</v>
      </c>
      <c r="AB111" s="23">
        <f>ABS(X111/V111)</f>
        <v>0.27745863741766602</v>
      </c>
      <c r="AC111" s="36">
        <f>AC110</f>
        <v>0.8</v>
      </c>
      <c r="AD111" s="37">
        <f>AD110</f>
        <v>3.4</v>
      </c>
      <c r="AE111" s="22">
        <f t="shared" si="130"/>
        <v>0.71738603843910498</v>
      </c>
      <c r="AF111" s="22">
        <f t="shared" si="130"/>
        <v>2.845082725164668</v>
      </c>
      <c r="AG111" s="22">
        <f>AF111*AE111</f>
        <v>2.0410226252374142</v>
      </c>
      <c r="AH111" s="38">
        <f>V111/AG111</f>
        <v>0.86100221441474023</v>
      </c>
      <c r="AJ111" s="147" t="s">
        <v>501</v>
      </c>
      <c r="AK111" s="24">
        <f>(MAX(V107:V111)+ABS(MAX(X107:X111))/(AK108/1000))*1000</f>
        <v>4923.8499999999995</v>
      </c>
      <c r="AL111" s="150" t="s">
        <v>505</v>
      </c>
      <c r="AM111" s="24">
        <f>+AR106*0.4/3</f>
        <v>466.66666666666669</v>
      </c>
      <c r="AN111" s="24"/>
      <c r="AO111" s="150" t="s">
        <v>509</v>
      </c>
      <c r="AP111" s="24">
        <f>((AN108/10/2-AK108/10/2)/2)*(MAX(+ABS(MAX(X107:X111)),ABS(MIN(X107:X111)))*100000/(AK108/10))</f>
        <v>10291.3125</v>
      </c>
      <c r="AQ111" s="150" t="s">
        <v>511</v>
      </c>
      <c r="AR111" s="24">
        <f>+AP111/(AL108*AP108*AP108/6/1000)</f>
        <v>617.47874999999999</v>
      </c>
      <c r="AS111" s="152" t="str">
        <f>IF(AR111&lt;=0.6*AR106*1.1,"OK","REDIS")</f>
        <v>OK</v>
      </c>
      <c r="AT111" s="24" t="s">
        <v>517</v>
      </c>
      <c r="AU111" s="174">
        <f>+AW108*(AP111/100000)/((AN108-AK108)/1000/4)/(AU108-1)</f>
        <v>1.6466099999999999</v>
      </c>
      <c r="AV111" s="24"/>
      <c r="AW111" s="161"/>
      <c r="AX111" s="156" t="s">
        <v>522</v>
      </c>
      <c r="AY111" s="181">
        <f>IF(AY109=(1+3/8),+AV108/3,IF(AY109=(1+1/8),+AV108/6,IF(AY109=1,+AV108/8,IF(AY109=(7/8),+AV108/11,IF(AY109=0.75,+AV108/18,IF(AY109=(9/16),+AV108/45,IF(AY109=(7/16),+AV108/84,"NO HAY DATO")))))))</f>
        <v>1.3333333333333333</v>
      </c>
      <c r="AZ111" s="167" t="s">
        <v>527</v>
      </c>
      <c r="BA111" s="176"/>
      <c r="BB111" s="164" t="s">
        <v>523</v>
      </c>
      <c r="BC111" s="129">
        <f>+BC110*BC109*2.54/100</f>
        <v>2.4384000000000001</v>
      </c>
      <c r="BD111" s="173" t="s">
        <v>528</v>
      </c>
      <c r="BE111" s="130"/>
      <c r="BG111" s="113"/>
      <c r="BH111" s="68"/>
      <c r="BI111" s="209"/>
      <c r="BJ111" s="134"/>
      <c r="BK111" s="135"/>
      <c r="BL111" s="63"/>
      <c r="BM111" s="125"/>
      <c r="BN111" s="133"/>
      <c r="BO111" s="44"/>
      <c r="BR111" s="135"/>
      <c r="BS111" s="63"/>
      <c r="BT111" s="125"/>
      <c r="BU111" s="133"/>
      <c r="BV111" s="44"/>
    </row>
    <row r="112" spans="1:74" ht="15" hidden="1" x14ac:dyDescent="0.25">
      <c r="A112" s="216" t="s">
        <v>654</v>
      </c>
      <c r="B112" s="216" t="s">
        <v>625</v>
      </c>
      <c r="C112" s="216" t="s">
        <v>389</v>
      </c>
      <c r="D112" s="216">
        <v>0.32650000000000001</v>
      </c>
      <c r="E112" s="216">
        <v>2.52E-2</v>
      </c>
      <c r="F112" s="216">
        <v>1.2926</v>
      </c>
      <c r="G112" s="216">
        <v>-7.2720000000000007E-2</v>
      </c>
      <c r="H112" s="216">
        <v>0.36924000000000001</v>
      </c>
      <c r="I112" s="216">
        <v>-9.6000000000000002E-4</v>
      </c>
      <c r="K112" s="25" t="s">
        <v>357</v>
      </c>
      <c r="L112" s="26" t="s">
        <v>358</v>
      </c>
      <c r="M112" s="27" t="s">
        <v>359</v>
      </c>
      <c r="N112" s="27" t="s">
        <v>360</v>
      </c>
      <c r="O112" s="27" t="s">
        <v>361</v>
      </c>
      <c r="P112" s="27" t="s">
        <v>362</v>
      </c>
      <c r="Q112" s="27" t="s">
        <v>363</v>
      </c>
      <c r="R112" s="28" t="s">
        <v>364</v>
      </c>
      <c r="S112" s="17"/>
      <c r="T112" s="29" t="s">
        <v>365</v>
      </c>
      <c r="U112" s="29" t="s">
        <v>358</v>
      </c>
      <c r="V112" s="30" t="s">
        <v>361</v>
      </c>
      <c r="W112" s="30" t="s">
        <v>362</v>
      </c>
      <c r="X112" s="30" t="s">
        <v>363</v>
      </c>
      <c r="Y112" s="29" t="s">
        <v>366</v>
      </c>
      <c r="Z112" s="31" t="s">
        <v>367</v>
      </c>
      <c r="AA112" s="23" t="s">
        <v>368</v>
      </c>
      <c r="AB112" s="23" t="s">
        <v>369</v>
      </c>
      <c r="AC112" s="22" t="s">
        <v>0</v>
      </c>
      <c r="AD112" s="22" t="s">
        <v>1</v>
      </c>
      <c r="AE112" s="22" t="s">
        <v>370</v>
      </c>
      <c r="AF112" s="22" t="s">
        <v>371</v>
      </c>
      <c r="AG112" s="22" t="s">
        <v>372</v>
      </c>
      <c r="AH112" s="32" t="s">
        <v>373</v>
      </c>
      <c r="AJ112" s="143" t="s">
        <v>365</v>
      </c>
      <c r="AK112" s="144" t="s">
        <v>498</v>
      </c>
      <c r="AL112" s="145"/>
      <c r="AM112" s="139"/>
      <c r="AN112" s="146" t="s">
        <v>499</v>
      </c>
      <c r="AO112" s="145"/>
      <c r="AP112" s="139"/>
      <c r="AQ112" s="147" t="s">
        <v>506</v>
      </c>
      <c r="AR112" s="48">
        <v>3500</v>
      </c>
      <c r="AS112" s="147" t="s">
        <v>405</v>
      </c>
      <c r="AT112" s="146" t="s">
        <v>512</v>
      </c>
      <c r="AU112" s="145"/>
      <c r="AV112" s="145"/>
      <c r="AW112" s="145"/>
      <c r="AX112" s="163" t="s">
        <v>532</v>
      </c>
      <c r="AY112" s="157" t="s">
        <v>515</v>
      </c>
      <c r="AZ112" s="169">
        <v>6.9</v>
      </c>
      <c r="BA112" s="171" t="str">
        <f>IF(MAX(AU116:AU117)&lt;=AZ112,"OK","REDIS")</f>
        <v>OK</v>
      </c>
      <c r="BB112" s="163" t="s">
        <v>536</v>
      </c>
      <c r="BC112" s="170" t="s">
        <v>515</v>
      </c>
      <c r="BD112" s="169">
        <v>8.36</v>
      </c>
      <c r="BE112" s="171" t="str">
        <f>IF(MAX(AU116:AU117)&lt;=BD112,"OK","REDIS")</f>
        <v>OK</v>
      </c>
      <c r="BG112" s="113"/>
      <c r="BH112" s="68"/>
      <c r="BI112" s="136"/>
      <c r="BJ112" s="128"/>
      <c r="BK112" s="111"/>
      <c r="BL112" s="16"/>
      <c r="BM112" s="63"/>
      <c r="BN112" s="44"/>
      <c r="BO112" s="126"/>
      <c r="BR112" s="111"/>
      <c r="BS112" s="16"/>
      <c r="BT112" s="63"/>
      <c r="BU112" s="44"/>
      <c r="BV112" s="126"/>
    </row>
    <row r="113" spans="1:74" ht="15" hidden="1" x14ac:dyDescent="0.25">
      <c r="A113" s="216" t="s">
        <v>655</v>
      </c>
      <c r="B113" s="216" t="s">
        <v>351</v>
      </c>
      <c r="C113" s="216" t="s">
        <v>352</v>
      </c>
      <c r="D113" s="216">
        <v>0.99360000000000004</v>
      </c>
      <c r="E113" s="216">
        <v>-0.21329999999999999</v>
      </c>
      <c r="F113" s="216">
        <v>11.9368</v>
      </c>
      <c r="G113" s="216">
        <v>0.23830000000000001</v>
      </c>
      <c r="H113" s="216">
        <v>0.75653999999999999</v>
      </c>
      <c r="I113" s="216">
        <v>1.3999999999999999E-4</v>
      </c>
      <c r="K113" s="33" t="str">
        <f>+A113</f>
        <v>75</v>
      </c>
      <c r="L113" s="17" t="s">
        <v>374</v>
      </c>
      <c r="M113" s="34">
        <f t="shared" ref="M113:R113" si="135">D113+D114</f>
        <v>1.5893000000000002</v>
      </c>
      <c r="N113" s="34">
        <f t="shared" si="135"/>
        <v>-0.3488</v>
      </c>
      <c r="O113" s="34">
        <f t="shared" si="135"/>
        <v>18.5215</v>
      </c>
      <c r="P113" s="34">
        <f t="shared" si="135"/>
        <v>0.39049</v>
      </c>
      <c r="Q113" s="34">
        <f t="shared" si="135"/>
        <v>1.2184900000000001</v>
      </c>
      <c r="R113" s="35">
        <f t="shared" si="135"/>
        <v>2.3643999999999998E-4</v>
      </c>
      <c r="S113" s="17"/>
      <c r="T113" s="29" t="str">
        <f>K113</f>
        <v>75</v>
      </c>
      <c r="U113" s="29" t="s">
        <v>374</v>
      </c>
      <c r="V113" s="23">
        <f t="shared" ref="V113:X117" si="136">O113</f>
        <v>18.5215</v>
      </c>
      <c r="W113" s="23">
        <f t="shared" si="136"/>
        <v>0.39049</v>
      </c>
      <c r="X113" s="23">
        <f t="shared" si="136"/>
        <v>1.2184900000000001</v>
      </c>
      <c r="Y113" s="29">
        <v>15</v>
      </c>
      <c r="Z113" s="31">
        <f>ABS(V113)/AC113/AD113</f>
        <v>8.2685267857142843</v>
      </c>
      <c r="AA113" s="23">
        <f>ABS(+W113/V113)</f>
        <v>2.1083065626434146E-2</v>
      </c>
      <c r="AB113" s="23">
        <f>ABS(X113/V113)</f>
        <v>6.5787868153227333E-2</v>
      </c>
      <c r="AC113" s="36">
        <v>0.8</v>
      </c>
      <c r="AD113" s="37">
        <v>2.8</v>
      </c>
      <c r="AE113" s="22">
        <f t="shared" ref="AE113:AF117" si="137">AC113-2*AA113</f>
        <v>0.75783386874713177</v>
      </c>
      <c r="AF113" s="22">
        <f t="shared" si="137"/>
        <v>2.6684242636935451</v>
      </c>
      <c r="AG113" s="22">
        <f>AF113*AE113</f>
        <v>2.0222222832135959</v>
      </c>
      <c r="AH113" s="38">
        <f>V113/AG113</f>
        <v>9.1589832402433675</v>
      </c>
      <c r="AJ113" s="48" t="str">
        <f>+K113</f>
        <v>75</v>
      </c>
      <c r="AK113" s="147" t="s">
        <v>0</v>
      </c>
      <c r="AL113" s="147" t="s">
        <v>1</v>
      </c>
      <c r="AM113" s="147" t="s">
        <v>438</v>
      </c>
      <c r="AN113" s="147" t="s">
        <v>503</v>
      </c>
      <c r="AO113" s="147" t="s">
        <v>504</v>
      </c>
      <c r="AP113" s="147" t="s">
        <v>323</v>
      </c>
      <c r="AQ113" s="48"/>
      <c r="AR113" s="48"/>
      <c r="AS113" s="48"/>
      <c r="AT113" s="147" t="s">
        <v>0</v>
      </c>
      <c r="AU113" s="147" t="s">
        <v>1</v>
      </c>
      <c r="AV113" s="147" t="s">
        <v>513</v>
      </c>
      <c r="AW113" s="159" t="s">
        <v>520</v>
      </c>
      <c r="AX113" s="141" t="s">
        <v>530</v>
      </c>
      <c r="AY113" s="157" t="s">
        <v>178</v>
      </c>
      <c r="AZ113" s="44">
        <v>12</v>
      </c>
      <c r="BA113" s="172" t="str">
        <f>IF(AW116&lt;=AZ113,"OK","REDIS")</f>
        <v>OK</v>
      </c>
      <c r="BB113" s="141" t="s">
        <v>535</v>
      </c>
      <c r="BC113" s="120" t="s">
        <v>178</v>
      </c>
      <c r="BD113" s="44">
        <v>4.3</v>
      </c>
      <c r="BE113" s="172" t="str">
        <f>IF(AW116&lt;=BD113,"OK","REDIS")</f>
        <v>OK</v>
      </c>
      <c r="BG113" s="113"/>
      <c r="BH113" s="68"/>
      <c r="BI113" s="136"/>
      <c r="BJ113" s="128"/>
      <c r="BM113" s="137"/>
      <c r="BN113" s="63"/>
      <c r="BO113" s="125"/>
      <c r="BT113" s="137"/>
      <c r="BU113" s="63"/>
      <c r="BV113" s="125"/>
    </row>
    <row r="114" spans="1:74" ht="15" hidden="1" x14ac:dyDescent="0.25">
      <c r="A114" s="216" t="s">
        <v>655</v>
      </c>
      <c r="B114" s="216" t="s">
        <v>353</v>
      </c>
      <c r="C114" s="216" t="s">
        <v>352</v>
      </c>
      <c r="D114" s="216">
        <v>0.59570000000000001</v>
      </c>
      <c r="E114" s="216">
        <v>-0.13550000000000001</v>
      </c>
      <c r="F114" s="216">
        <v>6.5846999999999998</v>
      </c>
      <c r="G114" s="216">
        <v>0.15218999999999999</v>
      </c>
      <c r="H114" s="216">
        <v>0.46195000000000003</v>
      </c>
      <c r="I114" s="216">
        <v>9.6440000000000005E-5</v>
      </c>
      <c r="K114" s="33"/>
      <c r="L114" s="17" t="s">
        <v>375</v>
      </c>
      <c r="M114" s="34">
        <f t="shared" ref="M114:R114" si="138">D113+0.25*D114+D115</f>
        <v>0.28492499999999998</v>
      </c>
      <c r="N114" s="34">
        <f t="shared" si="138"/>
        <v>-0.24087499999999998</v>
      </c>
      <c r="O114" s="34">
        <f t="shared" si="138"/>
        <v>14.340874999999999</v>
      </c>
      <c r="P114" s="34">
        <f t="shared" si="138"/>
        <v>0.26740750000000002</v>
      </c>
      <c r="Q114" s="34">
        <f t="shared" si="138"/>
        <v>-1.2492725000000002</v>
      </c>
      <c r="R114" s="35">
        <f t="shared" si="138"/>
        <v>-7.5890000000000007E-5</v>
      </c>
      <c r="S114" s="17"/>
      <c r="T114" s="29"/>
      <c r="U114" s="29" t="s">
        <v>375</v>
      </c>
      <c r="V114" s="23">
        <f t="shared" si="136"/>
        <v>14.340874999999999</v>
      </c>
      <c r="W114" s="23">
        <f t="shared" si="136"/>
        <v>0.26740750000000002</v>
      </c>
      <c r="X114" s="23">
        <f t="shared" si="136"/>
        <v>-1.2492725000000002</v>
      </c>
      <c r="Y114" s="29">
        <f>1.33*Y113</f>
        <v>19.950000000000003</v>
      </c>
      <c r="Z114" s="31">
        <f>ABS(V114)/AC114/AD114</f>
        <v>6.4021763392857132</v>
      </c>
      <c r="AA114" s="23">
        <f>ABS(+W114/V114)</f>
        <v>1.8646526101092162E-2</v>
      </c>
      <c r="AB114" s="23">
        <f>ABS(X114/V114)</f>
        <v>8.7112711044479527E-2</v>
      </c>
      <c r="AC114" s="36">
        <f t="shared" ref="AC114:AD117" si="139">AC113</f>
        <v>0.8</v>
      </c>
      <c r="AD114" s="37">
        <f t="shared" si="139"/>
        <v>2.8</v>
      </c>
      <c r="AE114" s="22">
        <f t="shared" si="137"/>
        <v>0.76270694779781567</v>
      </c>
      <c r="AF114" s="22">
        <f t="shared" si="137"/>
        <v>2.6257745779110406</v>
      </c>
      <c r="AG114" s="22">
        <f>AF114*AE114</f>
        <v>2.0026965139236275</v>
      </c>
      <c r="AH114" s="38">
        <f>V114/AG114</f>
        <v>7.1607829245699115</v>
      </c>
      <c r="AJ114" s="147" t="s">
        <v>539</v>
      </c>
      <c r="AK114" s="148">
        <v>300</v>
      </c>
      <c r="AL114" s="148">
        <v>160</v>
      </c>
      <c r="AM114" s="148">
        <v>4</v>
      </c>
      <c r="AN114" s="149">
        <v>450</v>
      </c>
      <c r="AO114" s="149">
        <v>250</v>
      </c>
      <c r="AP114" s="149">
        <v>25</v>
      </c>
      <c r="AQ114" s="48"/>
      <c r="AR114" s="48"/>
      <c r="AS114" s="48"/>
      <c r="AT114" s="48">
        <v>3</v>
      </c>
      <c r="AU114" s="48">
        <v>3</v>
      </c>
      <c r="AV114" s="149">
        <f>+AT114*2+(AU114-2)*2</f>
        <v>8</v>
      </c>
      <c r="AW114" s="159">
        <v>1.2</v>
      </c>
      <c r="AX114" s="155" t="s">
        <v>538</v>
      </c>
      <c r="AY114" s="180">
        <f>+AV114</f>
        <v>8</v>
      </c>
      <c r="BA114" s="154"/>
      <c r="BB114" s="177" t="s">
        <v>537</v>
      </c>
      <c r="BC114" s="179">
        <v>1</v>
      </c>
      <c r="BD114" s="166" t="s">
        <v>526</v>
      </c>
      <c r="BE114" s="154"/>
      <c r="BG114" s="113"/>
      <c r="BH114" s="68"/>
      <c r="BI114" s="136"/>
      <c r="BJ114" s="138"/>
      <c r="BM114" s="125"/>
      <c r="BN114" s="133"/>
      <c r="BO114" s="44"/>
      <c r="BT114" s="125"/>
      <c r="BU114" s="133"/>
      <c r="BV114" s="44"/>
    </row>
    <row r="115" spans="1:74" ht="15" hidden="1" x14ac:dyDescent="0.25">
      <c r="A115" s="216" t="s">
        <v>655</v>
      </c>
      <c r="B115" s="216" t="s">
        <v>354</v>
      </c>
      <c r="C115" s="216" t="s">
        <v>352</v>
      </c>
      <c r="D115" s="216">
        <v>-0.85760000000000003</v>
      </c>
      <c r="E115" s="216">
        <v>6.3E-3</v>
      </c>
      <c r="F115" s="216">
        <v>0.75790000000000002</v>
      </c>
      <c r="G115" s="216">
        <v>-8.94E-3</v>
      </c>
      <c r="H115" s="216">
        <v>-2.1213000000000002</v>
      </c>
      <c r="I115" s="216">
        <v>-2.4000000000000001E-4</v>
      </c>
      <c r="K115" s="33"/>
      <c r="L115" s="17" t="s">
        <v>376</v>
      </c>
      <c r="M115" s="34">
        <f t="shared" ref="M115:R115" si="140">D113+0.25*D114-D115</f>
        <v>2.0001250000000002</v>
      </c>
      <c r="N115" s="34">
        <f t="shared" si="140"/>
        <v>-0.25347500000000001</v>
      </c>
      <c r="O115" s="34">
        <f t="shared" si="140"/>
        <v>12.825075</v>
      </c>
      <c r="P115" s="34">
        <f t="shared" si="140"/>
        <v>0.28528750000000003</v>
      </c>
      <c r="Q115" s="34">
        <f t="shared" si="140"/>
        <v>2.9933275000000004</v>
      </c>
      <c r="R115" s="35">
        <f t="shared" si="140"/>
        <v>4.0411000000000001E-4</v>
      </c>
      <c r="S115" s="17"/>
      <c r="T115" s="29"/>
      <c r="U115" s="29" t="s">
        <v>376</v>
      </c>
      <c r="V115" s="23">
        <f t="shared" si="136"/>
        <v>12.825075</v>
      </c>
      <c r="W115" s="23">
        <f t="shared" si="136"/>
        <v>0.28528750000000003</v>
      </c>
      <c r="X115" s="23">
        <f t="shared" si="136"/>
        <v>2.9933275000000004</v>
      </c>
      <c r="Y115" s="29"/>
      <c r="Z115" s="31">
        <f>ABS(V115)/AC115/AD115</f>
        <v>5.7254799107142853</v>
      </c>
      <c r="AA115" s="23">
        <f>ABS(+W115/V115)</f>
        <v>2.2244509291368668E-2</v>
      </c>
      <c r="AB115" s="23">
        <f>ABS(X115/V115)</f>
        <v>0.23339649085872796</v>
      </c>
      <c r="AC115" s="36">
        <f t="shared" si="139"/>
        <v>0.8</v>
      </c>
      <c r="AD115" s="37">
        <f t="shared" si="139"/>
        <v>2.8</v>
      </c>
      <c r="AE115" s="22">
        <f t="shared" si="137"/>
        <v>0.75551098141726269</v>
      </c>
      <c r="AF115" s="22">
        <f t="shared" si="137"/>
        <v>2.3332070182825437</v>
      </c>
      <c r="AG115" s="22">
        <f>AF115*AE115</f>
        <v>1.7627635242322899</v>
      </c>
      <c r="AH115" s="38">
        <f>V115/AG115</f>
        <v>7.2755504772459556</v>
      </c>
      <c r="AJ115" s="146" t="s">
        <v>514</v>
      </c>
      <c r="AK115" s="145"/>
      <c r="AL115" s="145"/>
      <c r="AM115" s="145"/>
      <c r="AN115" s="139"/>
      <c r="AO115" s="146" t="s">
        <v>507</v>
      </c>
      <c r="AP115" s="145" t="s">
        <v>626</v>
      </c>
      <c r="AQ115" s="145">
        <f>0.6*AR112</f>
        <v>2100</v>
      </c>
      <c r="AR115" s="212" t="s">
        <v>627</v>
      </c>
      <c r="AS115" s="211">
        <f>+AR116+AR117</f>
        <v>2668.2060000000006</v>
      </c>
      <c r="AT115" s="48" t="s">
        <v>515</v>
      </c>
      <c r="AU115" s="48"/>
      <c r="AV115" s="48" t="s">
        <v>518</v>
      </c>
      <c r="AW115" s="160"/>
      <c r="AX115" s="155" t="s">
        <v>524</v>
      </c>
      <c r="AY115" s="182">
        <f>IF(BC114=(1+1/4),+(1+3/8),IF(BC114=1,(1+1/8),IF(BC114=(7/8),1,IF(BC114=(3/4),+(7/8),IF(BC114=(5/8),+(3/4),IF(BC114=(1/2),(9/16),IF(BC114=(3/8),+(7/16),"no valido")))))))</f>
        <v>1.125</v>
      </c>
      <c r="AZ115" s="165" t="s">
        <v>526</v>
      </c>
      <c r="BA115" s="172" t="s">
        <v>531</v>
      </c>
      <c r="BB115" s="178" t="s">
        <v>529</v>
      </c>
      <c r="BC115" s="158">
        <f>+AY116+3</f>
        <v>12</v>
      </c>
      <c r="BD115" s="166" t="s">
        <v>526</v>
      </c>
      <c r="BE115" s="172" t="s">
        <v>531</v>
      </c>
    </row>
    <row r="116" spans="1:74" ht="15" hidden="1" x14ac:dyDescent="0.25">
      <c r="A116" s="216" t="s">
        <v>655</v>
      </c>
      <c r="B116" s="216" t="s">
        <v>355</v>
      </c>
      <c r="C116" s="216" t="s">
        <v>352</v>
      </c>
      <c r="D116" s="216">
        <v>-9.5299999999999996E-2</v>
      </c>
      <c r="E116" s="216">
        <v>-0.3871</v>
      </c>
      <c r="F116" s="216">
        <v>0.88990000000000002</v>
      </c>
      <c r="G116" s="216">
        <v>0.66412000000000004</v>
      </c>
      <c r="H116" s="216">
        <v>-0.30697000000000002</v>
      </c>
      <c r="I116" s="216">
        <v>-4.0000000000000002E-4</v>
      </c>
      <c r="K116" s="33"/>
      <c r="L116" s="17" t="s">
        <v>377</v>
      </c>
      <c r="M116" s="34">
        <f t="shared" ref="M116:R116" si="141">D113+0.25*D114+D116</f>
        <v>1.0472250000000001</v>
      </c>
      <c r="N116" s="34">
        <f t="shared" si="141"/>
        <v>-0.63427499999999992</v>
      </c>
      <c r="O116" s="34">
        <f t="shared" si="141"/>
        <v>14.472875</v>
      </c>
      <c r="P116" s="34">
        <f t="shared" si="141"/>
        <v>0.94046750000000001</v>
      </c>
      <c r="Q116" s="34">
        <f t="shared" si="141"/>
        <v>0.56505749999999999</v>
      </c>
      <c r="R116" s="35">
        <f t="shared" si="141"/>
        <v>-2.3589000000000002E-4</v>
      </c>
      <c r="S116" s="17"/>
      <c r="T116" s="29"/>
      <c r="U116" s="29" t="s">
        <v>377</v>
      </c>
      <c r="V116" s="23">
        <f t="shared" si="136"/>
        <v>14.472875</v>
      </c>
      <c r="W116" s="23">
        <f t="shared" si="136"/>
        <v>0.94046750000000001</v>
      </c>
      <c r="X116" s="23">
        <f t="shared" si="136"/>
        <v>0.56505749999999999</v>
      </c>
      <c r="Y116" s="29"/>
      <c r="Z116" s="31">
        <f>ABS(V116)/AC116/AD116</f>
        <v>6.4611049107142859</v>
      </c>
      <c r="AA116" s="23">
        <f>ABS(+W116/V116)</f>
        <v>6.4981387595761039E-2</v>
      </c>
      <c r="AB116" s="23">
        <f>ABS(X116/V116)</f>
        <v>3.9042519195391374E-2</v>
      </c>
      <c r="AC116" s="36">
        <f t="shared" si="139"/>
        <v>0.8</v>
      </c>
      <c r="AD116" s="37">
        <f t="shared" si="139"/>
        <v>2.8</v>
      </c>
      <c r="AE116" s="22">
        <f t="shared" si="137"/>
        <v>0.67003722480847794</v>
      </c>
      <c r="AF116" s="22">
        <f t="shared" si="137"/>
        <v>2.7219149616092171</v>
      </c>
      <c r="AG116" s="22">
        <f>AF116*AE116</f>
        <v>1.8237843470413146</v>
      </c>
      <c r="AH116" s="38">
        <f>V116/AG116</f>
        <v>7.9356284768421377</v>
      </c>
      <c r="AJ116" s="147" t="s">
        <v>500</v>
      </c>
      <c r="AK116" s="24">
        <f>(MAX(V113:V117)+ABS(MAX(W113:W117))/(AL114/1000))*1000</f>
        <v>24399.421875</v>
      </c>
      <c r="AL116" s="150" t="s">
        <v>502</v>
      </c>
      <c r="AM116" s="24">
        <f>+ABS(MAX(AK116:AK117))/(+AK114*2/10+AL114*2/10)/(AP114/10)</f>
        <v>123.90981884057973</v>
      </c>
      <c r="AN116" s="151" t="str">
        <f>IF(AM116&lt;=AM117,"OK","REDIS")</f>
        <v>OK</v>
      </c>
      <c r="AO116" s="150" t="s">
        <v>508</v>
      </c>
      <c r="AP116" s="24">
        <f>((AO114/10/2-AL114/10/2)/2)*((MAX(ABS(MAX(W113:W117)),ABS(MIN(W113:W117)))*100000))/(AL114/10)</f>
        <v>13225.32421875</v>
      </c>
      <c r="AQ116" s="150" t="s">
        <v>510</v>
      </c>
      <c r="AR116" s="24">
        <f>+AP116/(AK114*AP114*AP114/6/10/10/10)</f>
        <v>423.210375</v>
      </c>
      <c r="AS116" s="152" t="str">
        <f>IF(AR116&lt;=0.6*AR112*1.1,"OK","REDIS")</f>
        <v>OK</v>
      </c>
      <c r="AT116" s="24" t="s">
        <v>516</v>
      </c>
      <c r="AU116" s="174">
        <f>+AW114*(AP116/100000)/((AO114-AL114)/1000/4)/(AT114-1)</f>
        <v>3.5267531250000004</v>
      </c>
      <c r="AV116" s="24" t="s">
        <v>519</v>
      </c>
      <c r="AW116" s="175">
        <f>+AW114*(ABS(MAX(M113:M117))+ABS(MIN(M113:M117)+ABS(MAX(N113:N117))+ABS(MIN(N113:N117))))/AV114</f>
        <v>0.4588875</v>
      </c>
      <c r="AX116" s="155" t="s">
        <v>525</v>
      </c>
      <c r="AY116" s="182">
        <f>IF(BC114=(1+1/4),+(11-1/4),IF(BC114=1,(9),IF(BC114=(7/8),(7-7/8),IF(BC114=(3/4),+(6-3/4),IF(BC114=(5/8),+(5-5/8),IF(BC114=(1/2),(4-1/2),IF(BC114=(3-3/8),+(7/16),"no valido")))))))</f>
        <v>9</v>
      </c>
      <c r="AZ116" s="166" t="s">
        <v>526</v>
      </c>
      <c r="BA116" s="168" t="s">
        <v>533</v>
      </c>
      <c r="BB116" s="153" t="s">
        <v>521</v>
      </c>
      <c r="BC116" s="44">
        <f>+AV114</f>
        <v>8</v>
      </c>
      <c r="BD116" s="166" t="s">
        <v>527</v>
      </c>
      <c r="BE116" s="162" t="s">
        <v>534</v>
      </c>
      <c r="BG116" s="109"/>
      <c r="BH116" s="142"/>
      <c r="BJ116" s="109"/>
      <c r="BK116" s="142"/>
      <c r="BM116" s="110"/>
      <c r="BN116" s="110"/>
      <c r="BO116" s="110"/>
      <c r="BP116" s="110"/>
    </row>
    <row r="117" spans="1:74" ht="15" hidden="1" x14ac:dyDescent="0.25">
      <c r="A117" s="216" t="s">
        <v>655</v>
      </c>
      <c r="B117" s="216" t="s">
        <v>624</v>
      </c>
      <c r="C117" s="216" t="s">
        <v>389</v>
      </c>
      <c r="D117" s="216">
        <v>1.3911</v>
      </c>
      <c r="E117" s="216">
        <v>-0.29859999999999998</v>
      </c>
      <c r="F117" s="216">
        <v>16.711500000000001</v>
      </c>
      <c r="G117" s="216">
        <v>0.33362000000000003</v>
      </c>
      <c r="H117" s="216">
        <v>1.05915</v>
      </c>
      <c r="I117" s="216">
        <v>2.0000000000000001E-4</v>
      </c>
      <c r="K117" s="39"/>
      <c r="L117" s="40" t="s">
        <v>378</v>
      </c>
      <c r="M117" s="41">
        <f t="shared" ref="M117:R117" si="142">D113+0.25*D114-D116</f>
        <v>1.237825</v>
      </c>
      <c r="N117" s="41">
        <f t="shared" si="142"/>
        <v>0.13992500000000002</v>
      </c>
      <c r="O117" s="41">
        <f t="shared" si="142"/>
        <v>12.693074999999999</v>
      </c>
      <c r="P117" s="41">
        <f t="shared" si="142"/>
        <v>-0.38777250000000002</v>
      </c>
      <c r="Q117" s="41">
        <f t="shared" si="142"/>
        <v>1.1789974999999999</v>
      </c>
      <c r="R117" s="42">
        <f t="shared" si="142"/>
        <v>5.6411000000000005E-4</v>
      </c>
      <c r="S117" s="17"/>
      <c r="T117" s="29"/>
      <c r="U117" s="29" t="s">
        <v>378</v>
      </c>
      <c r="V117" s="23">
        <f t="shared" si="136"/>
        <v>12.693074999999999</v>
      </c>
      <c r="W117" s="23">
        <f t="shared" si="136"/>
        <v>-0.38777250000000002</v>
      </c>
      <c r="X117" s="23">
        <f t="shared" si="136"/>
        <v>1.1789974999999999</v>
      </c>
      <c r="Y117" s="29"/>
      <c r="Z117" s="31">
        <f>ABS(V117)/AC117/AD117</f>
        <v>5.6665513392857134</v>
      </c>
      <c r="AA117" s="23">
        <f>ABS(+W117/V117)</f>
        <v>3.0549925845392078E-2</v>
      </c>
      <c r="AB117" s="23">
        <f>ABS(X117/V117)</f>
        <v>9.2885096794905891E-2</v>
      </c>
      <c r="AC117" s="36">
        <f t="shared" si="139"/>
        <v>0.8</v>
      </c>
      <c r="AD117" s="37">
        <f t="shared" si="139"/>
        <v>2.8</v>
      </c>
      <c r="AE117" s="22">
        <f t="shared" si="137"/>
        <v>0.73890014830921591</v>
      </c>
      <c r="AF117" s="22">
        <f t="shared" si="137"/>
        <v>2.6142298064101879</v>
      </c>
      <c r="AG117" s="22">
        <f>AF117*AE117</f>
        <v>1.9316547916708606</v>
      </c>
      <c r="AH117" s="38">
        <f>V117/AG117</f>
        <v>6.5710887135380052</v>
      </c>
      <c r="AJ117" s="147" t="s">
        <v>501</v>
      </c>
      <c r="AK117" s="24">
        <f>(MAX(V113:V117)+ABS(MAX(X113:X117))/(AK114/1000))*1000</f>
        <v>28499.258333333339</v>
      </c>
      <c r="AL117" s="150" t="s">
        <v>505</v>
      </c>
      <c r="AM117" s="24">
        <f>+AR112*0.4/3</f>
        <v>466.66666666666669</v>
      </c>
      <c r="AN117" s="24"/>
      <c r="AO117" s="150" t="s">
        <v>509</v>
      </c>
      <c r="AP117" s="24">
        <f>((AN114/10/2-AK114/10/2)/2)*(MAX(+ABS(MAX(X113:X117)),ABS(MIN(X113:X117)))*100000/(AK114/10))</f>
        <v>37416.593750000007</v>
      </c>
      <c r="AQ117" s="150" t="s">
        <v>511</v>
      </c>
      <c r="AR117" s="24">
        <f>+AP117/(AL114*AP114*AP114/6/1000)</f>
        <v>2244.9956250000005</v>
      </c>
      <c r="AS117" s="152" t="str">
        <f>IF(AR117&lt;=0.6*AR112*1.1,"OK","REDIS")</f>
        <v>OK</v>
      </c>
      <c r="AT117" s="24" t="s">
        <v>517</v>
      </c>
      <c r="AU117" s="174">
        <f>+AW114*(AP117/100000)/((AN114-AK114)/1000/4)/(AU114-1)</f>
        <v>5.9866550000000007</v>
      </c>
      <c r="AV117" s="24"/>
      <c r="AW117" s="161"/>
      <c r="AX117" s="156" t="s">
        <v>522</v>
      </c>
      <c r="AY117" s="181">
        <f>IF(AY115=(1+3/8),+AV114/3,IF(AY115=(1+1/8),+AV114/6,IF(AY115=1,+AV114/8,IF(AY115=(7/8),+AV114/11,IF(AY115=0.75,+AV114/18,IF(AY115=(9/16),+AV114/45,IF(AY115=(7/16),+AV114/84,"NO HAY DATO")))))))</f>
        <v>1.3333333333333333</v>
      </c>
      <c r="AZ117" s="167" t="s">
        <v>527</v>
      </c>
      <c r="BA117" s="176"/>
      <c r="BB117" s="164" t="s">
        <v>523</v>
      </c>
      <c r="BC117" s="129">
        <f>+BC116*BC115*2.54/100</f>
        <v>2.4384000000000001</v>
      </c>
      <c r="BD117" s="173" t="s">
        <v>528</v>
      </c>
      <c r="BE117" s="130"/>
      <c r="BG117" s="111"/>
      <c r="BH117" s="9"/>
      <c r="BI117" s="125"/>
      <c r="BJ117" s="125"/>
      <c r="BK117" s="44"/>
      <c r="BL117" s="44"/>
      <c r="BM117" s="126"/>
      <c r="BN117" s="44"/>
      <c r="BO117" s="44"/>
      <c r="BP117" s="44"/>
      <c r="BQ117" s="126"/>
      <c r="BR117" s="44"/>
      <c r="BS117" s="44"/>
      <c r="BT117" s="44"/>
      <c r="BU117" s="44"/>
      <c r="BV117" s="44"/>
    </row>
    <row r="118" spans="1:74" ht="15" hidden="1" x14ac:dyDescent="0.25">
      <c r="A118" s="216" t="s">
        <v>655</v>
      </c>
      <c r="B118" s="216" t="s">
        <v>625</v>
      </c>
      <c r="C118" s="216" t="s">
        <v>389</v>
      </c>
      <c r="D118" s="216">
        <v>0.89019999999999999</v>
      </c>
      <c r="E118" s="216">
        <v>0.2165</v>
      </c>
      <c r="F118" s="216">
        <v>8.6594999999999995</v>
      </c>
      <c r="G118" s="216">
        <v>-0.47348000000000001</v>
      </c>
      <c r="H118" s="216">
        <v>0.91220000000000001</v>
      </c>
      <c r="I118" s="216">
        <v>5.1000000000000004E-4</v>
      </c>
      <c r="K118" s="25" t="s">
        <v>357</v>
      </c>
      <c r="L118" s="26" t="s">
        <v>358</v>
      </c>
      <c r="M118" s="27" t="s">
        <v>359</v>
      </c>
      <c r="N118" s="27" t="s">
        <v>360</v>
      </c>
      <c r="O118" s="27" t="s">
        <v>361</v>
      </c>
      <c r="P118" s="27" t="s">
        <v>362</v>
      </c>
      <c r="Q118" s="27" t="s">
        <v>363</v>
      </c>
      <c r="R118" s="28" t="s">
        <v>364</v>
      </c>
      <c r="S118" s="17"/>
      <c r="T118" s="29" t="s">
        <v>365</v>
      </c>
      <c r="U118" s="29" t="s">
        <v>358</v>
      </c>
      <c r="V118" s="30" t="s">
        <v>361</v>
      </c>
      <c r="W118" s="30" t="s">
        <v>362</v>
      </c>
      <c r="X118" s="30" t="s">
        <v>363</v>
      </c>
      <c r="Y118" s="29" t="s">
        <v>366</v>
      </c>
      <c r="Z118" s="31" t="s">
        <v>367</v>
      </c>
      <c r="AA118" s="23" t="s">
        <v>368</v>
      </c>
      <c r="AB118" s="23" t="s">
        <v>369</v>
      </c>
      <c r="AC118" s="22" t="s">
        <v>0</v>
      </c>
      <c r="AD118" s="22" t="s">
        <v>1</v>
      </c>
      <c r="AE118" s="22" t="s">
        <v>370</v>
      </c>
      <c r="AF118" s="22" t="s">
        <v>371</v>
      </c>
      <c r="AG118" s="22" t="s">
        <v>372</v>
      </c>
      <c r="AH118" s="32" t="s">
        <v>373</v>
      </c>
      <c r="AJ118" s="143" t="s">
        <v>365</v>
      </c>
      <c r="AK118" s="144" t="s">
        <v>498</v>
      </c>
      <c r="AL118" s="145"/>
      <c r="AM118" s="139"/>
      <c r="AN118" s="146" t="s">
        <v>499</v>
      </c>
      <c r="AO118" s="145"/>
      <c r="AP118" s="139"/>
      <c r="AQ118" s="147" t="s">
        <v>506</v>
      </c>
      <c r="AR118" s="48">
        <v>3500</v>
      </c>
      <c r="AS118" s="147" t="s">
        <v>405</v>
      </c>
      <c r="AT118" s="146" t="s">
        <v>512</v>
      </c>
      <c r="AU118" s="145"/>
      <c r="AV118" s="145"/>
      <c r="AW118" s="145"/>
      <c r="AX118" s="163" t="s">
        <v>532</v>
      </c>
      <c r="AY118" s="157" t="s">
        <v>515</v>
      </c>
      <c r="AZ118" s="169">
        <v>6.9</v>
      </c>
      <c r="BA118" s="171" t="str">
        <f>IF(MAX(AU122:AU123)&lt;=AZ118,"OK","REDIS")</f>
        <v>REDIS</v>
      </c>
      <c r="BB118" s="163" t="s">
        <v>536</v>
      </c>
      <c r="BC118" s="170" t="s">
        <v>515</v>
      </c>
      <c r="BD118" s="169">
        <v>8.36</v>
      </c>
      <c r="BE118" s="171" t="str">
        <f>IF(MAX(AU122:AU123)&lt;=BD118,"OK","REDIS")</f>
        <v>REDIS</v>
      </c>
      <c r="BG118" s="9"/>
      <c r="BH118" s="16"/>
      <c r="BI118" s="208"/>
      <c r="BJ118" s="124"/>
      <c r="BK118" s="63"/>
      <c r="BL118" s="63"/>
      <c r="BM118" s="125"/>
      <c r="BN118" s="133"/>
      <c r="BO118" s="44"/>
      <c r="BP118" s="64"/>
      <c r="BQ118" s="125"/>
      <c r="BS118" s="63"/>
      <c r="BT118" s="63"/>
      <c r="BU118" s="63"/>
      <c r="BV118" s="63"/>
    </row>
    <row r="119" spans="1:74" ht="15" hidden="1" x14ac:dyDescent="0.25">
      <c r="A119" s="216" t="s">
        <v>656</v>
      </c>
      <c r="B119" s="216" t="s">
        <v>351</v>
      </c>
      <c r="C119" s="216" t="s">
        <v>352</v>
      </c>
      <c r="D119" s="216">
        <v>0.3362</v>
      </c>
      <c r="E119" s="216">
        <v>0.76859999999999995</v>
      </c>
      <c r="F119" s="216">
        <v>14.353999999999999</v>
      </c>
      <c r="G119" s="216">
        <v>-0.40894000000000003</v>
      </c>
      <c r="H119" s="216">
        <v>0.36893999999999999</v>
      </c>
      <c r="I119" s="216">
        <v>7.1000000000000002E-4</v>
      </c>
      <c r="K119" s="33" t="str">
        <f>+A119</f>
        <v>76</v>
      </c>
      <c r="L119" s="17" t="s">
        <v>374</v>
      </c>
      <c r="M119" s="34">
        <f t="shared" ref="M119:R119" si="143">D119+D120</f>
        <v>0.54089999999999994</v>
      </c>
      <c r="N119" s="34">
        <f t="shared" si="143"/>
        <v>1.2264999999999999</v>
      </c>
      <c r="O119" s="34">
        <f t="shared" si="143"/>
        <v>22.635199999999998</v>
      </c>
      <c r="P119" s="34">
        <f t="shared" si="143"/>
        <v>-0.62789000000000006</v>
      </c>
      <c r="Q119" s="34">
        <f t="shared" si="143"/>
        <v>0.59297</v>
      </c>
      <c r="R119" s="35">
        <f t="shared" si="143"/>
        <v>1.14E-3</v>
      </c>
      <c r="S119" s="17"/>
      <c r="T119" s="29" t="str">
        <f>K119</f>
        <v>76</v>
      </c>
      <c r="U119" s="29" t="s">
        <v>374</v>
      </c>
      <c r="V119" s="23">
        <f t="shared" ref="V119:X123" si="144">O119</f>
        <v>22.635199999999998</v>
      </c>
      <c r="W119" s="23">
        <f t="shared" si="144"/>
        <v>-0.62789000000000006</v>
      </c>
      <c r="X119" s="23">
        <f t="shared" si="144"/>
        <v>0.59297</v>
      </c>
      <c r="Y119" s="29">
        <v>15</v>
      </c>
      <c r="Z119" s="31">
        <f>ABS(V119)/AC119/AD119</f>
        <v>16.643529411764703</v>
      </c>
      <c r="AA119" s="23">
        <f>ABS(+W119/V119)</f>
        <v>2.7739538418039167E-2</v>
      </c>
      <c r="AB119" s="23">
        <f>ABS(X119/V119)</f>
        <v>2.6196808510638301E-2</v>
      </c>
      <c r="AC119" s="36">
        <v>0.8</v>
      </c>
      <c r="AD119" s="37">
        <v>1.7</v>
      </c>
      <c r="AE119" s="22">
        <f t="shared" ref="AE119:AF123" si="145">AC119-2*AA119</f>
        <v>0.74452092316392171</v>
      </c>
      <c r="AF119" s="22">
        <f t="shared" si="145"/>
        <v>1.6476063829787233</v>
      </c>
      <c r="AG119" s="22">
        <f>AF119*AE119</f>
        <v>1.226677425266089</v>
      </c>
      <c r="AH119" s="38">
        <f>V119/AG119</f>
        <v>18.452446856670573</v>
      </c>
      <c r="AJ119" s="48" t="str">
        <f>+K119</f>
        <v>76</v>
      </c>
      <c r="AK119" s="147" t="s">
        <v>0</v>
      </c>
      <c r="AL119" s="147" t="s">
        <v>1</v>
      </c>
      <c r="AM119" s="147" t="s">
        <v>438</v>
      </c>
      <c r="AN119" s="147" t="s">
        <v>503</v>
      </c>
      <c r="AO119" s="147" t="s">
        <v>504</v>
      </c>
      <c r="AP119" s="147" t="s">
        <v>323</v>
      </c>
      <c r="AQ119" s="48"/>
      <c r="AR119" s="48"/>
      <c r="AS119" s="48"/>
      <c r="AT119" s="147" t="s">
        <v>0</v>
      </c>
      <c r="AU119" s="147" t="s">
        <v>1</v>
      </c>
      <c r="AV119" s="147" t="s">
        <v>513</v>
      </c>
      <c r="AW119" s="159" t="s">
        <v>520</v>
      </c>
      <c r="AX119" s="141" t="s">
        <v>530</v>
      </c>
      <c r="AY119" s="157" t="s">
        <v>178</v>
      </c>
      <c r="AZ119" s="44">
        <v>12</v>
      </c>
      <c r="BA119" s="172" t="str">
        <f>IF(AW122&lt;=AZ119,"OK","REDIS")</f>
        <v>OK</v>
      </c>
      <c r="BB119" s="141" t="s">
        <v>535</v>
      </c>
      <c r="BC119" s="120" t="s">
        <v>178</v>
      </c>
      <c r="BD119" s="44">
        <v>4.3</v>
      </c>
      <c r="BE119" s="172" t="str">
        <f>IF(AW122&lt;=BD119,"OK","REDIS")</f>
        <v>OK</v>
      </c>
      <c r="BG119" s="113"/>
      <c r="BH119" s="68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126"/>
      <c r="BV119" s="63"/>
    </row>
    <row r="120" spans="1:74" ht="15" hidden="1" x14ac:dyDescent="0.25">
      <c r="A120" s="216" t="s">
        <v>656</v>
      </c>
      <c r="B120" s="216" t="s">
        <v>353</v>
      </c>
      <c r="C120" s="216" t="s">
        <v>352</v>
      </c>
      <c r="D120" s="216">
        <v>0.20469999999999999</v>
      </c>
      <c r="E120" s="216">
        <v>0.45789999999999997</v>
      </c>
      <c r="F120" s="216">
        <v>8.2812000000000001</v>
      </c>
      <c r="G120" s="216">
        <v>-0.21895000000000001</v>
      </c>
      <c r="H120" s="216">
        <v>0.22403000000000001</v>
      </c>
      <c r="I120" s="216">
        <v>4.2999999999999999E-4</v>
      </c>
      <c r="K120" s="33"/>
      <c r="L120" s="17" t="s">
        <v>375</v>
      </c>
      <c r="M120" s="34">
        <f t="shared" ref="M120:R120" si="146">D119+0.25*D120+D121</f>
        <v>0.22017500000000004</v>
      </c>
      <c r="N120" s="34">
        <f t="shared" si="146"/>
        <v>0.91107499999999997</v>
      </c>
      <c r="O120" s="34">
        <f t="shared" si="146"/>
        <v>17.134499999999999</v>
      </c>
      <c r="P120" s="34">
        <f t="shared" si="146"/>
        <v>-0.52851749999999997</v>
      </c>
      <c r="Q120" s="34">
        <f t="shared" si="146"/>
        <v>0.12876749999999998</v>
      </c>
      <c r="R120" s="35">
        <f t="shared" si="146"/>
        <v>4.5749999999999995E-4</v>
      </c>
      <c r="S120" s="17"/>
      <c r="T120" s="29"/>
      <c r="U120" s="29" t="s">
        <v>375</v>
      </c>
      <c r="V120" s="23">
        <f t="shared" si="144"/>
        <v>17.134499999999999</v>
      </c>
      <c r="W120" s="23">
        <f t="shared" si="144"/>
        <v>-0.52851749999999997</v>
      </c>
      <c r="X120" s="23">
        <f t="shared" si="144"/>
        <v>0.12876749999999998</v>
      </c>
      <c r="Y120" s="29">
        <f>1.33*Y119</f>
        <v>19.950000000000003</v>
      </c>
      <c r="Z120" s="31">
        <f>ABS(V120)/AC120/AD120</f>
        <v>12.598897058823528</v>
      </c>
      <c r="AA120" s="23">
        <f>ABS(+W120/V120)</f>
        <v>3.0845224546966647E-2</v>
      </c>
      <c r="AB120" s="23">
        <f>ABS(X120/V120)</f>
        <v>7.5151011117919981E-3</v>
      </c>
      <c r="AC120" s="36">
        <f t="shared" ref="AC120:AD123" si="147">AC119</f>
        <v>0.8</v>
      </c>
      <c r="AD120" s="37">
        <f t="shared" si="147"/>
        <v>1.7</v>
      </c>
      <c r="AE120" s="22">
        <f t="shared" si="145"/>
        <v>0.73830955090606676</v>
      </c>
      <c r="AF120" s="22">
        <f t="shared" si="145"/>
        <v>1.684969797776416</v>
      </c>
      <c r="AG120" s="22">
        <f>AF120*AE120</f>
        <v>1.2440292946865918</v>
      </c>
      <c r="AH120" s="38">
        <f>V120/AG120</f>
        <v>13.773389479800548</v>
      </c>
      <c r="AJ120" s="147" t="s">
        <v>539</v>
      </c>
      <c r="AK120" s="148">
        <v>160</v>
      </c>
      <c r="AL120" s="148">
        <v>300</v>
      </c>
      <c r="AM120" s="148">
        <v>4</v>
      </c>
      <c r="AN120" s="149">
        <v>250</v>
      </c>
      <c r="AO120" s="149">
        <v>500</v>
      </c>
      <c r="AP120" s="149">
        <v>25</v>
      </c>
      <c r="AQ120" s="48"/>
      <c r="AR120" s="48"/>
      <c r="AS120" s="48"/>
      <c r="AT120" s="48">
        <v>3</v>
      </c>
      <c r="AU120" s="48">
        <v>3</v>
      </c>
      <c r="AV120" s="149">
        <f>+AT120*2+(AU120-2)*2</f>
        <v>8</v>
      </c>
      <c r="AW120" s="159">
        <v>1.2</v>
      </c>
      <c r="AX120" s="155" t="s">
        <v>538</v>
      </c>
      <c r="AY120" s="180">
        <f>+AV120</f>
        <v>8</v>
      </c>
      <c r="BA120" s="154"/>
      <c r="BB120" s="177" t="s">
        <v>537</v>
      </c>
      <c r="BC120" s="179">
        <v>1</v>
      </c>
      <c r="BD120" s="166" t="s">
        <v>526</v>
      </c>
      <c r="BE120" s="154"/>
      <c r="BG120" s="113"/>
      <c r="BH120" s="68"/>
      <c r="BI120" s="114"/>
      <c r="BJ120" s="45"/>
      <c r="BK120" s="63"/>
      <c r="BL120" s="63"/>
      <c r="BM120" s="63"/>
      <c r="BN120" s="70"/>
      <c r="BO120" s="70"/>
      <c r="BP120" s="44"/>
      <c r="BQ120" s="63"/>
      <c r="BR120" s="44"/>
      <c r="BS120" s="70"/>
      <c r="BT120" s="70"/>
      <c r="BU120" s="207"/>
      <c r="BV120" s="63"/>
    </row>
    <row r="121" spans="1:74" ht="15" hidden="1" x14ac:dyDescent="0.25">
      <c r="A121" s="216" t="s">
        <v>656</v>
      </c>
      <c r="B121" s="216" t="s">
        <v>354</v>
      </c>
      <c r="C121" s="216" t="s">
        <v>352</v>
      </c>
      <c r="D121" s="216">
        <v>-0.16719999999999999</v>
      </c>
      <c r="E121" s="216">
        <v>2.8000000000000001E-2</v>
      </c>
      <c r="F121" s="216">
        <v>0.71020000000000005</v>
      </c>
      <c r="G121" s="216">
        <v>-6.4839999999999995E-2</v>
      </c>
      <c r="H121" s="216">
        <v>-0.29618</v>
      </c>
      <c r="I121" s="216">
        <v>-3.6000000000000002E-4</v>
      </c>
      <c r="K121" s="33"/>
      <c r="L121" s="17" t="s">
        <v>376</v>
      </c>
      <c r="M121" s="34">
        <f t="shared" ref="M121:R121" si="148">D119+0.25*D120-D121</f>
        <v>0.55457500000000004</v>
      </c>
      <c r="N121" s="34">
        <f t="shared" si="148"/>
        <v>0.85507499999999992</v>
      </c>
      <c r="O121" s="34">
        <f t="shared" si="148"/>
        <v>15.714099999999998</v>
      </c>
      <c r="P121" s="34">
        <f t="shared" si="148"/>
        <v>-0.39883750000000001</v>
      </c>
      <c r="Q121" s="34">
        <f t="shared" si="148"/>
        <v>0.72112749999999992</v>
      </c>
      <c r="R121" s="35">
        <f t="shared" si="148"/>
        <v>1.1774999999999999E-3</v>
      </c>
      <c r="S121" s="17"/>
      <c r="T121" s="29"/>
      <c r="U121" s="29" t="s">
        <v>376</v>
      </c>
      <c r="V121" s="23">
        <f t="shared" si="144"/>
        <v>15.714099999999998</v>
      </c>
      <c r="W121" s="23">
        <f t="shared" si="144"/>
        <v>-0.39883750000000001</v>
      </c>
      <c r="X121" s="23">
        <f t="shared" si="144"/>
        <v>0.72112749999999992</v>
      </c>
      <c r="Y121" s="29"/>
      <c r="Z121" s="31">
        <f>ABS(V121)/AC121/AD121</f>
        <v>11.554485294117645</v>
      </c>
      <c r="AA121" s="23">
        <f>ABS(+W121/V121)</f>
        <v>2.5380868137532538E-2</v>
      </c>
      <c r="AB121" s="23">
        <f>ABS(X121/V121)</f>
        <v>4.5890474160149165E-2</v>
      </c>
      <c r="AC121" s="36">
        <f t="shared" si="147"/>
        <v>0.8</v>
      </c>
      <c r="AD121" s="37">
        <f t="shared" si="147"/>
        <v>1.7</v>
      </c>
      <c r="AE121" s="22">
        <f t="shared" si="145"/>
        <v>0.74923826372493496</v>
      </c>
      <c r="AF121" s="22">
        <f t="shared" si="145"/>
        <v>1.6082190516797017</v>
      </c>
      <c r="AG121" s="22">
        <f>AF121*AE121</f>
        <v>1.2049392499698612</v>
      </c>
      <c r="AH121" s="38">
        <f>V121/AG121</f>
        <v>13.04140436988259</v>
      </c>
      <c r="AJ121" s="146" t="s">
        <v>514</v>
      </c>
      <c r="AK121" s="145"/>
      <c r="AL121" s="145"/>
      <c r="AM121" s="145"/>
      <c r="AN121" s="139"/>
      <c r="AO121" s="146" t="s">
        <v>507</v>
      </c>
      <c r="AP121" s="145" t="s">
        <v>626</v>
      </c>
      <c r="AQ121" s="145">
        <f>0.6*AR118</f>
        <v>2100</v>
      </c>
      <c r="AR121" s="212" t="s">
        <v>627</v>
      </c>
      <c r="AS121" s="211">
        <f>+AR122+AR123</f>
        <v>7436.7348749999992</v>
      </c>
      <c r="AT121" s="48" t="s">
        <v>515</v>
      </c>
      <c r="AU121" s="48"/>
      <c r="AV121" s="48" t="s">
        <v>518</v>
      </c>
      <c r="AW121" s="160"/>
      <c r="AX121" s="155" t="s">
        <v>524</v>
      </c>
      <c r="AY121" s="182">
        <f>IF(BC120=(1+1/4),+(1+3/8),IF(BC120=1,(1+1/8),IF(BC120=(7/8),1,IF(BC120=(3/4),+(7/8),IF(BC120=(5/8),+(3/4),IF(BC120=(1/2),(9/16),IF(BC120=(3/8),+(7/16),"no valido")))))))</f>
        <v>1.125</v>
      </c>
      <c r="AZ121" s="165" t="s">
        <v>526</v>
      </c>
      <c r="BA121" s="172" t="s">
        <v>531</v>
      </c>
      <c r="BB121" s="178" t="s">
        <v>529</v>
      </c>
      <c r="BC121" s="158">
        <f>+AY122+3</f>
        <v>12</v>
      </c>
      <c r="BD121" s="166" t="s">
        <v>526</v>
      </c>
      <c r="BE121" s="172" t="s">
        <v>531</v>
      </c>
      <c r="BG121" s="113"/>
      <c r="BH121" s="68"/>
      <c r="BI121" s="209"/>
      <c r="BJ121" s="134"/>
      <c r="BK121" s="135"/>
      <c r="BL121" s="63"/>
      <c r="BM121" s="125"/>
      <c r="BN121" s="133"/>
      <c r="BO121" s="44"/>
      <c r="BR121" s="135"/>
      <c r="BS121" s="63"/>
      <c r="BT121" s="125"/>
      <c r="BU121" s="133"/>
      <c r="BV121" s="44"/>
    </row>
    <row r="122" spans="1:74" ht="15" hidden="1" x14ac:dyDescent="0.25">
      <c r="A122" s="216" t="s">
        <v>656</v>
      </c>
      <c r="B122" s="216" t="s">
        <v>355</v>
      </c>
      <c r="C122" s="216" t="s">
        <v>352</v>
      </c>
      <c r="D122" s="216">
        <v>-1.7399999999999999E-2</v>
      </c>
      <c r="E122" s="216">
        <v>-2.7949000000000002</v>
      </c>
      <c r="F122" s="216">
        <v>-0.52769999999999995</v>
      </c>
      <c r="G122" s="216">
        <v>6.6485500000000002</v>
      </c>
      <c r="H122" s="216">
        <v>-2.5100000000000001E-2</v>
      </c>
      <c r="I122" s="216">
        <v>-9.4740000000000004E-5</v>
      </c>
      <c r="K122" s="33"/>
      <c r="L122" s="17" t="s">
        <v>377</v>
      </c>
      <c r="M122" s="34">
        <f t="shared" ref="M122:R122" si="149">D119+0.25*D120+D122</f>
        <v>0.36997500000000005</v>
      </c>
      <c r="N122" s="34">
        <f t="shared" si="149"/>
        <v>-1.9118250000000003</v>
      </c>
      <c r="O122" s="34">
        <f t="shared" si="149"/>
        <v>15.896599999999999</v>
      </c>
      <c r="P122" s="34">
        <f t="shared" si="149"/>
        <v>6.1848725</v>
      </c>
      <c r="Q122" s="34">
        <f t="shared" si="149"/>
        <v>0.39984749999999997</v>
      </c>
      <c r="R122" s="35">
        <f t="shared" si="149"/>
        <v>7.2276000000000003E-4</v>
      </c>
      <c r="S122" s="17"/>
      <c r="T122" s="29"/>
      <c r="U122" s="29" t="s">
        <v>377</v>
      </c>
      <c r="V122" s="23">
        <f t="shared" si="144"/>
        <v>15.896599999999999</v>
      </c>
      <c r="W122" s="23">
        <f t="shared" si="144"/>
        <v>6.1848725</v>
      </c>
      <c r="X122" s="23">
        <f t="shared" si="144"/>
        <v>0.39984749999999997</v>
      </c>
      <c r="Y122" s="29"/>
      <c r="Z122" s="31">
        <f>ABS(V122)/AC122/AD122</f>
        <v>11.688676470588234</v>
      </c>
      <c r="AA122" s="23">
        <f>ABS(+W122/V122)</f>
        <v>0.38906888894480585</v>
      </c>
      <c r="AB122" s="23">
        <f>ABS(X122/V122)</f>
        <v>2.5153020142672018E-2</v>
      </c>
      <c r="AC122" s="36">
        <f t="shared" si="147"/>
        <v>0.8</v>
      </c>
      <c r="AD122" s="37">
        <f t="shared" si="147"/>
        <v>1.7</v>
      </c>
      <c r="AE122" s="22">
        <f t="shared" si="145"/>
        <v>2.1862222110388352E-2</v>
      </c>
      <c r="AF122" s="22">
        <f t="shared" si="145"/>
        <v>1.6496939597146558</v>
      </c>
      <c r="AG122" s="22">
        <f>AF122*AE122</f>
        <v>3.6065975761447856E-2</v>
      </c>
      <c r="AH122" s="38">
        <f>V122/AG122</f>
        <v>440.76445082604459</v>
      </c>
      <c r="AJ122" s="147" t="s">
        <v>500</v>
      </c>
      <c r="AK122" s="24">
        <f>(MAX(V119:V123)+ABS(MAX(W119:W123))/(AL120/1000))*1000</f>
        <v>43251.441666666666</v>
      </c>
      <c r="AL122" s="150" t="s">
        <v>502</v>
      </c>
      <c r="AM122" s="24">
        <f>+ABS(MAX(AK122:AK123))/(+AK120*2/10+AL120*2/10)/(AP120/10)</f>
        <v>188.04974637681158</v>
      </c>
      <c r="AN122" s="151" t="str">
        <f>IF(AM122&lt;=AM123,"OK","REDIS")</f>
        <v>OK</v>
      </c>
      <c r="AO122" s="150" t="s">
        <v>508</v>
      </c>
      <c r="AP122" s="24">
        <f>((AO120/10/2-AL120/10/2)/2)*((MAX(ABS(MAX(W119:W123)),ABS(MIN(W119:W123)))*100000))/(AL120/10)</f>
        <v>118537.125</v>
      </c>
      <c r="AQ122" s="150" t="s">
        <v>510</v>
      </c>
      <c r="AR122" s="24">
        <f>+AP122/(AK120*AP120*AP120/6/10/10/10)</f>
        <v>7112.2274999999991</v>
      </c>
      <c r="AS122" s="152" t="str">
        <f>IF(AR122&lt;=0.6*AR118*1.1,"OK","REDIS")</f>
        <v>REDIS</v>
      </c>
      <c r="AT122" s="24" t="s">
        <v>516</v>
      </c>
      <c r="AU122" s="174">
        <f>+AW120*(AP122/100000)/((AO120-AL120)/1000/4)/(AT120-1)</f>
        <v>14.224454999999999</v>
      </c>
      <c r="AV122" s="24" t="s">
        <v>519</v>
      </c>
      <c r="AW122" s="175">
        <f>+AW120*(ABS(MAX(M119:M123))+ABS(MIN(M119:M123)+ABS(MAX(N119:N123))+ABS(MIN(N119:N123))))/AV120</f>
        <v>0.95468249999999999</v>
      </c>
      <c r="AX122" s="155" t="s">
        <v>525</v>
      </c>
      <c r="AY122" s="182">
        <f>IF(BC120=(1+1/4),+(11-1/4),IF(BC120=1,(9),IF(BC120=(7/8),(7-7/8),IF(BC120=(3/4),+(6-3/4),IF(BC120=(5/8),+(5-5/8),IF(BC120=(1/2),(4-1/2),IF(BC120=(3-3/8),+(7/16),"no valido")))))))</f>
        <v>9</v>
      </c>
      <c r="AZ122" s="166" t="s">
        <v>526</v>
      </c>
      <c r="BA122" s="168" t="s">
        <v>533</v>
      </c>
      <c r="BB122" s="153" t="s">
        <v>521</v>
      </c>
      <c r="BC122" s="44">
        <f>+AV120</f>
        <v>8</v>
      </c>
      <c r="BD122" s="166" t="s">
        <v>527</v>
      </c>
      <c r="BE122" s="162" t="s">
        <v>534</v>
      </c>
      <c r="BG122" s="113"/>
      <c r="BH122" s="68"/>
      <c r="BI122" s="136"/>
      <c r="BJ122" s="128"/>
      <c r="BK122" s="111"/>
      <c r="BL122" s="16"/>
      <c r="BM122" s="63"/>
      <c r="BN122" s="44"/>
      <c r="BO122" s="126"/>
      <c r="BR122" s="111"/>
      <c r="BS122" s="16"/>
      <c r="BT122" s="63"/>
      <c r="BU122" s="44"/>
      <c r="BV122" s="126"/>
    </row>
    <row r="123" spans="1:74" ht="15" hidden="1" x14ac:dyDescent="0.25">
      <c r="A123" s="216" t="s">
        <v>656</v>
      </c>
      <c r="B123" s="216" t="s">
        <v>624</v>
      </c>
      <c r="C123" s="216" t="s">
        <v>389</v>
      </c>
      <c r="D123" s="216">
        <v>0.47060000000000002</v>
      </c>
      <c r="E123" s="216">
        <v>1.0760000000000001</v>
      </c>
      <c r="F123" s="216">
        <v>20.095600000000001</v>
      </c>
      <c r="G123" s="216">
        <v>-0.57252000000000003</v>
      </c>
      <c r="H123" s="216">
        <v>0.51651000000000002</v>
      </c>
      <c r="I123" s="216">
        <v>9.8999999999999999E-4</v>
      </c>
      <c r="K123" s="39"/>
      <c r="L123" s="40" t="s">
        <v>378</v>
      </c>
      <c r="M123" s="41">
        <f t="shared" ref="M123:R123" si="150">D119+0.25*D120-D122</f>
        <v>0.404775</v>
      </c>
      <c r="N123" s="41">
        <f t="shared" si="150"/>
        <v>3.677975</v>
      </c>
      <c r="O123" s="41">
        <f t="shared" si="150"/>
        <v>16.951999999999998</v>
      </c>
      <c r="P123" s="41">
        <f t="shared" si="150"/>
        <v>-7.1122275000000004</v>
      </c>
      <c r="Q123" s="41">
        <f t="shared" si="150"/>
        <v>0.45004749999999999</v>
      </c>
      <c r="R123" s="42">
        <f t="shared" si="150"/>
        <v>9.1223999999999993E-4</v>
      </c>
      <c r="S123" s="17"/>
      <c r="T123" s="29"/>
      <c r="U123" s="29" t="s">
        <v>378</v>
      </c>
      <c r="V123" s="23">
        <f t="shared" si="144"/>
        <v>16.951999999999998</v>
      </c>
      <c r="W123" s="23">
        <f t="shared" si="144"/>
        <v>-7.1122275000000004</v>
      </c>
      <c r="X123" s="23">
        <f t="shared" si="144"/>
        <v>0.45004749999999999</v>
      </c>
      <c r="Y123" s="29"/>
      <c r="Z123" s="31">
        <f>ABS(V123)/AC123/AD123</f>
        <v>12.46470588235294</v>
      </c>
      <c r="AA123" s="23">
        <f>ABS(+W123/V123)</f>
        <v>0.41955093794242576</v>
      </c>
      <c r="AB123" s="23">
        <f>ABS(X123/V123)</f>
        <v>2.6548342378480416E-2</v>
      </c>
      <c r="AC123" s="36">
        <f t="shared" si="147"/>
        <v>0.8</v>
      </c>
      <c r="AD123" s="37">
        <f t="shared" si="147"/>
        <v>1.7</v>
      </c>
      <c r="AE123" s="22">
        <f t="shared" si="145"/>
        <v>-3.9101875884851478E-2</v>
      </c>
      <c r="AF123" s="22">
        <f t="shared" si="145"/>
        <v>1.6469033152430392</v>
      </c>
      <c r="AG123" s="22">
        <f>AF123*AE123</f>
        <v>-6.4397009026983754E-2</v>
      </c>
      <c r="AH123" s="38">
        <f>V123/AG123</f>
        <v>-263.24203959374478</v>
      </c>
      <c r="AJ123" s="147" t="s">
        <v>501</v>
      </c>
      <c r="AK123" s="24">
        <f>(MAX(V119:V123)+ABS(MAX(X119:X123))/(AK120/1000))*1000</f>
        <v>27142.246874999997</v>
      </c>
      <c r="AL123" s="150" t="s">
        <v>505</v>
      </c>
      <c r="AM123" s="24">
        <f>+AR118*0.4/3</f>
        <v>466.66666666666669</v>
      </c>
      <c r="AN123" s="24"/>
      <c r="AO123" s="150" t="s">
        <v>509</v>
      </c>
      <c r="AP123" s="24">
        <f>((AN120/10/2-AK120/10/2)/2)*(MAX(+ABS(MAX(X119:X123)),ABS(MIN(X119:X123)))*100000/(AK120/10))</f>
        <v>10140.855468749998</v>
      </c>
      <c r="AQ123" s="150" t="s">
        <v>511</v>
      </c>
      <c r="AR123" s="24">
        <f>+AP123/(AL120*AP120*AP120/6/1000)</f>
        <v>324.50737499999997</v>
      </c>
      <c r="AS123" s="152" t="str">
        <f>IF(AR123&lt;=0.6*AR118*1.1,"OK","REDIS")</f>
        <v>OK</v>
      </c>
      <c r="AT123" s="24" t="s">
        <v>517</v>
      </c>
      <c r="AU123" s="174">
        <f>+AW120*(AP123/100000)/((AN120-AK120)/1000/4)/(AU120-1)</f>
        <v>2.7042281249999993</v>
      </c>
      <c r="AV123" s="24"/>
      <c r="AW123" s="161"/>
      <c r="AX123" s="156" t="s">
        <v>522</v>
      </c>
      <c r="AY123" s="181">
        <f>IF(AY121=(1+3/8),+AV120/3,IF(AY121=(1+1/8),+AV120/6,IF(AY121=1,+AV120/8,IF(AY121=(7/8),+AV120/11,IF(AY121=0.75,+AV120/18,IF(AY121=(9/16),+AV120/45,IF(AY121=(7/16),+AV120/84,"NO HAY DATO")))))))</f>
        <v>1.3333333333333333</v>
      </c>
      <c r="AZ123" s="167" t="s">
        <v>527</v>
      </c>
      <c r="BA123" s="176"/>
      <c r="BB123" s="164" t="s">
        <v>523</v>
      </c>
      <c r="BC123" s="129">
        <f>+BC122*BC121*2.54/100</f>
        <v>2.4384000000000001</v>
      </c>
      <c r="BD123" s="173" t="s">
        <v>528</v>
      </c>
      <c r="BE123" s="130"/>
      <c r="BG123" s="113"/>
      <c r="BH123" s="68"/>
      <c r="BI123" s="136"/>
      <c r="BJ123" s="128"/>
      <c r="BM123" s="137"/>
      <c r="BN123" s="63"/>
      <c r="BO123" s="125"/>
      <c r="BT123" s="137"/>
      <c r="BU123" s="63"/>
      <c r="BV123" s="125"/>
    </row>
    <row r="124" spans="1:74" ht="15" hidden="1" x14ac:dyDescent="0.25">
      <c r="A124" s="216" t="s">
        <v>656</v>
      </c>
      <c r="B124" s="216" t="s">
        <v>625</v>
      </c>
      <c r="C124" s="216" t="s">
        <v>389</v>
      </c>
      <c r="D124" s="216">
        <v>0.28639999999999999</v>
      </c>
      <c r="E124" s="216">
        <v>3.4098000000000002</v>
      </c>
      <c r="F124" s="216">
        <v>12.010899999999999</v>
      </c>
      <c r="G124" s="216">
        <v>-6.9757100000000003</v>
      </c>
      <c r="H124" s="216">
        <v>0.32024999999999998</v>
      </c>
      <c r="I124" s="216">
        <v>6.6E-4</v>
      </c>
      <c r="K124" s="25" t="s">
        <v>357</v>
      </c>
      <c r="L124" s="26" t="s">
        <v>358</v>
      </c>
      <c r="M124" s="27" t="s">
        <v>359</v>
      </c>
      <c r="N124" s="27" t="s">
        <v>360</v>
      </c>
      <c r="O124" s="27" t="s">
        <v>361</v>
      </c>
      <c r="P124" s="27" t="s">
        <v>362</v>
      </c>
      <c r="Q124" s="27" t="s">
        <v>363</v>
      </c>
      <c r="R124" s="28" t="s">
        <v>364</v>
      </c>
      <c r="S124" s="17"/>
      <c r="T124" s="29" t="s">
        <v>365</v>
      </c>
      <c r="U124" s="29" t="s">
        <v>358</v>
      </c>
      <c r="V124" s="30" t="s">
        <v>361</v>
      </c>
      <c r="W124" s="30" t="s">
        <v>362</v>
      </c>
      <c r="X124" s="30" t="s">
        <v>363</v>
      </c>
      <c r="Y124" s="29" t="s">
        <v>366</v>
      </c>
      <c r="Z124" s="31" t="s">
        <v>367</v>
      </c>
      <c r="AA124" s="23" t="s">
        <v>368</v>
      </c>
      <c r="AB124" s="23" t="s">
        <v>369</v>
      </c>
      <c r="AC124" s="22" t="s">
        <v>0</v>
      </c>
      <c r="AD124" s="22" t="s">
        <v>1</v>
      </c>
      <c r="AE124" s="22" t="s">
        <v>370</v>
      </c>
      <c r="AF124" s="22" t="s">
        <v>371</v>
      </c>
      <c r="AG124" s="22" t="s">
        <v>372</v>
      </c>
      <c r="AH124" s="32" t="s">
        <v>373</v>
      </c>
      <c r="AJ124" s="143" t="s">
        <v>365</v>
      </c>
      <c r="AK124" s="144" t="s">
        <v>498</v>
      </c>
      <c r="AL124" s="145"/>
      <c r="AM124" s="139"/>
      <c r="AN124" s="146" t="s">
        <v>499</v>
      </c>
      <c r="AO124" s="145"/>
      <c r="AP124" s="139"/>
      <c r="AQ124" s="147" t="s">
        <v>506</v>
      </c>
      <c r="AR124" s="48">
        <v>3500</v>
      </c>
      <c r="AS124" s="147" t="s">
        <v>405</v>
      </c>
      <c r="AT124" s="146" t="s">
        <v>512</v>
      </c>
      <c r="AU124" s="145"/>
      <c r="AV124" s="145"/>
      <c r="AW124" s="145"/>
      <c r="AX124" s="163" t="s">
        <v>532</v>
      </c>
      <c r="AY124" s="157" t="s">
        <v>515</v>
      </c>
      <c r="AZ124" s="169">
        <v>6.9</v>
      </c>
      <c r="BA124" s="171" t="str">
        <f>IF(MAX(AU128:AU129)&lt;=AZ124,"OK","REDIS")</f>
        <v>OK</v>
      </c>
      <c r="BB124" s="163" t="s">
        <v>536</v>
      </c>
      <c r="BC124" s="170" t="s">
        <v>515</v>
      </c>
      <c r="BD124" s="169">
        <v>8.36</v>
      </c>
      <c r="BE124" s="171" t="str">
        <f>IF(MAX(AU128:AU129)&lt;=BD124,"OK","REDIS")</f>
        <v>OK</v>
      </c>
      <c r="BG124" s="113"/>
      <c r="BH124" s="68"/>
      <c r="BI124" s="136"/>
      <c r="BJ124" s="138"/>
      <c r="BM124" s="125"/>
      <c r="BN124" s="133"/>
      <c r="BO124" s="44"/>
      <c r="BT124" s="125"/>
      <c r="BU124" s="133"/>
      <c r="BV124" s="44"/>
    </row>
    <row r="125" spans="1:74" ht="15" hidden="1" x14ac:dyDescent="0.25">
      <c r="A125" s="216" t="s">
        <v>657</v>
      </c>
      <c r="B125" s="216" t="s">
        <v>351</v>
      </c>
      <c r="C125" s="216" t="s">
        <v>352</v>
      </c>
      <c r="D125" s="216">
        <v>0.1041</v>
      </c>
      <c r="E125" s="216">
        <v>-6.5299999999999997E-2</v>
      </c>
      <c r="F125" s="216">
        <v>6.2375999999999996</v>
      </c>
      <c r="G125" s="216">
        <v>0.13593</v>
      </c>
      <c r="H125" s="216">
        <v>0.11602999999999999</v>
      </c>
      <c r="I125" s="216">
        <v>4.0840000000000002E-6</v>
      </c>
      <c r="K125" s="33" t="str">
        <f>+A125</f>
        <v>77</v>
      </c>
      <c r="L125" s="17" t="s">
        <v>374</v>
      </c>
      <c r="M125" s="34">
        <f t="shared" ref="M125:R125" si="151">D125+D126</f>
        <v>0.1673</v>
      </c>
      <c r="N125" s="34">
        <f t="shared" si="151"/>
        <v>-0.1033</v>
      </c>
      <c r="O125" s="34">
        <f t="shared" si="151"/>
        <v>9.7327999999999992</v>
      </c>
      <c r="P125" s="34">
        <f t="shared" si="151"/>
        <v>0.22192000000000001</v>
      </c>
      <c r="Q125" s="34">
        <f t="shared" si="151"/>
        <v>0.18651000000000001</v>
      </c>
      <c r="R125" s="35">
        <f t="shared" si="151"/>
        <v>8.3729999999999993E-6</v>
      </c>
      <c r="S125" s="17"/>
      <c r="T125" s="29" t="str">
        <f>K125</f>
        <v>77</v>
      </c>
      <c r="U125" s="29" t="s">
        <v>374</v>
      </c>
      <c r="V125" s="23">
        <f t="shared" ref="V125:X129" si="152">O125</f>
        <v>9.7327999999999992</v>
      </c>
      <c r="W125" s="23">
        <f t="shared" si="152"/>
        <v>0.22192000000000001</v>
      </c>
      <c r="X125" s="23">
        <f t="shared" si="152"/>
        <v>0.18651000000000001</v>
      </c>
      <c r="Y125" s="29">
        <v>26</v>
      </c>
      <c r="Z125" s="31">
        <f>ABS(V125)/AC125/AD125</f>
        <v>12.806315789473683</v>
      </c>
      <c r="AA125" s="23">
        <f>ABS(+W125/V125)</f>
        <v>2.2801249383527868E-2</v>
      </c>
      <c r="AB125" s="23">
        <f>ABS(X125/V125)</f>
        <v>1.9163036330757853E-2</v>
      </c>
      <c r="AC125" s="36">
        <v>0.8</v>
      </c>
      <c r="AD125" s="37">
        <v>0.95</v>
      </c>
      <c r="AE125" s="22">
        <f t="shared" ref="AE125:AF129" si="153">AC125-2*AA125</f>
        <v>0.75439750123294436</v>
      </c>
      <c r="AF125" s="22">
        <f t="shared" si="153"/>
        <v>0.91167392733848429</v>
      </c>
      <c r="AG125" s="22">
        <f>AF125*AE125</f>
        <v>0.68776453272337745</v>
      </c>
      <c r="AH125" s="38">
        <f>V125/AG125</f>
        <v>14.151354914247349</v>
      </c>
      <c r="AJ125" s="48" t="str">
        <f>+K125</f>
        <v>77</v>
      </c>
      <c r="AK125" s="147" t="s">
        <v>0</v>
      </c>
      <c r="AL125" s="147" t="s">
        <v>1</v>
      </c>
      <c r="AM125" s="147" t="s">
        <v>438</v>
      </c>
      <c r="AN125" s="147" t="s">
        <v>503</v>
      </c>
      <c r="AO125" s="147" t="s">
        <v>504</v>
      </c>
      <c r="AP125" s="147" t="s">
        <v>323</v>
      </c>
      <c r="AQ125" s="48"/>
      <c r="AR125" s="48"/>
      <c r="AS125" s="48"/>
      <c r="AT125" s="147" t="s">
        <v>0</v>
      </c>
      <c r="AU125" s="147" t="s">
        <v>1</v>
      </c>
      <c r="AV125" s="147" t="s">
        <v>513</v>
      </c>
      <c r="AW125" s="159" t="s">
        <v>520</v>
      </c>
      <c r="AX125" s="141" t="s">
        <v>530</v>
      </c>
      <c r="AY125" s="157" t="s">
        <v>178</v>
      </c>
      <c r="AZ125" s="44">
        <v>12</v>
      </c>
      <c r="BA125" s="172" t="str">
        <f>IF(AW128&lt;=AZ125,"OK","REDIS")</f>
        <v>OK</v>
      </c>
      <c r="BB125" s="141" t="s">
        <v>535</v>
      </c>
      <c r="BC125" s="120" t="s">
        <v>178</v>
      </c>
      <c r="BD125" s="44">
        <v>4.3</v>
      </c>
      <c r="BE125" s="172" t="str">
        <f>IF(AW128&lt;=BD125,"OK","REDIS")</f>
        <v>OK</v>
      </c>
      <c r="BI125" s="114"/>
      <c r="BJ125" s="45"/>
      <c r="BK125" s="63"/>
      <c r="BL125" s="63"/>
      <c r="BM125" s="63"/>
      <c r="BN125" s="70"/>
      <c r="BO125" s="70"/>
      <c r="BP125" s="64"/>
      <c r="BQ125" s="63"/>
      <c r="BR125" s="44"/>
      <c r="BS125" s="70"/>
      <c r="BT125" s="70"/>
      <c r="BU125" s="207"/>
    </row>
    <row r="126" spans="1:74" ht="15" hidden="1" x14ac:dyDescent="0.25">
      <c r="A126" s="216" t="s">
        <v>657</v>
      </c>
      <c r="B126" s="216" t="s">
        <v>353</v>
      </c>
      <c r="C126" s="216" t="s">
        <v>352</v>
      </c>
      <c r="D126" s="216">
        <v>6.3200000000000006E-2</v>
      </c>
      <c r="E126" s="216">
        <v>-3.7999999999999999E-2</v>
      </c>
      <c r="F126" s="216">
        <v>3.4952000000000001</v>
      </c>
      <c r="G126" s="216">
        <v>8.5989999999999997E-2</v>
      </c>
      <c r="H126" s="216">
        <v>7.0480000000000001E-2</v>
      </c>
      <c r="I126" s="216">
        <v>4.2889999999999999E-6</v>
      </c>
      <c r="K126" s="33"/>
      <c r="L126" s="17" t="s">
        <v>375</v>
      </c>
      <c r="M126" s="34">
        <f t="shared" ref="M126:R126" si="154">D125+0.25*D126+D127</f>
        <v>4.1400000000000006E-2</v>
      </c>
      <c r="N126" s="34">
        <f t="shared" si="154"/>
        <v>-6.0099999999999994E-2</v>
      </c>
      <c r="O126" s="34">
        <f t="shared" si="154"/>
        <v>7.3880999999999997</v>
      </c>
      <c r="P126" s="34">
        <f t="shared" si="154"/>
        <v>0.13373750000000001</v>
      </c>
      <c r="Q126" s="34">
        <f t="shared" si="154"/>
        <v>1.7739999999999992E-2</v>
      </c>
      <c r="R126" s="35">
        <f t="shared" si="154"/>
        <v>-5.1263749999999999E-5</v>
      </c>
      <c r="S126" s="17"/>
      <c r="T126" s="29"/>
      <c r="U126" s="29" t="s">
        <v>375</v>
      </c>
      <c r="V126" s="23">
        <f t="shared" si="152"/>
        <v>7.3880999999999997</v>
      </c>
      <c r="W126" s="23">
        <f t="shared" si="152"/>
        <v>0.13373750000000001</v>
      </c>
      <c r="X126" s="23">
        <f t="shared" si="152"/>
        <v>1.7739999999999992E-2</v>
      </c>
      <c r="Y126" s="29">
        <f>1.33*Y125</f>
        <v>34.58</v>
      </c>
      <c r="Z126" s="31">
        <f>ABS(V126)/AC126/AD126</f>
        <v>9.7211842105263138</v>
      </c>
      <c r="AA126" s="23">
        <f>ABS(+W126/V126)</f>
        <v>1.8101744697554177E-2</v>
      </c>
      <c r="AB126" s="23">
        <f>ABS(X126/V126)</f>
        <v>2.40115861994288E-3</v>
      </c>
      <c r="AC126" s="36">
        <f t="shared" ref="AC126:AD129" si="155">AC125</f>
        <v>0.8</v>
      </c>
      <c r="AD126" s="37">
        <f t="shared" si="155"/>
        <v>0.95</v>
      </c>
      <c r="AE126" s="22">
        <f t="shared" si="153"/>
        <v>0.76379651060489173</v>
      </c>
      <c r="AF126" s="22">
        <f t="shared" si="153"/>
        <v>0.94519768276011418</v>
      </c>
      <c r="AG126" s="22">
        <f>AF126*AE126</f>
        <v>0.72193869192400462</v>
      </c>
      <c r="AH126" s="38">
        <f>V126/AG126</f>
        <v>10.233694471078042</v>
      </c>
      <c r="AJ126" s="147" t="s">
        <v>539</v>
      </c>
      <c r="AK126" s="148">
        <v>160</v>
      </c>
      <c r="AL126" s="148">
        <v>300</v>
      </c>
      <c r="AM126" s="148">
        <v>4</v>
      </c>
      <c r="AN126" s="149">
        <v>250</v>
      </c>
      <c r="AO126" s="149">
        <v>500</v>
      </c>
      <c r="AP126" s="149">
        <v>25</v>
      </c>
      <c r="AQ126" s="48"/>
      <c r="AR126" s="48"/>
      <c r="AS126" s="48"/>
      <c r="AT126" s="48">
        <v>3</v>
      </c>
      <c r="AU126" s="48">
        <v>3</v>
      </c>
      <c r="AV126" s="149">
        <f>+AT126*2+(AU126-2)*2</f>
        <v>8</v>
      </c>
      <c r="AW126" s="159">
        <v>1.2</v>
      </c>
      <c r="AX126" s="155" t="s">
        <v>538</v>
      </c>
      <c r="AY126" s="180">
        <f>+AV126</f>
        <v>8</v>
      </c>
      <c r="BA126" s="154"/>
      <c r="BB126" s="177" t="s">
        <v>537</v>
      </c>
      <c r="BC126" s="179">
        <v>1</v>
      </c>
      <c r="BD126" s="166" t="s">
        <v>526</v>
      </c>
      <c r="BE126" s="154"/>
      <c r="BG126" s="109"/>
      <c r="BH126" s="142"/>
      <c r="BJ126" s="109"/>
      <c r="BK126" s="142"/>
      <c r="BM126" s="110"/>
      <c r="BN126" s="110"/>
      <c r="BO126" s="110"/>
      <c r="BP126" s="110"/>
    </row>
    <row r="127" spans="1:74" ht="15" hidden="1" x14ac:dyDescent="0.25">
      <c r="A127" s="216" t="s">
        <v>657</v>
      </c>
      <c r="B127" s="216" t="s">
        <v>354</v>
      </c>
      <c r="C127" s="216" t="s">
        <v>352</v>
      </c>
      <c r="D127" s="216">
        <v>-7.85E-2</v>
      </c>
      <c r="E127" s="216">
        <v>1.47E-2</v>
      </c>
      <c r="F127" s="216">
        <v>0.2767</v>
      </c>
      <c r="G127" s="216">
        <v>-2.3689999999999999E-2</v>
      </c>
      <c r="H127" s="216">
        <v>-0.11591</v>
      </c>
      <c r="I127" s="216">
        <v>-5.6419999999999999E-5</v>
      </c>
      <c r="K127" s="33"/>
      <c r="L127" s="17" t="s">
        <v>376</v>
      </c>
      <c r="M127" s="34">
        <f t="shared" ref="M127:R127" si="156">D125+0.25*D126-D127</f>
        <v>0.19840000000000002</v>
      </c>
      <c r="N127" s="34">
        <f t="shared" si="156"/>
        <v>-8.9499999999999996E-2</v>
      </c>
      <c r="O127" s="34">
        <f t="shared" si="156"/>
        <v>6.8346999999999998</v>
      </c>
      <c r="P127" s="34">
        <f t="shared" si="156"/>
        <v>0.18111749999999999</v>
      </c>
      <c r="Q127" s="34">
        <f t="shared" si="156"/>
        <v>0.24956</v>
      </c>
      <c r="R127" s="35">
        <f t="shared" si="156"/>
        <v>6.1576249999999998E-5</v>
      </c>
      <c r="S127" s="17"/>
      <c r="T127" s="29"/>
      <c r="U127" s="29" t="s">
        <v>376</v>
      </c>
      <c r="V127" s="23">
        <f t="shared" si="152"/>
        <v>6.8346999999999998</v>
      </c>
      <c r="W127" s="23">
        <f t="shared" si="152"/>
        <v>0.18111749999999999</v>
      </c>
      <c r="X127" s="23">
        <f t="shared" si="152"/>
        <v>0.24956</v>
      </c>
      <c r="Y127" s="29"/>
      <c r="Z127" s="31">
        <f>ABS(V127)/AC127/AD127</f>
        <v>8.9930263157894732</v>
      </c>
      <c r="AA127" s="23">
        <f>ABS(+W127/V127)</f>
        <v>2.6499700059988002E-2</v>
      </c>
      <c r="AB127" s="23">
        <f>ABS(X127/V127)</f>
        <v>3.6513672875181064E-2</v>
      </c>
      <c r="AC127" s="36">
        <f t="shared" si="155"/>
        <v>0.8</v>
      </c>
      <c r="AD127" s="37">
        <f t="shared" si="155"/>
        <v>0.95</v>
      </c>
      <c r="AE127" s="22">
        <f t="shared" si="153"/>
        <v>0.74700059988002399</v>
      </c>
      <c r="AF127" s="22">
        <f t="shared" si="153"/>
        <v>0.87697265424963788</v>
      </c>
      <c r="AG127" s="22">
        <f>AF127*AE127</f>
        <v>0.65509909880285633</v>
      </c>
      <c r="AH127" s="38">
        <f>V127/AG127</f>
        <v>10.433078006808273</v>
      </c>
      <c r="AJ127" s="146" t="s">
        <v>514</v>
      </c>
      <c r="AK127" s="145"/>
      <c r="AL127" s="145"/>
      <c r="AM127" s="145"/>
      <c r="AN127" s="139"/>
      <c r="AO127" s="146" t="s">
        <v>507</v>
      </c>
      <c r="AP127" s="145" t="s">
        <v>626</v>
      </c>
      <c r="AQ127" s="145">
        <f>0.6*AR124</f>
        <v>2100</v>
      </c>
      <c r="AR127" s="212" t="s">
        <v>627</v>
      </c>
      <c r="AS127" s="211">
        <f>+AR128+AR129</f>
        <v>1925.2294999999997</v>
      </c>
      <c r="AT127" s="48" t="s">
        <v>515</v>
      </c>
      <c r="AU127" s="48"/>
      <c r="AV127" s="48" t="s">
        <v>518</v>
      </c>
      <c r="AW127" s="160"/>
      <c r="AX127" s="155" t="s">
        <v>524</v>
      </c>
      <c r="AY127" s="182">
        <f>IF(BC126=(1+1/4),+(1+3/8),IF(BC126=1,(1+1/8),IF(BC126=(7/8),1,IF(BC126=(3/4),+(7/8),IF(BC126=(5/8),+(3/4),IF(BC126=(1/2),(9/16),IF(BC126=(3/8),+(7/16),"no valido")))))))</f>
        <v>1.125</v>
      </c>
      <c r="AZ127" s="165" t="s">
        <v>526</v>
      </c>
      <c r="BA127" s="172" t="s">
        <v>531</v>
      </c>
      <c r="BB127" s="178" t="s">
        <v>529</v>
      </c>
      <c r="BC127" s="158">
        <f>+AY128+3</f>
        <v>12</v>
      </c>
      <c r="BD127" s="166" t="s">
        <v>526</v>
      </c>
      <c r="BE127" s="172" t="s">
        <v>531</v>
      </c>
      <c r="BG127" s="111"/>
      <c r="BH127" s="9"/>
      <c r="BI127" s="125"/>
      <c r="BJ127" s="125"/>
      <c r="BK127" s="44"/>
      <c r="BL127" s="44"/>
      <c r="BM127" s="126"/>
      <c r="BN127" s="44"/>
      <c r="BO127" s="44"/>
      <c r="BP127" s="44"/>
      <c r="BQ127" s="126"/>
      <c r="BR127" s="44"/>
      <c r="BS127" s="44"/>
      <c r="BT127" s="44"/>
      <c r="BU127" s="44"/>
      <c r="BV127" s="44"/>
    </row>
    <row r="128" spans="1:74" ht="15" hidden="1" x14ac:dyDescent="0.25">
      <c r="A128" s="216" t="s">
        <v>657</v>
      </c>
      <c r="B128" s="216" t="s">
        <v>355</v>
      </c>
      <c r="C128" s="216" t="s">
        <v>352</v>
      </c>
      <c r="D128" s="216">
        <v>2.8E-3</v>
      </c>
      <c r="E128" s="216">
        <v>-0.6946</v>
      </c>
      <c r="F128" s="216">
        <v>0.35270000000000001</v>
      </c>
      <c r="G128" s="216">
        <v>1.6555</v>
      </c>
      <c r="H128" s="216">
        <v>3.7000000000000002E-3</v>
      </c>
      <c r="I128" s="216">
        <v>6.7000000000000002E-5</v>
      </c>
      <c r="K128" s="33"/>
      <c r="L128" s="17" t="s">
        <v>377</v>
      </c>
      <c r="M128" s="34">
        <f t="shared" ref="M128:R128" si="157">D125+0.25*D126+D128</f>
        <v>0.1227</v>
      </c>
      <c r="N128" s="34">
        <f t="shared" si="157"/>
        <v>-0.76939999999999997</v>
      </c>
      <c r="O128" s="34">
        <f t="shared" si="157"/>
        <v>7.4641000000000002</v>
      </c>
      <c r="P128" s="34">
        <f t="shared" si="157"/>
        <v>1.8129275</v>
      </c>
      <c r="Q128" s="34">
        <f t="shared" si="157"/>
        <v>0.13735</v>
      </c>
      <c r="R128" s="35">
        <f t="shared" si="157"/>
        <v>7.2156250000000009E-5</v>
      </c>
      <c r="S128" s="17"/>
      <c r="T128" s="29"/>
      <c r="U128" s="29" t="s">
        <v>377</v>
      </c>
      <c r="V128" s="23">
        <f t="shared" si="152"/>
        <v>7.4641000000000002</v>
      </c>
      <c r="W128" s="23">
        <f t="shared" si="152"/>
        <v>1.8129275</v>
      </c>
      <c r="X128" s="23">
        <f t="shared" si="152"/>
        <v>0.13735</v>
      </c>
      <c r="Y128" s="29"/>
      <c r="Z128" s="31">
        <f>ABS(V128)/AC128/AD128</f>
        <v>9.8211842105263152</v>
      </c>
      <c r="AA128" s="23">
        <f>ABS(+W128/V128)</f>
        <v>0.24288628233812515</v>
      </c>
      <c r="AB128" s="23">
        <f>ABS(X128/V128)</f>
        <v>1.8401414772042175E-2</v>
      </c>
      <c r="AC128" s="36">
        <f t="shared" si="155"/>
        <v>0.8</v>
      </c>
      <c r="AD128" s="37">
        <f t="shared" si="155"/>
        <v>0.95</v>
      </c>
      <c r="AE128" s="22">
        <f t="shared" si="153"/>
        <v>0.31422743532374975</v>
      </c>
      <c r="AF128" s="22">
        <f t="shared" si="153"/>
        <v>0.91319717045591564</v>
      </c>
      <c r="AG128" s="22">
        <f>AF128*AE128</f>
        <v>0.2869516048172675</v>
      </c>
      <c r="AH128" s="38">
        <f>V128/AG128</f>
        <v>26.011703279210387</v>
      </c>
      <c r="AJ128" s="147" t="s">
        <v>500</v>
      </c>
      <c r="AK128" s="24">
        <f>(MAX(V125:V129)+ABS(MAX(W125:W129))/(AL126/1000))*1000</f>
        <v>15775.891666666666</v>
      </c>
      <c r="AL128" s="150" t="s">
        <v>502</v>
      </c>
      <c r="AM128" s="24">
        <f>+ABS(MAX(AK128:AK129))/(+AK126*2/10+AL126*2/10)/(AP126/10)</f>
        <v>68.590833333333336</v>
      </c>
      <c r="AN128" s="151" t="str">
        <f>IF(AM128&lt;=AM129,"OK","REDIS")</f>
        <v>OK</v>
      </c>
      <c r="AO128" s="150" t="s">
        <v>508</v>
      </c>
      <c r="AP128" s="24">
        <f>((AO126/10/2-AL126/10/2)/2)*((MAX(ABS(MAX(W125:W129)),ABS(MIN(W125:W129)))*100000))/(AL126/10)</f>
        <v>30215.458333333332</v>
      </c>
      <c r="AQ128" s="150" t="s">
        <v>510</v>
      </c>
      <c r="AR128" s="24">
        <f>+AP128/(AK126*AP126*AP126/6/10/10/10)</f>
        <v>1812.9274999999998</v>
      </c>
      <c r="AS128" s="152" t="str">
        <f>IF(AR128&lt;=0.6*AR124*1.1,"OK","REDIS")</f>
        <v>OK</v>
      </c>
      <c r="AT128" s="24" t="s">
        <v>516</v>
      </c>
      <c r="AU128" s="174">
        <f>+AW126*(AP128/100000)/((AO126-AL126)/1000/4)/(AT126-1)</f>
        <v>3.6258550000000001</v>
      </c>
      <c r="AV128" s="24" t="s">
        <v>519</v>
      </c>
      <c r="AW128" s="175">
        <f>+AW126*(ABS(MAX(M125:M129))+ABS(MIN(M125:M129)+ABS(MAX(N125:N129))+ABS(MIN(N125:N129))))/AV126</f>
        <v>0.24434999999999998</v>
      </c>
      <c r="AX128" s="155" t="s">
        <v>525</v>
      </c>
      <c r="AY128" s="182">
        <f>IF(BC126=(1+1/4),+(11-1/4),IF(BC126=1,(9),IF(BC126=(7/8),(7-7/8),IF(BC126=(3/4),+(6-3/4),IF(BC126=(5/8),+(5-5/8),IF(BC126=(1/2),(4-1/2),IF(BC126=(3-3/8),+(7/16),"no valido")))))))</f>
        <v>9</v>
      </c>
      <c r="AZ128" s="166" t="s">
        <v>526</v>
      </c>
      <c r="BA128" s="168" t="s">
        <v>533</v>
      </c>
      <c r="BB128" s="153" t="s">
        <v>521</v>
      </c>
      <c r="BC128" s="44">
        <f>+AV126</f>
        <v>8</v>
      </c>
      <c r="BD128" s="166" t="s">
        <v>527</v>
      </c>
      <c r="BE128" s="162" t="s">
        <v>534</v>
      </c>
      <c r="BG128" s="9"/>
      <c r="BH128" s="16"/>
      <c r="BI128" s="208"/>
      <c r="BJ128" s="124"/>
      <c r="BK128" s="63"/>
      <c r="BL128" s="63"/>
      <c r="BM128" s="125"/>
      <c r="BN128" s="133"/>
      <c r="BO128" s="44"/>
      <c r="BP128" s="64"/>
      <c r="BQ128" s="125"/>
      <c r="BS128" s="63"/>
      <c r="BT128" s="63"/>
      <c r="BU128" s="63"/>
      <c r="BV128" s="63"/>
    </row>
    <row r="129" spans="1:74" ht="15" hidden="1" x14ac:dyDescent="0.25">
      <c r="A129" s="216" t="s">
        <v>657</v>
      </c>
      <c r="B129" s="216" t="s">
        <v>624</v>
      </c>
      <c r="C129" s="216" t="s">
        <v>389</v>
      </c>
      <c r="D129" s="216">
        <v>0.1457</v>
      </c>
      <c r="E129" s="216">
        <v>-9.1399999999999995E-2</v>
      </c>
      <c r="F129" s="216">
        <v>8.7325999999999997</v>
      </c>
      <c r="G129" s="216">
        <v>0.19031000000000001</v>
      </c>
      <c r="H129" s="216">
        <v>0.16244</v>
      </c>
      <c r="I129" s="216">
        <v>5.7180000000000001E-6</v>
      </c>
      <c r="K129" s="39"/>
      <c r="L129" s="40" t="s">
        <v>378</v>
      </c>
      <c r="M129" s="41">
        <f t="shared" ref="M129:R129" si="158">D125+0.25*D126-D128</f>
        <v>0.11710000000000001</v>
      </c>
      <c r="N129" s="41">
        <f t="shared" si="158"/>
        <v>0.61980000000000002</v>
      </c>
      <c r="O129" s="41">
        <f t="shared" si="158"/>
        <v>6.7586999999999993</v>
      </c>
      <c r="P129" s="41">
        <f t="shared" si="158"/>
        <v>-1.4980724999999999</v>
      </c>
      <c r="Q129" s="41">
        <f t="shared" si="158"/>
        <v>0.12994999999999998</v>
      </c>
      <c r="R129" s="42">
        <f t="shared" si="158"/>
        <v>-6.1843749999999996E-5</v>
      </c>
      <c r="S129" s="17"/>
      <c r="T129" s="29"/>
      <c r="U129" s="29" t="s">
        <v>378</v>
      </c>
      <c r="V129" s="23">
        <f t="shared" si="152"/>
        <v>6.7586999999999993</v>
      </c>
      <c r="W129" s="23">
        <f t="shared" si="152"/>
        <v>-1.4980724999999999</v>
      </c>
      <c r="X129" s="23">
        <f t="shared" si="152"/>
        <v>0.12994999999999998</v>
      </c>
      <c r="Y129" s="29"/>
      <c r="Z129" s="31">
        <f>ABS(V129)/AC129/AD129</f>
        <v>8.8930263157894718</v>
      </c>
      <c r="AA129" s="23">
        <f>ABS(+W129/V129)</f>
        <v>0.22165098317723825</v>
      </c>
      <c r="AB129" s="23">
        <f>ABS(X129/V129)</f>
        <v>1.9227070294583277E-2</v>
      </c>
      <c r="AC129" s="36">
        <f t="shared" si="155"/>
        <v>0.8</v>
      </c>
      <c r="AD129" s="37">
        <f t="shared" si="155"/>
        <v>0.95</v>
      </c>
      <c r="AE129" s="22">
        <f t="shared" si="153"/>
        <v>0.35669803364552355</v>
      </c>
      <c r="AF129" s="22">
        <f t="shared" si="153"/>
        <v>0.91154585941083344</v>
      </c>
      <c r="AG129" s="22">
        <f>AF129*AE129</f>
        <v>0.32514661562956315</v>
      </c>
      <c r="AH129" s="38">
        <f>V129/AG129</f>
        <v>20.786622634572122</v>
      </c>
      <c r="AJ129" s="147" t="s">
        <v>501</v>
      </c>
      <c r="AK129" s="24">
        <f>(MAX(V125:V129)+ABS(MAX(X125:X129))/(AK126/1000))*1000</f>
        <v>11292.55</v>
      </c>
      <c r="AL129" s="150" t="s">
        <v>505</v>
      </c>
      <c r="AM129" s="24">
        <f>+AR124*0.4/3</f>
        <v>466.66666666666669</v>
      </c>
      <c r="AN129" s="24"/>
      <c r="AO129" s="150" t="s">
        <v>509</v>
      </c>
      <c r="AP129" s="24">
        <f>((AN126/10/2-AK126/10/2)/2)*(MAX(+ABS(MAX(X125:X129)),ABS(MIN(X125:X129)))*100000/(AK126/10))</f>
        <v>3509.4375</v>
      </c>
      <c r="AQ129" s="150" t="s">
        <v>511</v>
      </c>
      <c r="AR129" s="24">
        <f>+AP129/(AL126*AP126*AP126/6/1000)</f>
        <v>112.30200000000001</v>
      </c>
      <c r="AS129" s="152" t="str">
        <f>IF(AR129&lt;=0.6*AR124*1.1,"OK","REDIS")</f>
        <v>OK</v>
      </c>
      <c r="AT129" s="24" t="s">
        <v>517</v>
      </c>
      <c r="AU129" s="174">
        <f>+AW126*(AP129/100000)/((AN126-AK126)/1000/4)/(AU126-1)</f>
        <v>0.93584999999999996</v>
      </c>
      <c r="AV129" s="24"/>
      <c r="AW129" s="161"/>
      <c r="AX129" s="156" t="s">
        <v>522</v>
      </c>
      <c r="AY129" s="181">
        <f>IF(AY127=(1+3/8),+AV126/3,IF(AY127=(1+1/8),+AV126/6,IF(AY127=1,+AV126/8,IF(AY127=(7/8),+AV126/11,IF(AY127=0.75,+AV126/18,IF(AY127=(9/16),+AV126/45,IF(AY127=(7/16),+AV126/84,"NO HAY DATO")))))))</f>
        <v>1.3333333333333333</v>
      </c>
      <c r="AZ129" s="167" t="s">
        <v>527</v>
      </c>
      <c r="BA129" s="176"/>
      <c r="BB129" s="164" t="s">
        <v>523</v>
      </c>
      <c r="BC129" s="129">
        <f>+BC128*BC127*2.54/100</f>
        <v>2.4384000000000001</v>
      </c>
      <c r="BD129" s="173" t="s">
        <v>528</v>
      </c>
      <c r="BE129" s="130"/>
      <c r="BG129" s="113"/>
      <c r="BH129" s="68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126"/>
      <c r="BV129" s="63"/>
    </row>
    <row r="130" spans="1:74" ht="15" hidden="1" x14ac:dyDescent="0.25">
      <c r="A130" s="216" t="s">
        <v>657</v>
      </c>
      <c r="B130" s="216" t="s">
        <v>625</v>
      </c>
      <c r="C130" s="216" t="s">
        <v>389</v>
      </c>
      <c r="D130" s="216">
        <v>8.0500000000000002E-2</v>
      </c>
      <c r="E130" s="216">
        <v>0.64239999999999997</v>
      </c>
      <c r="F130" s="216">
        <v>4.6374000000000004</v>
      </c>
      <c r="G130" s="216">
        <v>-1.5467500000000001</v>
      </c>
      <c r="H130" s="216">
        <v>8.9120000000000005E-2</v>
      </c>
      <c r="I130" s="216">
        <v>-6.3730000000000001E-5</v>
      </c>
      <c r="K130" s="25" t="s">
        <v>357</v>
      </c>
      <c r="L130" s="26" t="s">
        <v>358</v>
      </c>
      <c r="M130" s="27" t="s">
        <v>359</v>
      </c>
      <c r="N130" s="27" t="s">
        <v>360</v>
      </c>
      <c r="O130" s="27" t="s">
        <v>361</v>
      </c>
      <c r="P130" s="27" t="s">
        <v>362</v>
      </c>
      <c r="Q130" s="27" t="s">
        <v>363</v>
      </c>
      <c r="R130" s="28" t="s">
        <v>364</v>
      </c>
      <c r="S130" s="17"/>
      <c r="T130" s="29" t="s">
        <v>365</v>
      </c>
      <c r="U130" s="29" t="s">
        <v>358</v>
      </c>
      <c r="V130" s="30" t="s">
        <v>361</v>
      </c>
      <c r="W130" s="30" t="s">
        <v>362</v>
      </c>
      <c r="X130" s="30" t="s">
        <v>363</v>
      </c>
      <c r="Y130" s="29" t="s">
        <v>366</v>
      </c>
      <c r="Z130" s="31" t="s">
        <v>367</v>
      </c>
      <c r="AA130" s="23" t="s">
        <v>368</v>
      </c>
      <c r="AB130" s="23" t="s">
        <v>369</v>
      </c>
      <c r="AC130" s="22" t="s">
        <v>0</v>
      </c>
      <c r="AD130" s="22" t="s">
        <v>1</v>
      </c>
      <c r="AE130" s="22" t="s">
        <v>370</v>
      </c>
      <c r="AF130" s="22" t="s">
        <v>371</v>
      </c>
      <c r="AG130" s="22" t="s">
        <v>372</v>
      </c>
      <c r="AH130" s="32" t="s">
        <v>373</v>
      </c>
      <c r="AJ130" s="143" t="s">
        <v>365</v>
      </c>
      <c r="AK130" s="144" t="s">
        <v>498</v>
      </c>
      <c r="AL130" s="145"/>
      <c r="AM130" s="139"/>
      <c r="AN130" s="146" t="s">
        <v>499</v>
      </c>
      <c r="AO130" s="145"/>
      <c r="AP130" s="139"/>
      <c r="AQ130" s="147" t="s">
        <v>506</v>
      </c>
      <c r="AR130" s="48">
        <v>3500</v>
      </c>
      <c r="AS130" s="147" t="s">
        <v>405</v>
      </c>
      <c r="AT130" s="146" t="s">
        <v>512</v>
      </c>
      <c r="AU130" s="145"/>
      <c r="AV130" s="145"/>
      <c r="AW130" s="145"/>
      <c r="AX130" s="163" t="s">
        <v>532</v>
      </c>
      <c r="AY130" s="157" t="s">
        <v>515</v>
      </c>
      <c r="AZ130" s="169">
        <v>6.9</v>
      </c>
      <c r="BA130" s="171" t="str">
        <f>IF(MAX(AU134:AU135)&lt;=AZ130,"OK","REDIS")</f>
        <v>REDIS</v>
      </c>
      <c r="BB130" s="163" t="s">
        <v>536</v>
      </c>
      <c r="BC130" s="170" t="s">
        <v>515</v>
      </c>
      <c r="BD130" s="169">
        <v>8.36</v>
      </c>
      <c r="BE130" s="171" t="str">
        <f>IF(MAX(AU134:AU135)&lt;=BD130,"OK","REDIS")</f>
        <v>REDIS</v>
      </c>
      <c r="BG130" s="113"/>
      <c r="BH130" s="68"/>
      <c r="BI130" s="114"/>
      <c r="BJ130" s="45"/>
      <c r="BK130" s="63"/>
      <c r="BL130" s="63"/>
      <c r="BM130" s="63"/>
      <c r="BN130" s="70"/>
      <c r="BO130" s="70"/>
      <c r="BP130" s="44"/>
      <c r="BQ130" s="63"/>
      <c r="BR130" s="44"/>
      <c r="BS130" s="70"/>
      <c r="BT130" s="70"/>
      <c r="BU130" s="207"/>
      <c r="BV130" s="63"/>
    </row>
    <row r="131" spans="1:74" ht="15" hidden="1" x14ac:dyDescent="0.25">
      <c r="A131" s="216" t="s">
        <v>658</v>
      </c>
      <c r="B131" s="216" t="s">
        <v>351</v>
      </c>
      <c r="C131" s="216" t="s">
        <v>352</v>
      </c>
      <c r="D131" s="216">
        <v>-1.2222</v>
      </c>
      <c r="E131" s="216">
        <v>1.1900000000000001E-2</v>
      </c>
      <c r="F131" s="216">
        <v>10.5223</v>
      </c>
      <c r="G131" s="216">
        <v>-6.2700000000000004E-3</v>
      </c>
      <c r="H131" s="216">
        <v>-1.1941999999999999</v>
      </c>
      <c r="I131" s="216">
        <v>-5.643E-5</v>
      </c>
      <c r="K131" s="33" t="str">
        <f>+A131</f>
        <v>78</v>
      </c>
      <c r="L131" s="17" t="s">
        <v>374</v>
      </c>
      <c r="M131" s="34">
        <f t="shared" ref="M131:R131" si="159">D131+D132</f>
        <v>-1.8911</v>
      </c>
      <c r="N131" s="34">
        <f t="shared" si="159"/>
        <v>1.8100000000000002E-2</v>
      </c>
      <c r="O131" s="34">
        <f t="shared" si="159"/>
        <v>16.000299999999999</v>
      </c>
      <c r="P131" s="34">
        <f t="shared" si="159"/>
        <v>-7.3500000000000006E-3</v>
      </c>
      <c r="Q131" s="34">
        <f t="shared" si="159"/>
        <v>-1.8400799999999999</v>
      </c>
      <c r="R131" s="35">
        <f t="shared" si="159"/>
        <v>-9.2789999999999998E-5</v>
      </c>
      <c r="S131" s="17"/>
      <c r="T131" s="29" t="str">
        <f>K131</f>
        <v>78</v>
      </c>
      <c r="U131" s="29" t="s">
        <v>374</v>
      </c>
      <c r="V131" s="23">
        <f t="shared" ref="V131:X135" si="160">O131</f>
        <v>16.000299999999999</v>
      </c>
      <c r="W131" s="23">
        <f t="shared" si="160"/>
        <v>-7.3500000000000006E-3</v>
      </c>
      <c r="X131" s="23">
        <f t="shared" si="160"/>
        <v>-1.8400799999999999</v>
      </c>
      <c r="Y131" s="29">
        <v>26</v>
      </c>
      <c r="Z131" s="31">
        <f>ABS(V131)/AC131/AD131</f>
        <v>11.428785714285713</v>
      </c>
      <c r="AA131" s="23">
        <f>ABS(+W131/V131)</f>
        <v>4.5936638688024605E-4</v>
      </c>
      <c r="AB131" s="23">
        <f>ABS(X131/V131)</f>
        <v>0.11500284369668069</v>
      </c>
      <c r="AC131" s="36">
        <v>0.8</v>
      </c>
      <c r="AD131" s="37">
        <v>1.75</v>
      </c>
      <c r="AE131" s="22">
        <f t="shared" ref="AE131:AF135" si="161">AC131-2*AA131</f>
        <v>0.79908126722623951</v>
      </c>
      <c r="AF131" s="22">
        <f t="shared" si="161"/>
        <v>1.5199943126066386</v>
      </c>
      <c r="AG131" s="22">
        <f>AF131*AE131</f>
        <v>1.2145989814943896</v>
      </c>
      <c r="AH131" s="38">
        <f>V131/AG131</f>
        <v>13.173319131483156</v>
      </c>
      <c r="AJ131" s="48" t="str">
        <f>+K131</f>
        <v>78</v>
      </c>
      <c r="AK131" s="147" t="s">
        <v>0</v>
      </c>
      <c r="AL131" s="147" t="s">
        <v>1</v>
      </c>
      <c r="AM131" s="147" t="s">
        <v>438</v>
      </c>
      <c r="AN131" s="147" t="s">
        <v>503</v>
      </c>
      <c r="AO131" s="147" t="s">
        <v>504</v>
      </c>
      <c r="AP131" s="147" t="s">
        <v>323</v>
      </c>
      <c r="AQ131" s="48"/>
      <c r="AR131" s="48"/>
      <c r="AS131" s="48"/>
      <c r="AT131" s="147" t="s">
        <v>0</v>
      </c>
      <c r="AU131" s="147" t="s">
        <v>1</v>
      </c>
      <c r="AV131" s="147" t="s">
        <v>513</v>
      </c>
      <c r="AW131" s="159" t="s">
        <v>520</v>
      </c>
      <c r="AX131" s="141" t="s">
        <v>530</v>
      </c>
      <c r="AY131" s="157" t="s">
        <v>178</v>
      </c>
      <c r="AZ131" s="44">
        <v>12</v>
      </c>
      <c r="BA131" s="172" t="str">
        <f>IF(AW134&lt;=AZ131,"OK","REDIS")</f>
        <v>OK</v>
      </c>
      <c r="BB131" s="141" t="s">
        <v>535</v>
      </c>
      <c r="BC131" s="120" t="s">
        <v>178</v>
      </c>
      <c r="BD131" s="44">
        <v>4.3</v>
      </c>
      <c r="BE131" s="172" t="str">
        <f>IF(AW134&lt;=BD131,"OK","REDIS")</f>
        <v>OK</v>
      </c>
      <c r="BG131" s="113"/>
      <c r="BH131" s="68"/>
      <c r="BI131" s="209"/>
      <c r="BJ131" s="134"/>
      <c r="BK131" s="135"/>
      <c r="BL131" s="63"/>
      <c r="BM131" s="125"/>
      <c r="BN131" s="133"/>
      <c r="BO131" s="44"/>
      <c r="BR131" s="135"/>
      <c r="BS131" s="63"/>
      <c r="BT131" s="125"/>
      <c r="BU131" s="133"/>
      <c r="BV131" s="44"/>
    </row>
    <row r="132" spans="1:74" ht="15" hidden="1" x14ac:dyDescent="0.25">
      <c r="A132" s="216" t="s">
        <v>658</v>
      </c>
      <c r="B132" s="216" t="s">
        <v>353</v>
      </c>
      <c r="C132" s="216" t="s">
        <v>352</v>
      </c>
      <c r="D132" s="216">
        <v>-0.66890000000000005</v>
      </c>
      <c r="E132" s="216">
        <v>6.1999999999999998E-3</v>
      </c>
      <c r="F132" s="216">
        <v>5.4779999999999998</v>
      </c>
      <c r="G132" s="216">
        <v>-1.08E-3</v>
      </c>
      <c r="H132" s="216">
        <v>-0.64588000000000001</v>
      </c>
      <c r="I132" s="216">
        <v>-3.6359999999999997E-5</v>
      </c>
      <c r="K132" s="33"/>
      <c r="L132" s="17" t="s">
        <v>375</v>
      </c>
      <c r="M132" s="34">
        <f t="shared" ref="M132:R132" si="162">D131+0.25*D132+D133</f>
        <v>-2.8484249999999998</v>
      </c>
      <c r="N132" s="34">
        <f t="shared" si="162"/>
        <v>2.2550000000000001E-2</v>
      </c>
      <c r="O132" s="34">
        <f t="shared" si="162"/>
        <v>11.3726</v>
      </c>
      <c r="P132" s="34">
        <f t="shared" si="162"/>
        <v>-3.5979999999999998E-2</v>
      </c>
      <c r="Q132" s="34">
        <f t="shared" si="162"/>
        <v>-4.8269699999999993</v>
      </c>
      <c r="R132" s="35">
        <f t="shared" si="162"/>
        <v>-6.5918699999999996E-5</v>
      </c>
      <c r="S132" s="17"/>
      <c r="T132" s="29"/>
      <c r="U132" s="29" t="s">
        <v>375</v>
      </c>
      <c r="V132" s="23">
        <f t="shared" si="160"/>
        <v>11.3726</v>
      </c>
      <c r="W132" s="23">
        <f t="shared" si="160"/>
        <v>-3.5979999999999998E-2</v>
      </c>
      <c r="X132" s="23">
        <f t="shared" si="160"/>
        <v>-4.8269699999999993</v>
      </c>
      <c r="Y132" s="29">
        <f>1.33*Y131</f>
        <v>34.58</v>
      </c>
      <c r="Z132" s="31">
        <f>ABS(V132)/AC132/AD132</f>
        <v>8.1232857142857142</v>
      </c>
      <c r="AA132" s="23">
        <f>ABS(+W132/V132)</f>
        <v>3.1637444383869999E-3</v>
      </c>
      <c r="AB132" s="23">
        <f>ABS(X132/V132)</f>
        <v>0.42443856286161469</v>
      </c>
      <c r="AC132" s="36">
        <f t="shared" ref="AC132:AD135" si="163">AC131</f>
        <v>0.8</v>
      </c>
      <c r="AD132" s="37">
        <f t="shared" si="163"/>
        <v>1.75</v>
      </c>
      <c r="AE132" s="22">
        <f t="shared" si="161"/>
        <v>0.79367251112322601</v>
      </c>
      <c r="AF132" s="22">
        <f t="shared" si="161"/>
        <v>0.90112287427677062</v>
      </c>
      <c r="AG132" s="22">
        <f>AF132*AE132</f>
        <v>0.71519645445782365</v>
      </c>
      <c r="AH132" s="38">
        <f>V132/AG132</f>
        <v>15.901365183110904</v>
      </c>
      <c r="AJ132" s="147" t="s">
        <v>539</v>
      </c>
      <c r="AK132" s="148">
        <v>160</v>
      </c>
      <c r="AL132" s="148">
        <v>300</v>
      </c>
      <c r="AM132" s="148">
        <v>4</v>
      </c>
      <c r="AN132" s="149">
        <v>250</v>
      </c>
      <c r="AO132" s="149">
        <v>500</v>
      </c>
      <c r="AP132" s="149">
        <v>25</v>
      </c>
      <c r="AQ132" s="48"/>
      <c r="AR132" s="48"/>
      <c r="AS132" s="48"/>
      <c r="AT132" s="48">
        <v>3</v>
      </c>
      <c r="AU132" s="48">
        <v>3</v>
      </c>
      <c r="AV132" s="149">
        <f>+AT132*2+(AU132-2)*2</f>
        <v>8</v>
      </c>
      <c r="AW132" s="159">
        <v>1.2</v>
      </c>
      <c r="AX132" s="155" t="s">
        <v>538</v>
      </c>
      <c r="AY132" s="180">
        <f>+AV132</f>
        <v>8</v>
      </c>
      <c r="BA132" s="154"/>
      <c r="BB132" s="177" t="s">
        <v>537</v>
      </c>
      <c r="BC132" s="179">
        <v>1</v>
      </c>
      <c r="BD132" s="166" t="s">
        <v>526</v>
      </c>
      <c r="BE132" s="154"/>
      <c r="BG132" s="113"/>
      <c r="BH132" s="68"/>
      <c r="BI132" s="136"/>
      <c r="BJ132" s="128"/>
      <c r="BK132" s="111"/>
      <c r="BL132" s="16"/>
      <c r="BM132" s="63"/>
      <c r="BN132" s="44"/>
      <c r="BO132" s="126"/>
      <c r="BR132" s="111"/>
      <c r="BS132" s="16"/>
      <c r="BT132" s="63"/>
      <c r="BU132" s="44"/>
      <c r="BV132" s="126"/>
    </row>
    <row r="133" spans="1:74" ht="15" hidden="1" x14ac:dyDescent="0.25">
      <c r="A133" s="216" t="s">
        <v>658</v>
      </c>
      <c r="B133" s="216" t="s">
        <v>354</v>
      </c>
      <c r="C133" s="216" t="s">
        <v>352</v>
      </c>
      <c r="D133" s="216">
        <v>-1.4590000000000001</v>
      </c>
      <c r="E133" s="216">
        <v>9.1000000000000004E-3</v>
      </c>
      <c r="F133" s="216">
        <v>-0.51919999999999999</v>
      </c>
      <c r="G133" s="216">
        <v>-2.9440000000000001E-2</v>
      </c>
      <c r="H133" s="216">
        <v>-3.4712999999999998</v>
      </c>
      <c r="I133" s="216">
        <v>-3.9869999999999999E-7</v>
      </c>
      <c r="K133" s="33"/>
      <c r="L133" s="17" t="s">
        <v>376</v>
      </c>
      <c r="M133" s="34">
        <f t="shared" ref="M133:R133" si="164">D131+0.25*D132-D133</f>
        <v>6.9575000000000164E-2</v>
      </c>
      <c r="N133" s="34">
        <f t="shared" si="164"/>
        <v>4.3499999999999997E-3</v>
      </c>
      <c r="O133" s="34">
        <f t="shared" si="164"/>
        <v>12.411</v>
      </c>
      <c r="P133" s="34">
        <f t="shared" si="164"/>
        <v>2.29E-2</v>
      </c>
      <c r="Q133" s="34">
        <f t="shared" si="164"/>
        <v>2.1156299999999999</v>
      </c>
      <c r="R133" s="35">
        <f t="shared" si="164"/>
        <v>-6.5121299999999996E-5</v>
      </c>
      <c r="S133" s="17"/>
      <c r="T133" s="29"/>
      <c r="U133" s="29" t="s">
        <v>376</v>
      </c>
      <c r="V133" s="23">
        <f t="shared" si="160"/>
        <v>12.411</v>
      </c>
      <c r="W133" s="23">
        <f t="shared" si="160"/>
        <v>2.29E-2</v>
      </c>
      <c r="X133" s="23">
        <f t="shared" si="160"/>
        <v>2.1156299999999999</v>
      </c>
      <c r="Y133" s="29"/>
      <c r="Z133" s="31">
        <f>ABS(V133)/AC133/AD133</f>
        <v>8.8649999999999984</v>
      </c>
      <c r="AA133" s="23">
        <f>ABS(+W133/V133)</f>
        <v>1.8451373781323021E-3</v>
      </c>
      <c r="AB133" s="23">
        <f>ABS(X133/V133)</f>
        <v>0.17046410442349527</v>
      </c>
      <c r="AC133" s="36">
        <f t="shared" si="163"/>
        <v>0.8</v>
      </c>
      <c r="AD133" s="37">
        <f t="shared" si="163"/>
        <v>1.75</v>
      </c>
      <c r="AE133" s="22">
        <f t="shared" si="161"/>
        <v>0.79630972524373544</v>
      </c>
      <c r="AF133" s="22">
        <f t="shared" si="161"/>
        <v>1.4090717911530095</v>
      </c>
      <c r="AG133" s="22">
        <f>AF133*AE133</f>
        <v>1.1220575708617513</v>
      </c>
      <c r="AH133" s="38">
        <f>V133/AG133</f>
        <v>11.060929779626395</v>
      </c>
      <c r="AJ133" s="146" t="s">
        <v>514</v>
      </c>
      <c r="AK133" s="145"/>
      <c r="AL133" s="145"/>
      <c r="AM133" s="145"/>
      <c r="AN133" s="139"/>
      <c r="AO133" s="146" t="s">
        <v>507</v>
      </c>
      <c r="AP133" s="145" t="s">
        <v>626</v>
      </c>
      <c r="AQ133" s="145">
        <f>0.6*AR130</f>
        <v>2100</v>
      </c>
      <c r="AR133" s="212" t="s">
        <v>627</v>
      </c>
      <c r="AS133" s="211">
        <f>+AR134+AR135</f>
        <v>3002.4364999999998</v>
      </c>
      <c r="AT133" s="48" t="s">
        <v>515</v>
      </c>
      <c r="AU133" s="48"/>
      <c r="AV133" s="48" t="s">
        <v>518</v>
      </c>
      <c r="AW133" s="160"/>
      <c r="AX133" s="155" t="s">
        <v>524</v>
      </c>
      <c r="AY133" s="182">
        <f>IF(BC132=(1+1/4),+(1+3/8),IF(BC132=1,(1+1/8),IF(BC132=(7/8),1,IF(BC132=(3/4),+(7/8),IF(BC132=(5/8),+(3/4),IF(BC132=(1/2),(9/16),IF(BC132=(3/8),+(7/16),"no valido")))))))</f>
        <v>1.125</v>
      </c>
      <c r="AZ133" s="165" t="s">
        <v>526</v>
      </c>
      <c r="BA133" s="172" t="s">
        <v>531</v>
      </c>
      <c r="BB133" s="178" t="s">
        <v>529</v>
      </c>
      <c r="BC133" s="158">
        <f>+AY134+3</f>
        <v>12</v>
      </c>
      <c r="BD133" s="166" t="s">
        <v>526</v>
      </c>
      <c r="BE133" s="172" t="s">
        <v>531</v>
      </c>
      <c r="BG133" s="113"/>
      <c r="BH133" s="68"/>
      <c r="BI133" s="136"/>
      <c r="BJ133" s="128"/>
      <c r="BM133" s="137"/>
      <c r="BN133" s="63"/>
      <c r="BO133" s="125"/>
      <c r="BT133" s="137"/>
      <c r="BU133" s="63"/>
      <c r="BV133" s="125"/>
    </row>
    <row r="134" spans="1:74" ht="15" hidden="1" x14ac:dyDescent="0.25">
      <c r="A134" s="216" t="s">
        <v>658</v>
      </c>
      <c r="B134" s="216" t="s">
        <v>355</v>
      </c>
      <c r="C134" s="216" t="s">
        <v>352</v>
      </c>
      <c r="D134" s="216">
        <v>0.2969</v>
      </c>
      <c r="E134" s="216">
        <v>-0.44750000000000001</v>
      </c>
      <c r="F134" s="216">
        <v>-0.18110000000000001</v>
      </c>
      <c r="G134" s="216">
        <v>0.82376000000000005</v>
      </c>
      <c r="H134" s="216">
        <v>0.55239000000000005</v>
      </c>
      <c r="I134" s="216">
        <v>5.6999999999999998E-4</v>
      </c>
      <c r="K134" s="33"/>
      <c r="L134" s="17" t="s">
        <v>377</v>
      </c>
      <c r="M134" s="34">
        <f t="shared" ref="M134:R134" si="165">D131+0.25*D132+D134</f>
        <v>-1.092525</v>
      </c>
      <c r="N134" s="34">
        <f t="shared" si="165"/>
        <v>-0.43404999999999999</v>
      </c>
      <c r="O134" s="34">
        <f t="shared" si="165"/>
        <v>11.710699999999999</v>
      </c>
      <c r="P134" s="34">
        <f t="shared" si="165"/>
        <v>0.81722000000000006</v>
      </c>
      <c r="Q134" s="34">
        <f t="shared" si="165"/>
        <v>-0.80327999999999988</v>
      </c>
      <c r="R134" s="35">
        <f t="shared" si="165"/>
        <v>5.0447999999999997E-4</v>
      </c>
      <c r="S134" s="17"/>
      <c r="T134" s="29"/>
      <c r="U134" s="29" t="s">
        <v>377</v>
      </c>
      <c r="V134" s="23">
        <f t="shared" si="160"/>
        <v>11.710699999999999</v>
      </c>
      <c r="W134" s="23">
        <f t="shared" si="160"/>
        <v>0.81722000000000006</v>
      </c>
      <c r="X134" s="23">
        <f t="shared" si="160"/>
        <v>-0.80327999999999988</v>
      </c>
      <c r="Y134" s="29"/>
      <c r="Z134" s="31">
        <f>ABS(V134)/AC134/AD134</f>
        <v>8.3647857142857127</v>
      </c>
      <c r="AA134" s="23">
        <f>ABS(+W134/V134)</f>
        <v>6.9784043652386288E-2</v>
      </c>
      <c r="AB134" s="23">
        <f>ABS(X134/V134)</f>
        <v>6.8593679284756667E-2</v>
      </c>
      <c r="AC134" s="36">
        <f t="shared" si="163"/>
        <v>0.8</v>
      </c>
      <c r="AD134" s="37">
        <f t="shared" si="163"/>
        <v>1.75</v>
      </c>
      <c r="AE134" s="22">
        <f t="shared" si="161"/>
        <v>0.6604319126952275</v>
      </c>
      <c r="AF134" s="22">
        <f t="shared" si="161"/>
        <v>1.6128126414304866</v>
      </c>
      <c r="AG134" s="22">
        <f>AF134*AE134</f>
        <v>1.0651529375989783</v>
      </c>
      <c r="AH134" s="38">
        <f>V134/AG134</f>
        <v>10.994383610674493</v>
      </c>
      <c r="AJ134" s="147" t="s">
        <v>500</v>
      </c>
      <c r="AK134" s="24">
        <f>(MAX(V131:V135)+ABS(MAX(W131:W135))/(AL132/1000))*1000</f>
        <v>18724.366666666665</v>
      </c>
      <c r="AL134" s="150" t="s">
        <v>502</v>
      </c>
      <c r="AM134" s="24">
        <f>+ABS(MAX(AK134:AK135))/(+AK132*2/10+AL132*2/10)/(AP132/10)</f>
        <v>127.05646739130434</v>
      </c>
      <c r="AN134" s="151" t="str">
        <f>IF(AM134&lt;=AM135,"OK","REDIS")</f>
        <v>OK</v>
      </c>
      <c r="AO134" s="150" t="s">
        <v>508</v>
      </c>
      <c r="AP134" s="24">
        <f>((AO132/10/2-AL132/10/2)/2)*((MAX(ABS(MAX(W131:W135)),ABS(MIN(W131:W135)))*100000))/(AL132/10)</f>
        <v>13838.333333333334</v>
      </c>
      <c r="AQ134" s="150" t="s">
        <v>510</v>
      </c>
      <c r="AR134" s="24">
        <f>+AP134/(AK132*AP132*AP132/6/10/10/10)</f>
        <v>830.3</v>
      </c>
      <c r="AS134" s="152" t="str">
        <f>IF(AR134&lt;=0.6*AR130*1.1,"OK","REDIS")</f>
        <v>OK</v>
      </c>
      <c r="AT134" s="24" t="s">
        <v>516</v>
      </c>
      <c r="AU134" s="174">
        <f>+AW132*(AP134/100000)/((AO132-AL132)/1000/4)/(AT132-1)</f>
        <v>1.6605999999999999</v>
      </c>
      <c r="AV134" s="24" t="s">
        <v>519</v>
      </c>
      <c r="AW134" s="175">
        <f>+AW132*(ABS(MAX(M131:M135))+ABS(MIN(M131:M135)+ABS(MAX(N131:N135))+ABS(MIN(N131:N135))))/AV132</f>
        <v>0.30344999999999994</v>
      </c>
      <c r="AX134" s="155" t="s">
        <v>525</v>
      </c>
      <c r="AY134" s="182">
        <f>IF(BC132=(1+1/4),+(11-1/4),IF(BC132=1,(9),IF(BC132=(7/8),(7-7/8),IF(BC132=(3/4),+(6-3/4),IF(BC132=(5/8),+(5-5/8),IF(BC132=(1/2),(4-1/2),IF(BC132=(3-3/8),+(7/16),"no valido")))))))</f>
        <v>9</v>
      </c>
      <c r="AZ134" s="166" t="s">
        <v>526</v>
      </c>
      <c r="BA134" s="168" t="s">
        <v>533</v>
      </c>
      <c r="BB134" s="153" t="s">
        <v>521</v>
      </c>
      <c r="BC134" s="44">
        <f>+AV132</f>
        <v>8</v>
      </c>
      <c r="BD134" s="166" t="s">
        <v>527</v>
      </c>
      <c r="BE134" s="162" t="s">
        <v>534</v>
      </c>
      <c r="BG134" s="113"/>
      <c r="BH134" s="68"/>
      <c r="BI134" s="136"/>
      <c r="BJ134" s="138"/>
      <c r="BM134" s="125"/>
      <c r="BN134" s="133"/>
      <c r="BO134" s="44"/>
      <c r="BT134" s="125"/>
      <c r="BU134" s="133"/>
      <c r="BV134" s="44"/>
    </row>
    <row r="135" spans="1:74" ht="15" hidden="1" x14ac:dyDescent="0.25">
      <c r="A135" s="216" t="s">
        <v>658</v>
      </c>
      <c r="B135" s="216" t="s">
        <v>624</v>
      </c>
      <c r="C135" s="216" t="s">
        <v>389</v>
      </c>
      <c r="D135" s="216">
        <v>-1.7111000000000001</v>
      </c>
      <c r="E135" s="216">
        <v>1.66E-2</v>
      </c>
      <c r="F135" s="216">
        <v>14.731199999999999</v>
      </c>
      <c r="G135" s="216">
        <v>-8.77E-3</v>
      </c>
      <c r="H135" s="216">
        <v>-1.6718900000000001</v>
      </c>
      <c r="I135" s="216">
        <v>-7.8999999999999996E-5</v>
      </c>
      <c r="K135" s="39"/>
      <c r="L135" s="40" t="s">
        <v>378</v>
      </c>
      <c r="M135" s="41">
        <f t="shared" ref="M135:R135" si="166">D131+0.25*D132-D134</f>
        <v>-1.6863249999999999</v>
      </c>
      <c r="N135" s="41">
        <f t="shared" si="166"/>
        <v>0.46095000000000003</v>
      </c>
      <c r="O135" s="41">
        <f t="shared" si="166"/>
        <v>12.072900000000001</v>
      </c>
      <c r="P135" s="41">
        <f t="shared" si="166"/>
        <v>-0.83030000000000004</v>
      </c>
      <c r="Q135" s="41">
        <f t="shared" si="166"/>
        <v>-1.9080599999999999</v>
      </c>
      <c r="R135" s="42">
        <f t="shared" si="166"/>
        <v>-6.3551999999999999E-4</v>
      </c>
      <c r="S135" s="17"/>
      <c r="T135" s="29"/>
      <c r="U135" s="29" t="s">
        <v>378</v>
      </c>
      <c r="V135" s="23">
        <f t="shared" si="160"/>
        <v>12.072900000000001</v>
      </c>
      <c r="W135" s="23">
        <f t="shared" si="160"/>
        <v>-0.83030000000000004</v>
      </c>
      <c r="X135" s="23">
        <f t="shared" si="160"/>
        <v>-1.9080599999999999</v>
      </c>
      <c r="Y135" s="29"/>
      <c r="Z135" s="31">
        <f>ABS(V135)/AC135/AD135</f>
        <v>8.6234999999999999</v>
      </c>
      <c r="AA135" s="23">
        <f>ABS(+W135/V135)</f>
        <v>6.8773865434154174E-2</v>
      </c>
      <c r="AB135" s="23">
        <f>ABS(X135/V135)</f>
        <v>0.15804487736997735</v>
      </c>
      <c r="AC135" s="36">
        <f t="shared" si="163"/>
        <v>0.8</v>
      </c>
      <c r="AD135" s="37">
        <f t="shared" si="163"/>
        <v>1.75</v>
      </c>
      <c r="AE135" s="22">
        <f t="shared" si="161"/>
        <v>0.66245226913169164</v>
      </c>
      <c r="AF135" s="22">
        <f t="shared" si="161"/>
        <v>1.4339102452600452</v>
      </c>
      <c r="AG135" s="22">
        <f>AF135*AE135</f>
        <v>0.9498970957036974</v>
      </c>
      <c r="AH135" s="38">
        <f>V135/AG135</f>
        <v>12.7096925073302</v>
      </c>
      <c r="AJ135" s="147" t="s">
        <v>501</v>
      </c>
      <c r="AK135" s="24">
        <f>(MAX(V131:V135)+ABS(MAX(X131:X135))/(AK132/1000))*1000</f>
        <v>29222.987499999999</v>
      </c>
      <c r="AL135" s="150" t="s">
        <v>505</v>
      </c>
      <c r="AM135" s="24">
        <f>+AR130*0.4/3</f>
        <v>466.66666666666669</v>
      </c>
      <c r="AN135" s="24"/>
      <c r="AO135" s="150" t="s">
        <v>509</v>
      </c>
      <c r="AP135" s="24">
        <f>((AN132/10/2-AK132/10/2)/2)*(MAX(+ABS(MAX(X131:X135)),ABS(MIN(X131:X135)))*100000/(AK132/10))</f>
        <v>67879.265624999985</v>
      </c>
      <c r="AQ135" s="150" t="s">
        <v>511</v>
      </c>
      <c r="AR135" s="24">
        <f>+AP135/(AL132*AP132*AP132/6/1000)</f>
        <v>2172.1364999999996</v>
      </c>
      <c r="AS135" s="152" t="str">
        <f>IF(AR135&lt;=0.6*AR130*1.1,"OK","REDIS")</f>
        <v>OK</v>
      </c>
      <c r="AT135" s="24" t="s">
        <v>517</v>
      </c>
      <c r="AU135" s="174">
        <f>+AW132*(AP135/100000)/((AN132-AK132)/1000/4)/(AU132-1)</f>
        <v>18.101137499999997</v>
      </c>
      <c r="AV135" s="24"/>
      <c r="AW135" s="161"/>
      <c r="AX135" s="156" t="s">
        <v>522</v>
      </c>
      <c r="AY135" s="181">
        <f>IF(AY133=(1+3/8),+AV132/3,IF(AY133=(1+1/8),+AV132/6,IF(AY133=1,+AV132/8,IF(AY133=(7/8),+AV132/11,IF(AY133=0.75,+AV132/18,IF(AY133=(9/16),+AV132/45,IF(AY133=(7/16),+AV132/84,"NO HAY DATO")))))))</f>
        <v>1.3333333333333333</v>
      </c>
      <c r="AZ135" s="167" t="s">
        <v>527</v>
      </c>
      <c r="BA135" s="176"/>
      <c r="BB135" s="164" t="s">
        <v>523</v>
      </c>
      <c r="BC135" s="129">
        <f>+BC134*BC133*2.54/100</f>
        <v>2.4384000000000001</v>
      </c>
      <c r="BD135" s="173" t="s">
        <v>528</v>
      </c>
      <c r="BE135" s="130"/>
    </row>
    <row r="136" spans="1:74" ht="15" hidden="1" x14ac:dyDescent="0.25">
      <c r="A136" s="216" t="s">
        <v>658</v>
      </c>
      <c r="B136" s="216" t="s">
        <v>625</v>
      </c>
      <c r="C136" s="216" t="s">
        <v>389</v>
      </c>
      <c r="D136" s="216">
        <v>-1.2746999999999999</v>
      </c>
      <c r="E136" s="216">
        <v>0.45700000000000002</v>
      </c>
      <c r="F136" s="216">
        <v>8.5990000000000002</v>
      </c>
      <c r="G136" s="216">
        <v>-0.82877000000000001</v>
      </c>
      <c r="H136" s="216">
        <v>-1.5077499999999999</v>
      </c>
      <c r="I136" s="216">
        <v>-6.0999999999999997E-4</v>
      </c>
      <c r="K136" s="25" t="s">
        <v>357</v>
      </c>
      <c r="L136" s="26" t="s">
        <v>358</v>
      </c>
      <c r="M136" s="27" t="s">
        <v>359</v>
      </c>
      <c r="N136" s="27" t="s">
        <v>360</v>
      </c>
      <c r="O136" s="27" t="s">
        <v>361</v>
      </c>
      <c r="P136" s="27" t="s">
        <v>362</v>
      </c>
      <c r="Q136" s="27" t="s">
        <v>363</v>
      </c>
      <c r="R136" s="28" t="s">
        <v>364</v>
      </c>
      <c r="S136" s="17"/>
      <c r="T136" s="29" t="s">
        <v>365</v>
      </c>
      <c r="U136" s="29" t="s">
        <v>358</v>
      </c>
      <c r="V136" s="30" t="s">
        <v>361</v>
      </c>
      <c r="W136" s="30" t="s">
        <v>362</v>
      </c>
      <c r="X136" s="30" t="s">
        <v>363</v>
      </c>
      <c r="Y136" s="29" t="s">
        <v>366</v>
      </c>
      <c r="Z136" s="31" t="s">
        <v>367</v>
      </c>
      <c r="AA136" s="23" t="s">
        <v>368</v>
      </c>
      <c r="AB136" s="23" t="s">
        <v>369</v>
      </c>
      <c r="AC136" s="22" t="s">
        <v>0</v>
      </c>
      <c r="AD136" s="22" t="s">
        <v>1</v>
      </c>
      <c r="AE136" s="22" t="s">
        <v>370</v>
      </c>
      <c r="AF136" s="22" t="s">
        <v>371</v>
      </c>
      <c r="AG136" s="22" t="s">
        <v>372</v>
      </c>
      <c r="AH136" s="32" t="s">
        <v>373</v>
      </c>
      <c r="AJ136" s="143" t="s">
        <v>365</v>
      </c>
      <c r="AK136" s="144" t="s">
        <v>498</v>
      </c>
      <c r="AL136" s="145"/>
      <c r="AM136" s="139"/>
      <c r="AN136" s="146" t="s">
        <v>499</v>
      </c>
      <c r="AO136" s="145"/>
      <c r="AP136" s="139"/>
      <c r="AQ136" s="147" t="s">
        <v>506</v>
      </c>
      <c r="AR136" s="48">
        <v>3500</v>
      </c>
      <c r="AS136" s="147" t="s">
        <v>405</v>
      </c>
      <c r="AT136" s="146" t="s">
        <v>512</v>
      </c>
      <c r="AU136" s="145"/>
      <c r="AV136" s="145"/>
      <c r="AW136" s="145"/>
      <c r="AX136" s="163" t="s">
        <v>532</v>
      </c>
      <c r="AY136" s="157" t="s">
        <v>515</v>
      </c>
      <c r="AZ136" s="169">
        <v>6.9</v>
      </c>
      <c r="BA136" s="171" t="str">
        <f>IF(MAX(AU140:AU141)&lt;=AZ136,"OK","REDIS")</f>
        <v>REDIS</v>
      </c>
      <c r="BB136" s="163" t="s">
        <v>536</v>
      </c>
      <c r="BC136" s="170" t="s">
        <v>515</v>
      </c>
      <c r="BD136" s="169">
        <v>8.36</v>
      </c>
      <c r="BE136" s="171" t="str">
        <f>IF(MAX(AU140:AU141)&lt;=BD136,"OK","REDIS")</f>
        <v>OK</v>
      </c>
      <c r="BG136" s="109"/>
      <c r="BH136" s="142"/>
      <c r="BJ136" s="109"/>
      <c r="BK136" s="142"/>
      <c r="BM136" s="110"/>
      <c r="BN136" s="110"/>
      <c r="BO136" s="110"/>
      <c r="BP136" s="110"/>
    </row>
    <row r="137" spans="1:74" ht="15" hidden="1" x14ac:dyDescent="0.25">
      <c r="A137" s="216" t="s">
        <v>659</v>
      </c>
      <c r="B137" s="216" t="s">
        <v>351</v>
      </c>
      <c r="C137" s="216" t="s">
        <v>352</v>
      </c>
      <c r="D137" s="216">
        <v>-1.2261</v>
      </c>
      <c r="E137" s="216">
        <v>-3.7699999999999997E-2</v>
      </c>
      <c r="F137" s="216">
        <v>5.4120999999999997</v>
      </c>
      <c r="G137" s="216">
        <v>4.2759999999999999E-2</v>
      </c>
      <c r="H137" s="216">
        <v>-1.2774799999999999</v>
      </c>
      <c r="I137" s="216">
        <v>-1.8410000000000002E-5</v>
      </c>
      <c r="K137" s="33" t="str">
        <f>+A137</f>
        <v>79</v>
      </c>
      <c r="L137" s="17" t="s">
        <v>374</v>
      </c>
      <c r="M137" s="34">
        <f t="shared" ref="M137:R137" si="167">D137+D138</f>
        <v>-1.8835999999999999</v>
      </c>
      <c r="N137" s="34">
        <f t="shared" si="167"/>
        <v>-6.2E-2</v>
      </c>
      <c r="O137" s="34">
        <f t="shared" si="167"/>
        <v>8.3233999999999995</v>
      </c>
      <c r="P137" s="34">
        <f t="shared" si="167"/>
        <v>7.1510000000000004E-2</v>
      </c>
      <c r="Q137" s="34">
        <f t="shared" si="167"/>
        <v>-1.9538899999999999</v>
      </c>
      <c r="R137" s="35">
        <f t="shared" si="167"/>
        <v>-2.8272000000000003E-5</v>
      </c>
      <c r="S137" s="17"/>
      <c r="T137" s="29" t="str">
        <f>K137</f>
        <v>79</v>
      </c>
      <c r="U137" s="29" t="s">
        <v>374</v>
      </c>
      <c r="V137" s="23">
        <f t="shared" ref="V137:X141" si="168">O137</f>
        <v>8.3233999999999995</v>
      </c>
      <c r="W137" s="23">
        <f t="shared" si="168"/>
        <v>7.1510000000000004E-2</v>
      </c>
      <c r="X137" s="23">
        <f t="shared" si="168"/>
        <v>-1.9538899999999999</v>
      </c>
      <c r="Y137" s="29">
        <v>26</v>
      </c>
      <c r="Z137" s="31">
        <f>ABS(V137)/AC137/AD137</f>
        <v>4.8391860465116281</v>
      </c>
      <c r="AA137" s="23">
        <f>ABS(+W137/V137)</f>
        <v>8.5914409976692221E-3</v>
      </c>
      <c r="AB137" s="23">
        <f>ABS(X137/V137)</f>
        <v>0.23474661796861859</v>
      </c>
      <c r="AC137" s="36">
        <v>0.8</v>
      </c>
      <c r="AD137" s="37">
        <v>2.15</v>
      </c>
      <c r="AE137" s="22">
        <f t="shared" ref="AE137:AF141" si="169">AC137-2*AA137</f>
        <v>0.78281711800466158</v>
      </c>
      <c r="AF137" s="22">
        <f t="shared" si="169"/>
        <v>1.6805067640627627</v>
      </c>
      <c r="AG137" s="22">
        <f>AF137*AE137</f>
        <v>1.3155294618309517</v>
      </c>
      <c r="AH137" s="38">
        <f>V137/AG137</f>
        <v>6.3270342789704657</v>
      </c>
      <c r="AJ137" s="48" t="str">
        <f>+K137</f>
        <v>79</v>
      </c>
      <c r="AK137" s="147" t="s">
        <v>0</v>
      </c>
      <c r="AL137" s="147" t="s">
        <v>1</v>
      </c>
      <c r="AM137" s="147" t="s">
        <v>438</v>
      </c>
      <c r="AN137" s="147" t="s">
        <v>503</v>
      </c>
      <c r="AO137" s="147" t="s">
        <v>504</v>
      </c>
      <c r="AP137" s="147" t="s">
        <v>323</v>
      </c>
      <c r="AQ137" s="48"/>
      <c r="AR137" s="48"/>
      <c r="AS137" s="48"/>
      <c r="AT137" s="147" t="s">
        <v>0</v>
      </c>
      <c r="AU137" s="147" t="s">
        <v>1</v>
      </c>
      <c r="AV137" s="147" t="s">
        <v>513</v>
      </c>
      <c r="AW137" s="159" t="s">
        <v>520</v>
      </c>
      <c r="AX137" s="141" t="s">
        <v>530</v>
      </c>
      <c r="AY137" s="157" t="s">
        <v>178</v>
      </c>
      <c r="AZ137" s="44">
        <v>12</v>
      </c>
      <c r="BA137" s="172" t="str">
        <f>IF(AW140&lt;=AZ137,"OK","REDIS")</f>
        <v>OK</v>
      </c>
      <c r="BB137" s="141" t="s">
        <v>535</v>
      </c>
      <c r="BC137" s="120" t="s">
        <v>178</v>
      </c>
      <c r="BD137" s="44">
        <v>4.3</v>
      </c>
      <c r="BE137" s="172" t="str">
        <f>IF(AW140&lt;=BD137,"OK","REDIS")</f>
        <v>OK</v>
      </c>
      <c r="BG137" s="111"/>
      <c r="BH137" s="9"/>
      <c r="BI137" s="125"/>
      <c r="BJ137" s="125"/>
      <c r="BK137" s="44"/>
      <c r="BL137" s="44"/>
      <c r="BM137" s="126"/>
      <c r="BN137" s="44"/>
      <c r="BO137" s="44"/>
      <c r="BP137" s="44"/>
      <c r="BQ137" s="126"/>
      <c r="BR137" s="44"/>
      <c r="BS137" s="44"/>
      <c r="BT137" s="44"/>
      <c r="BU137" s="44"/>
      <c r="BV137" s="44"/>
    </row>
    <row r="138" spans="1:74" ht="15" hidden="1" x14ac:dyDescent="0.25">
      <c r="A138" s="216" t="s">
        <v>659</v>
      </c>
      <c r="B138" s="216" t="s">
        <v>353</v>
      </c>
      <c r="C138" s="216" t="s">
        <v>352</v>
      </c>
      <c r="D138" s="216">
        <v>-0.65749999999999997</v>
      </c>
      <c r="E138" s="216">
        <v>-2.4299999999999999E-2</v>
      </c>
      <c r="F138" s="216">
        <v>2.9113000000000002</v>
      </c>
      <c r="G138" s="216">
        <v>2.8750000000000001E-2</v>
      </c>
      <c r="H138" s="216">
        <v>-0.67640999999999996</v>
      </c>
      <c r="I138" s="216">
        <v>-9.8619999999999998E-6</v>
      </c>
      <c r="K138" s="33"/>
      <c r="L138" s="17" t="s">
        <v>375</v>
      </c>
      <c r="M138" s="34">
        <f t="shared" ref="M138:R138" si="170">D137+0.25*D138+D139</f>
        <v>-2.4017749999999998</v>
      </c>
      <c r="N138" s="34">
        <f t="shared" si="170"/>
        <v>-1.8474999999999995E-2</v>
      </c>
      <c r="O138" s="34">
        <f t="shared" si="170"/>
        <v>4.666925</v>
      </c>
      <c r="P138" s="34">
        <f t="shared" si="170"/>
        <v>8.7575000000000014E-3</v>
      </c>
      <c r="Q138" s="34">
        <f t="shared" si="170"/>
        <v>-3.8566425</v>
      </c>
      <c r="R138" s="35">
        <f t="shared" si="170"/>
        <v>-8.19655E-5</v>
      </c>
      <c r="S138" s="17"/>
      <c r="T138" s="29"/>
      <c r="U138" s="29" t="s">
        <v>375</v>
      </c>
      <c r="V138" s="23">
        <f t="shared" si="168"/>
        <v>4.666925</v>
      </c>
      <c r="W138" s="23">
        <f t="shared" si="168"/>
        <v>8.7575000000000014E-3</v>
      </c>
      <c r="X138" s="23">
        <f t="shared" si="168"/>
        <v>-3.8566425</v>
      </c>
      <c r="Y138" s="29">
        <f>1.33*Y137</f>
        <v>34.58</v>
      </c>
      <c r="Z138" s="31">
        <f>ABS(V138)/AC138/AD138</f>
        <v>2.7133284883720932</v>
      </c>
      <c r="AA138" s="23">
        <f>ABS(+W138/V138)</f>
        <v>1.8765032649978308E-3</v>
      </c>
      <c r="AB138" s="23">
        <f>ABS(X138/V138)</f>
        <v>0.82637764695168658</v>
      </c>
      <c r="AC138" s="36">
        <f t="shared" ref="AC138:AD141" si="171">AC137</f>
        <v>0.8</v>
      </c>
      <c r="AD138" s="37">
        <f t="shared" si="171"/>
        <v>2.15</v>
      </c>
      <c r="AE138" s="22">
        <f t="shared" si="169"/>
        <v>0.79624699347000438</v>
      </c>
      <c r="AF138" s="22">
        <f t="shared" si="169"/>
        <v>0.49724470609662674</v>
      </c>
      <c r="AG138" s="22">
        <f>AF138*AE138</f>
        <v>0.39592960224831503</v>
      </c>
      <c r="AH138" s="38">
        <f>V138/AG138</f>
        <v>11.787259587306751</v>
      </c>
      <c r="AJ138" s="147" t="s">
        <v>539</v>
      </c>
      <c r="AK138" s="148">
        <v>300</v>
      </c>
      <c r="AL138" s="148">
        <v>160</v>
      </c>
      <c r="AM138" s="148">
        <v>4</v>
      </c>
      <c r="AN138" s="149">
        <v>500</v>
      </c>
      <c r="AO138" s="149">
        <v>250</v>
      </c>
      <c r="AP138" s="149">
        <v>25</v>
      </c>
      <c r="AQ138" s="48"/>
      <c r="AR138" s="48"/>
      <c r="AS138" s="48"/>
      <c r="AT138" s="48">
        <v>3</v>
      </c>
      <c r="AU138" s="48">
        <v>3</v>
      </c>
      <c r="AV138" s="149">
        <f>+AT138*2+(AU138-2)*2</f>
        <v>8</v>
      </c>
      <c r="AW138" s="159">
        <v>1.2</v>
      </c>
      <c r="AX138" s="155" t="s">
        <v>538</v>
      </c>
      <c r="AY138" s="180">
        <f>+AV138</f>
        <v>8</v>
      </c>
      <c r="BA138" s="154"/>
      <c r="BB138" s="177" t="s">
        <v>537</v>
      </c>
      <c r="BC138" s="179">
        <v>1</v>
      </c>
      <c r="BD138" s="166" t="s">
        <v>526</v>
      </c>
      <c r="BE138" s="154"/>
      <c r="BG138" s="9"/>
      <c r="BH138" s="16"/>
      <c r="BI138" s="208"/>
      <c r="BJ138" s="124"/>
      <c r="BK138" s="63"/>
      <c r="BL138" s="63"/>
      <c r="BM138" s="125"/>
      <c r="BN138" s="133"/>
      <c r="BO138" s="44"/>
      <c r="BP138" s="64"/>
      <c r="BQ138" s="125"/>
      <c r="BS138" s="63"/>
      <c r="BT138" s="63"/>
      <c r="BU138" s="63"/>
      <c r="BV138" s="63"/>
    </row>
    <row r="139" spans="1:74" ht="15" hidden="1" x14ac:dyDescent="0.25">
      <c r="A139" s="216" t="s">
        <v>659</v>
      </c>
      <c r="B139" s="216" t="s">
        <v>354</v>
      </c>
      <c r="C139" s="216" t="s">
        <v>352</v>
      </c>
      <c r="D139" s="216">
        <v>-1.0113000000000001</v>
      </c>
      <c r="E139" s="216">
        <v>2.53E-2</v>
      </c>
      <c r="F139" s="216">
        <v>-1.4730000000000001</v>
      </c>
      <c r="G139" s="216">
        <v>-4.1189999999999997E-2</v>
      </c>
      <c r="H139" s="216">
        <v>-2.4100600000000001</v>
      </c>
      <c r="I139" s="216">
        <v>-6.109E-5</v>
      </c>
      <c r="K139" s="33"/>
      <c r="L139" s="17" t="s">
        <v>376</v>
      </c>
      <c r="M139" s="34">
        <f t="shared" ref="M139:R139" si="172">D137+0.25*D138-D139</f>
        <v>-0.37917499999999982</v>
      </c>
      <c r="N139" s="34">
        <f t="shared" si="172"/>
        <v>-6.9074999999999998E-2</v>
      </c>
      <c r="O139" s="34">
        <f t="shared" si="172"/>
        <v>7.6129249999999997</v>
      </c>
      <c r="P139" s="34">
        <f t="shared" si="172"/>
        <v>9.1137499999999996E-2</v>
      </c>
      <c r="Q139" s="34">
        <f t="shared" si="172"/>
        <v>0.96347750000000021</v>
      </c>
      <c r="R139" s="35">
        <f t="shared" si="172"/>
        <v>4.0214499999999999E-5</v>
      </c>
      <c r="S139" s="17"/>
      <c r="T139" s="29"/>
      <c r="U139" s="29" t="s">
        <v>376</v>
      </c>
      <c r="V139" s="23">
        <f t="shared" si="168"/>
        <v>7.6129249999999997</v>
      </c>
      <c r="W139" s="23">
        <f t="shared" si="168"/>
        <v>9.1137499999999996E-2</v>
      </c>
      <c r="X139" s="23">
        <f t="shared" si="168"/>
        <v>0.96347750000000021</v>
      </c>
      <c r="Y139" s="29"/>
      <c r="Z139" s="31">
        <f>ABS(V139)/AC139/AD139</f>
        <v>4.4261191860465114</v>
      </c>
      <c r="AA139" s="23">
        <f>ABS(+W139/V139)</f>
        <v>1.1971417030904678E-2</v>
      </c>
      <c r="AB139" s="23">
        <f>ABS(X139/V139)</f>
        <v>0.1265581231918087</v>
      </c>
      <c r="AC139" s="36">
        <f t="shared" si="171"/>
        <v>0.8</v>
      </c>
      <c r="AD139" s="37">
        <f t="shared" si="171"/>
        <v>2.15</v>
      </c>
      <c r="AE139" s="22">
        <f t="shared" si="169"/>
        <v>0.77605716593819074</v>
      </c>
      <c r="AF139" s="22">
        <f t="shared" si="169"/>
        <v>1.8968837536163825</v>
      </c>
      <c r="AG139" s="22">
        <f>AF139*AE139</f>
        <v>1.472090229945727</v>
      </c>
      <c r="AH139" s="38">
        <f>V139/AG139</f>
        <v>5.1715070483693601</v>
      </c>
      <c r="AJ139" s="146" t="s">
        <v>514</v>
      </c>
      <c r="AK139" s="145"/>
      <c r="AL139" s="145"/>
      <c r="AM139" s="145"/>
      <c r="AN139" s="139"/>
      <c r="AO139" s="146" t="s">
        <v>507</v>
      </c>
      <c r="AP139" s="145" t="s">
        <v>626</v>
      </c>
      <c r="AQ139" s="145">
        <f>0.6*AR136</f>
        <v>2100</v>
      </c>
      <c r="AR139" s="212" t="s">
        <v>627</v>
      </c>
      <c r="AS139" s="211">
        <f>+AR140+AR141</f>
        <v>4180.0473750000001</v>
      </c>
      <c r="AT139" s="48" t="s">
        <v>515</v>
      </c>
      <c r="AU139" s="48"/>
      <c r="AV139" s="48" t="s">
        <v>518</v>
      </c>
      <c r="AW139" s="160"/>
      <c r="AX139" s="155" t="s">
        <v>524</v>
      </c>
      <c r="AY139" s="182">
        <f>IF(BC138=(1+1/4),+(1+3/8),IF(BC138=1,(1+1/8),IF(BC138=(7/8),1,IF(BC138=(3/4),+(7/8),IF(BC138=(5/8),+(3/4),IF(BC138=(1/2),(9/16),IF(BC138=(3/8),+(7/16),"no valido")))))))</f>
        <v>1.125</v>
      </c>
      <c r="AZ139" s="165" t="s">
        <v>526</v>
      </c>
      <c r="BA139" s="172" t="s">
        <v>531</v>
      </c>
      <c r="BB139" s="178" t="s">
        <v>529</v>
      </c>
      <c r="BC139" s="158">
        <f>+AY140+3</f>
        <v>12</v>
      </c>
      <c r="BD139" s="166" t="s">
        <v>526</v>
      </c>
      <c r="BE139" s="172" t="s">
        <v>531</v>
      </c>
      <c r="BG139" s="113"/>
      <c r="BH139" s="68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126"/>
      <c r="BV139" s="63"/>
    </row>
    <row r="140" spans="1:74" ht="15" hidden="1" x14ac:dyDescent="0.25">
      <c r="A140" s="216" t="s">
        <v>659</v>
      </c>
      <c r="B140" s="216" t="s">
        <v>355</v>
      </c>
      <c r="C140" s="216" t="s">
        <v>352</v>
      </c>
      <c r="D140" s="216">
        <v>0.2122</v>
      </c>
      <c r="E140" s="216">
        <v>-0.37940000000000002</v>
      </c>
      <c r="F140" s="216">
        <v>-0.60119999999999996</v>
      </c>
      <c r="G140" s="216">
        <v>0.66873000000000005</v>
      </c>
      <c r="H140" s="216">
        <v>0.38216</v>
      </c>
      <c r="I140" s="216">
        <v>2.3000000000000001E-4</v>
      </c>
      <c r="K140" s="33"/>
      <c r="L140" s="17" t="s">
        <v>377</v>
      </c>
      <c r="M140" s="34">
        <f t="shared" ref="M140:R140" si="173">D137+0.25*D138+D140</f>
        <v>-1.178275</v>
      </c>
      <c r="N140" s="34">
        <f t="shared" si="173"/>
        <v>-0.42317500000000002</v>
      </c>
      <c r="O140" s="34">
        <f t="shared" si="173"/>
        <v>5.5387249999999995</v>
      </c>
      <c r="P140" s="34">
        <f t="shared" si="173"/>
        <v>0.71867750000000008</v>
      </c>
      <c r="Q140" s="34">
        <f t="shared" si="173"/>
        <v>-1.0644224999999998</v>
      </c>
      <c r="R140" s="35">
        <f t="shared" si="173"/>
        <v>2.0912449999999999E-4</v>
      </c>
      <c r="S140" s="17"/>
      <c r="T140" s="29"/>
      <c r="U140" s="29" t="s">
        <v>377</v>
      </c>
      <c r="V140" s="23">
        <f t="shared" si="168"/>
        <v>5.5387249999999995</v>
      </c>
      <c r="W140" s="23">
        <f t="shared" si="168"/>
        <v>0.71867750000000008</v>
      </c>
      <c r="X140" s="23">
        <f t="shared" si="168"/>
        <v>-1.0644224999999998</v>
      </c>
      <c r="Y140" s="29"/>
      <c r="Z140" s="31">
        <f>ABS(V140)/AC140/AD140</f>
        <v>3.2201889534883721</v>
      </c>
      <c r="AA140" s="23">
        <f>ABS(+W140/V140)</f>
        <v>0.12975504290247306</v>
      </c>
      <c r="AB140" s="23">
        <f>ABS(X140/V140)</f>
        <v>0.19217825402055527</v>
      </c>
      <c r="AC140" s="36">
        <f t="shared" si="171"/>
        <v>0.8</v>
      </c>
      <c r="AD140" s="37">
        <f t="shared" si="171"/>
        <v>2.15</v>
      </c>
      <c r="AE140" s="22">
        <f t="shared" si="169"/>
        <v>0.54048991419505388</v>
      </c>
      <c r="AF140" s="22">
        <f t="shared" si="169"/>
        <v>1.7656434919588895</v>
      </c>
      <c r="AG140" s="22">
        <f>AF140*AE140</f>
        <v>0.95431249946791552</v>
      </c>
      <c r="AH140" s="38">
        <f>V140/AG140</f>
        <v>5.8038902383529081</v>
      </c>
      <c r="AJ140" s="147" t="s">
        <v>500</v>
      </c>
      <c r="AK140" s="24">
        <f>(MAX(V137:V141)+ABS(MAX(W137:W141))/(AL138/1000))*1000</f>
        <v>12815.134375</v>
      </c>
      <c r="AL140" s="150" t="s">
        <v>502</v>
      </c>
      <c r="AM140" s="24">
        <f>+ABS(MAX(AK140:AK141))/(+AK138*2/10+AL138*2/10)/(AP138/10)</f>
        <v>55.717975543478261</v>
      </c>
      <c r="AN140" s="151" t="str">
        <f>IF(AM140&lt;=AM141,"OK","REDIS")</f>
        <v>OK</v>
      </c>
      <c r="AO140" s="150" t="s">
        <v>508</v>
      </c>
      <c r="AP140" s="24">
        <f>((AO138/10/2-AL138/10/2)/2)*((MAX(ABS(MAX(W137:W141)),ABS(MIN(W137:W141)))*100000))/(AL138/10)</f>
        <v>10106.402343750002</v>
      </c>
      <c r="AQ140" s="150" t="s">
        <v>510</v>
      </c>
      <c r="AR140" s="24">
        <f>+AP140/(AK138*AP138*AP138/6/10/10/10)</f>
        <v>323.40487500000006</v>
      </c>
      <c r="AS140" s="152" t="str">
        <f>IF(AR140&lt;=0.6*AR136*1.1,"OK","REDIS")</f>
        <v>OK</v>
      </c>
      <c r="AT140" s="24" t="s">
        <v>516</v>
      </c>
      <c r="AU140" s="174">
        <f>+AW138*(AP140/100000)/((AO138-AL138)/1000/4)/(AT138-1)</f>
        <v>2.6950406250000003</v>
      </c>
      <c r="AV140" s="24" t="s">
        <v>519</v>
      </c>
      <c r="AW140" s="175">
        <f>+AW138*(ABS(MAX(M137:M141))+ABS(MIN(M137:M141)+ABS(MAX(N137:N141))+ABS(MIN(N137:N141))))/AV138</f>
        <v>0.30332249999999999</v>
      </c>
      <c r="AX140" s="155" t="s">
        <v>525</v>
      </c>
      <c r="AY140" s="182">
        <f>IF(BC138=(1+1/4),+(11-1/4),IF(BC138=1,(9),IF(BC138=(7/8),(7-7/8),IF(BC138=(3/4),+(6-3/4),IF(BC138=(5/8),+(5-5/8),IF(BC138=(1/2),(4-1/2),IF(BC138=(3-3/8),+(7/16),"no valido")))))))</f>
        <v>9</v>
      </c>
      <c r="AZ140" s="166" t="s">
        <v>526</v>
      </c>
      <c r="BA140" s="168" t="s">
        <v>533</v>
      </c>
      <c r="BB140" s="153" t="s">
        <v>521</v>
      </c>
      <c r="BC140" s="44">
        <f>+AV138</f>
        <v>8</v>
      </c>
      <c r="BD140" s="166" t="s">
        <v>527</v>
      </c>
      <c r="BE140" s="162" t="s">
        <v>534</v>
      </c>
      <c r="BG140" s="113"/>
      <c r="BH140" s="68"/>
      <c r="BI140" s="114"/>
      <c r="BJ140" s="45"/>
      <c r="BK140" s="63"/>
      <c r="BL140" s="63"/>
      <c r="BM140" s="63"/>
      <c r="BN140" s="70"/>
      <c r="BO140" s="70"/>
      <c r="BP140" s="44"/>
      <c r="BQ140" s="63"/>
      <c r="BR140" s="44"/>
      <c r="BS140" s="70"/>
      <c r="BT140" s="70"/>
      <c r="BU140" s="207"/>
      <c r="BV140" s="63"/>
    </row>
    <row r="141" spans="1:74" ht="15" hidden="1" x14ac:dyDescent="0.25">
      <c r="A141" s="216" t="s">
        <v>659</v>
      </c>
      <c r="B141" s="216" t="s">
        <v>624</v>
      </c>
      <c r="C141" s="216" t="s">
        <v>389</v>
      </c>
      <c r="D141" s="216">
        <v>-1.7164999999999999</v>
      </c>
      <c r="E141" s="216">
        <v>-5.2699999999999997E-2</v>
      </c>
      <c r="F141" s="216">
        <v>7.5769000000000002</v>
      </c>
      <c r="G141" s="216">
        <v>5.987E-2</v>
      </c>
      <c r="H141" s="216">
        <v>-1.78847</v>
      </c>
      <c r="I141" s="216">
        <v>-2.5769999999999999E-5</v>
      </c>
      <c r="K141" s="39"/>
      <c r="L141" s="40" t="s">
        <v>378</v>
      </c>
      <c r="M141" s="41">
        <f t="shared" ref="M141:R141" si="174">D137+0.25*D138-D140</f>
        <v>-1.6026749999999998</v>
      </c>
      <c r="N141" s="41">
        <f t="shared" si="174"/>
        <v>0.33562500000000001</v>
      </c>
      <c r="O141" s="41">
        <f t="shared" si="174"/>
        <v>6.7411250000000003</v>
      </c>
      <c r="P141" s="41">
        <f t="shared" si="174"/>
        <v>-0.61878250000000001</v>
      </c>
      <c r="Q141" s="41">
        <f t="shared" si="174"/>
        <v>-1.8287424999999999</v>
      </c>
      <c r="R141" s="42">
        <f t="shared" si="174"/>
        <v>-2.5087550000000002E-4</v>
      </c>
      <c r="S141" s="17"/>
      <c r="T141" s="29"/>
      <c r="U141" s="29" t="s">
        <v>378</v>
      </c>
      <c r="V141" s="23">
        <f t="shared" si="168"/>
        <v>6.7411250000000003</v>
      </c>
      <c r="W141" s="23">
        <f t="shared" si="168"/>
        <v>-0.61878250000000001</v>
      </c>
      <c r="X141" s="23">
        <f t="shared" si="168"/>
        <v>-1.8287424999999999</v>
      </c>
      <c r="Y141" s="29"/>
      <c r="Z141" s="31">
        <f>ABS(V141)/AC141/AD141</f>
        <v>3.9192587209302325</v>
      </c>
      <c r="AA141" s="23">
        <f>ABS(+W141/V141)</f>
        <v>9.1792171188043531E-2</v>
      </c>
      <c r="AB141" s="23">
        <f>ABS(X141/V141)</f>
        <v>0.27128149974967086</v>
      </c>
      <c r="AC141" s="36">
        <f t="shared" si="171"/>
        <v>0.8</v>
      </c>
      <c r="AD141" s="37">
        <f t="shared" si="171"/>
        <v>2.15</v>
      </c>
      <c r="AE141" s="22">
        <f t="shared" si="169"/>
        <v>0.61641565762391304</v>
      </c>
      <c r="AF141" s="22">
        <f t="shared" si="169"/>
        <v>1.6074370005006582</v>
      </c>
      <c r="AG141" s="22">
        <f>AF141*AE141</f>
        <v>0.99084933575262346</v>
      </c>
      <c r="AH141" s="38">
        <f>V141/AG141</f>
        <v>6.8033804502473796</v>
      </c>
      <c r="AJ141" s="147" t="s">
        <v>501</v>
      </c>
      <c r="AK141" s="24">
        <f>(MAX(V137:V141)+ABS(MAX(X137:X141))/(AK138/1000))*1000</f>
        <v>11534.991666666667</v>
      </c>
      <c r="AL141" s="150" t="s">
        <v>505</v>
      </c>
      <c r="AM141" s="24">
        <f>+AR136*0.4/3</f>
        <v>466.66666666666669</v>
      </c>
      <c r="AN141" s="24"/>
      <c r="AO141" s="150" t="s">
        <v>509</v>
      </c>
      <c r="AP141" s="24">
        <f>((AN138/10/2-AK138/10/2)/2)*(MAX(+ABS(MAX(X137:X141)),ABS(MIN(X137:X141)))*100000/(AK138/10))</f>
        <v>64277.375</v>
      </c>
      <c r="AQ141" s="150" t="s">
        <v>511</v>
      </c>
      <c r="AR141" s="24">
        <f>+AP141/(AL138*AP138*AP138/6/1000)</f>
        <v>3856.6424999999999</v>
      </c>
      <c r="AS141" s="152" t="str">
        <f>IF(AR141&lt;=0.6*AR136*1.1,"OK","REDIS")</f>
        <v>REDIS</v>
      </c>
      <c r="AT141" s="24" t="s">
        <v>517</v>
      </c>
      <c r="AU141" s="174">
        <f>+AW138*(AP141/100000)/((AN138-AK138)/1000/4)/(AU138-1)</f>
        <v>7.7132849999999991</v>
      </c>
      <c r="AV141" s="24"/>
      <c r="AW141" s="161"/>
      <c r="AX141" s="156" t="s">
        <v>522</v>
      </c>
      <c r="AY141" s="181">
        <f>IF(AY139=(1+3/8),+AV138/3,IF(AY139=(1+1/8),+AV138/6,IF(AY139=1,+AV138/8,IF(AY139=(7/8),+AV138/11,IF(AY139=0.75,+AV138/18,IF(AY139=(9/16),+AV138/45,IF(AY139=(7/16),+AV138/84,"NO HAY DATO")))))))</f>
        <v>1.3333333333333333</v>
      </c>
      <c r="AZ141" s="167" t="s">
        <v>527</v>
      </c>
      <c r="BA141" s="176"/>
      <c r="BB141" s="164" t="s">
        <v>523</v>
      </c>
      <c r="BC141" s="129">
        <f>+BC140*BC139*2.54/100</f>
        <v>2.4384000000000001</v>
      </c>
      <c r="BD141" s="173" t="s">
        <v>528</v>
      </c>
      <c r="BE141" s="130"/>
      <c r="BG141" s="113"/>
      <c r="BH141" s="68"/>
      <c r="BI141" s="209"/>
      <c r="BJ141" s="134"/>
      <c r="BK141" s="135"/>
      <c r="BL141" s="63"/>
      <c r="BM141" s="125"/>
      <c r="BN141" s="133"/>
      <c r="BO141" s="44"/>
      <c r="BR141" s="135"/>
      <c r="BS141" s="63"/>
      <c r="BT141" s="125"/>
      <c r="BU141" s="133"/>
      <c r="BV141" s="44"/>
    </row>
    <row r="142" spans="1:74" ht="15" hidden="1" x14ac:dyDescent="0.25">
      <c r="A142" s="216" t="s">
        <v>659</v>
      </c>
      <c r="B142" s="216" t="s">
        <v>625</v>
      </c>
      <c r="C142" s="216" t="s">
        <v>389</v>
      </c>
      <c r="D142" s="216">
        <v>-1.1930000000000001</v>
      </c>
      <c r="E142" s="216">
        <v>0.3493</v>
      </c>
      <c r="F142" s="216">
        <v>4.9307999999999996</v>
      </c>
      <c r="G142" s="216">
        <v>-0.63451999999999997</v>
      </c>
      <c r="H142" s="216">
        <v>-1.4041399999999999</v>
      </c>
      <c r="I142" s="216">
        <v>-2.5000000000000001E-4</v>
      </c>
      <c r="K142" s="25" t="s">
        <v>357</v>
      </c>
      <c r="L142" s="26" t="s">
        <v>358</v>
      </c>
      <c r="M142" s="27" t="s">
        <v>359</v>
      </c>
      <c r="N142" s="27" t="s">
        <v>360</v>
      </c>
      <c r="O142" s="27" t="s">
        <v>361</v>
      </c>
      <c r="P142" s="27" t="s">
        <v>362</v>
      </c>
      <c r="Q142" s="27" t="s">
        <v>363</v>
      </c>
      <c r="R142" s="28" t="s">
        <v>364</v>
      </c>
      <c r="S142" s="17"/>
      <c r="T142" s="29" t="s">
        <v>365</v>
      </c>
      <c r="U142" s="29" t="s">
        <v>358</v>
      </c>
      <c r="V142" s="30" t="s">
        <v>361</v>
      </c>
      <c r="W142" s="30" t="s">
        <v>362</v>
      </c>
      <c r="X142" s="30" t="s">
        <v>363</v>
      </c>
      <c r="Y142" s="29" t="s">
        <v>366</v>
      </c>
      <c r="Z142" s="31" t="s">
        <v>367</v>
      </c>
      <c r="AA142" s="23" t="s">
        <v>368</v>
      </c>
      <c r="AB142" s="23" t="s">
        <v>369</v>
      </c>
      <c r="AC142" s="22" t="s">
        <v>0</v>
      </c>
      <c r="AD142" s="22" t="s">
        <v>1</v>
      </c>
      <c r="AE142" s="22" t="s">
        <v>370</v>
      </c>
      <c r="AF142" s="22" t="s">
        <v>371</v>
      </c>
      <c r="AG142" s="22" t="s">
        <v>372</v>
      </c>
      <c r="AH142" s="32" t="s">
        <v>373</v>
      </c>
      <c r="AJ142" s="143" t="s">
        <v>365</v>
      </c>
      <c r="AK142" s="144" t="s">
        <v>498</v>
      </c>
      <c r="AL142" s="145"/>
      <c r="AM142" s="139"/>
      <c r="AN142" s="146" t="s">
        <v>499</v>
      </c>
      <c r="AO142" s="145"/>
      <c r="AP142" s="139"/>
      <c r="AQ142" s="147" t="s">
        <v>506</v>
      </c>
      <c r="AR142" s="48">
        <v>3500</v>
      </c>
      <c r="AS142" s="147" t="s">
        <v>405</v>
      </c>
      <c r="AT142" s="146" t="s">
        <v>512</v>
      </c>
      <c r="AU142" s="145"/>
      <c r="AV142" s="145"/>
      <c r="AW142" s="145"/>
      <c r="AX142" s="163" t="s">
        <v>532</v>
      </c>
      <c r="AY142" s="157" t="s">
        <v>515</v>
      </c>
      <c r="AZ142" s="169">
        <v>6.9</v>
      </c>
      <c r="BA142" s="171" t="str">
        <f>IF(MAX(AU146:AU147)&lt;=AZ142,"OK","REDIS")</f>
        <v>OK</v>
      </c>
      <c r="BB142" s="163" t="s">
        <v>536</v>
      </c>
      <c r="BC142" s="170" t="s">
        <v>515</v>
      </c>
      <c r="BD142" s="169">
        <v>8.36</v>
      </c>
      <c r="BE142" s="171" t="str">
        <f>IF(MAX(AU146:AU147)&lt;=BD142,"OK","REDIS")</f>
        <v>OK</v>
      </c>
      <c r="BG142" s="113"/>
      <c r="BH142" s="68"/>
      <c r="BI142" s="136"/>
      <c r="BJ142" s="128"/>
      <c r="BK142" s="111"/>
      <c r="BL142" s="16"/>
      <c r="BM142" s="63"/>
      <c r="BN142" s="44"/>
      <c r="BO142" s="126"/>
      <c r="BR142" s="111"/>
      <c r="BS142" s="16"/>
      <c r="BT142" s="63"/>
      <c r="BU142" s="44"/>
      <c r="BV142" s="126"/>
    </row>
    <row r="143" spans="1:74" ht="15" hidden="1" x14ac:dyDescent="0.25">
      <c r="A143" s="216" t="s">
        <v>660</v>
      </c>
      <c r="B143" s="216" t="s">
        <v>351</v>
      </c>
      <c r="C143" s="216" t="s">
        <v>352</v>
      </c>
      <c r="D143" s="216">
        <v>-1.0943000000000001</v>
      </c>
      <c r="E143" s="216">
        <v>5.0599999999999999E-2</v>
      </c>
      <c r="F143" s="216">
        <v>2.3837000000000002</v>
      </c>
      <c r="G143" s="216">
        <v>-4.2700000000000002E-2</v>
      </c>
      <c r="H143" s="216">
        <v>-1.0625199999999999</v>
      </c>
      <c r="I143" s="216">
        <v>-1.1E-4</v>
      </c>
      <c r="K143" s="33" t="str">
        <f>+A143</f>
        <v>80</v>
      </c>
      <c r="L143" s="17" t="s">
        <v>374</v>
      </c>
      <c r="M143" s="34">
        <f t="shared" ref="M143:R143" si="175">D143+D144</f>
        <v>-1.7011000000000001</v>
      </c>
      <c r="N143" s="34">
        <f t="shared" si="175"/>
        <v>8.0399999999999999E-2</v>
      </c>
      <c r="O143" s="34">
        <f t="shared" si="175"/>
        <v>3.6699000000000002</v>
      </c>
      <c r="P143" s="34">
        <f t="shared" si="175"/>
        <v>-6.6470000000000001E-2</v>
      </c>
      <c r="Q143" s="34">
        <f t="shared" si="175"/>
        <v>-1.64805</v>
      </c>
      <c r="R143" s="35">
        <f t="shared" si="175"/>
        <v>-1.7578E-4</v>
      </c>
      <c r="S143" s="17"/>
      <c r="T143" s="29" t="str">
        <f>K143</f>
        <v>80</v>
      </c>
      <c r="U143" s="29" t="s">
        <v>374</v>
      </c>
      <c r="V143" s="23">
        <f t="shared" ref="V143:X147" si="176">O143</f>
        <v>3.6699000000000002</v>
      </c>
      <c r="W143" s="23">
        <f t="shared" si="176"/>
        <v>-6.6470000000000001E-2</v>
      </c>
      <c r="X143" s="23">
        <f t="shared" si="176"/>
        <v>-1.64805</v>
      </c>
      <c r="Y143" s="29">
        <v>26</v>
      </c>
      <c r="Z143" s="31">
        <f>ABS(V143)/AC143/AD143</f>
        <v>2.1336627906976746</v>
      </c>
      <c r="AA143" s="23">
        <f>ABS(+W143/V143)</f>
        <v>1.8112210141965721E-2</v>
      </c>
      <c r="AB143" s="23">
        <f>ABS(X143/V143)</f>
        <v>0.44907218180331887</v>
      </c>
      <c r="AC143" s="36">
        <v>0.8</v>
      </c>
      <c r="AD143" s="37">
        <v>2.15</v>
      </c>
      <c r="AE143" s="22">
        <f t="shared" ref="AE143:AF147" si="177">AC143-2*AA143</f>
        <v>0.76377557971606858</v>
      </c>
      <c r="AF143" s="22">
        <f t="shared" si="177"/>
        <v>1.2518556363933622</v>
      </c>
      <c r="AG143" s="22">
        <f>AF143*AE143</f>
        <v>0.9561367644071681</v>
      </c>
      <c r="AH143" s="38">
        <f>V143/AG143</f>
        <v>3.8382584339547305</v>
      </c>
      <c r="AJ143" s="48" t="str">
        <f>+K143</f>
        <v>80</v>
      </c>
      <c r="AK143" s="147" t="s">
        <v>0</v>
      </c>
      <c r="AL143" s="147" t="s">
        <v>1</v>
      </c>
      <c r="AM143" s="147" t="s">
        <v>438</v>
      </c>
      <c r="AN143" s="147" t="s">
        <v>503</v>
      </c>
      <c r="AO143" s="147" t="s">
        <v>504</v>
      </c>
      <c r="AP143" s="147" t="s">
        <v>323</v>
      </c>
      <c r="AQ143" s="48"/>
      <c r="AR143" s="48"/>
      <c r="AS143" s="48"/>
      <c r="AT143" s="147" t="s">
        <v>0</v>
      </c>
      <c r="AU143" s="147" t="s">
        <v>1</v>
      </c>
      <c r="AV143" s="147" t="s">
        <v>513</v>
      </c>
      <c r="AW143" s="159" t="s">
        <v>520</v>
      </c>
      <c r="AX143" s="141" t="s">
        <v>530</v>
      </c>
      <c r="AY143" s="157" t="s">
        <v>178</v>
      </c>
      <c r="AZ143" s="44">
        <v>12</v>
      </c>
      <c r="BA143" s="172" t="str">
        <f>IF(AW146&lt;=AZ143,"OK","REDIS")</f>
        <v>OK</v>
      </c>
      <c r="BB143" s="141" t="s">
        <v>535</v>
      </c>
      <c r="BC143" s="120" t="s">
        <v>178</v>
      </c>
      <c r="BD143" s="44">
        <v>4.3</v>
      </c>
      <c r="BE143" s="172" t="str">
        <f>IF(AW146&lt;=BD143,"OK","REDIS")</f>
        <v>OK</v>
      </c>
      <c r="BG143" s="113"/>
      <c r="BH143" s="68"/>
      <c r="BI143" s="136"/>
      <c r="BJ143" s="128"/>
      <c r="BM143" s="137"/>
      <c r="BN143" s="63"/>
      <c r="BO143" s="125"/>
      <c r="BT143" s="137"/>
      <c r="BU143" s="63"/>
      <c r="BV143" s="125"/>
    </row>
    <row r="144" spans="1:74" ht="15" hidden="1" x14ac:dyDescent="0.25">
      <c r="A144" s="216" t="s">
        <v>660</v>
      </c>
      <c r="B144" s="216" t="s">
        <v>353</v>
      </c>
      <c r="C144" s="216" t="s">
        <v>352</v>
      </c>
      <c r="D144" s="216">
        <v>-0.60680000000000001</v>
      </c>
      <c r="E144" s="216">
        <v>2.98E-2</v>
      </c>
      <c r="F144" s="216">
        <v>1.2862</v>
      </c>
      <c r="G144" s="216">
        <v>-2.3769999999999999E-2</v>
      </c>
      <c r="H144" s="216">
        <v>-0.58552999999999999</v>
      </c>
      <c r="I144" s="216">
        <v>-6.5779999999999997E-5</v>
      </c>
      <c r="K144" s="33"/>
      <c r="L144" s="17" t="s">
        <v>375</v>
      </c>
      <c r="M144" s="34">
        <f t="shared" ref="M144:R144" si="178">D143+0.25*D144+D145</f>
        <v>-1.629</v>
      </c>
      <c r="N144" s="34">
        <f t="shared" si="178"/>
        <v>6.8749999999999992E-2</v>
      </c>
      <c r="O144" s="34">
        <f t="shared" si="178"/>
        <v>2.7841500000000003</v>
      </c>
      <c r="P144" s="34">
        <f t="shared" si="178"/>
        <v>-7.2272500000000003E-2</v>
      </c>
      <c r="Q144" s="34">
        <f t="shared" si="178"/>
        <v>-2.0411524999999999</v>
      </c>
      <c r="R144" s="35">
        <f t="shared" si="178"/>
        <v>-1.7061500000000002E-4</v>
      </c>
      <c r="S144" s="17"/>
      <c r="T144" s="29"/>
      <c r="U144" s="29" t="s">
        <v>375</v>
      </c>
      <c r="V144" s="23">
        <f t="shared" si="176"/>
        <v>2.7841500000000003</v>
      </c>
      <c r="W144" s="23">
        <f t="shared" si="176"/>
        <v>-7.2272500000000003E-2</v>
      </c>
      <c r="X144" s="23">
        <f t="shared" si="176"/>
        <v>-2.0411524999999999</v>
      </c>
      <c r="Y144" s="29">
        <f>1.33*Y143</f>
        <v>34.58</v>
      </c>
      <c r="Z144" s="31">
        <f>ABS(V144)/AC144/AD144</f>
        <v>1.6186918604651166</v>
      </c>
      <c r="AA144" s="23">
        <f>ABS(+W144/V144)</f>
        <v>2.595855108381373E-2</v>
      </c>
      <c r="AB144" s="23">
        <f>ABS(X144/V144)</f>
        <v>0.73313309268537963</v>
      </c>
      <c r="AC144" s="36">
        <f t="shared" ref="AC144:AD147" si="179">AC143</f>
        <v>0.8</v>
      </c>
      <c r="AD144" s="37">
        <f t="shared" si="179"/>
        <v>2.15</v>
      </c>
      <c r="AE144" s="22">
        <f t="shared" si="177"/>
        <v>0.74808289783237258</v>
      </c>
      <c r="AF144" s="22">
        <f t="shared" si="177"/>
        <v>0.68373381462924065</v>
      </c>
      <c r="AG144" s="22">
        <f>AF144*AE144</f>
        <v>0.51148957339382461</v>
      </c>
      <c r="AH144" s="38">
        <f>V144/AG144</f>
        <v>5.4432194610081064</v>
      </c>
      <c r="AJ144" s="147" t="s">
        <v>539</v>
      </c>
      <c r="AK144" s="148">
        <v>300</v>
      </c>
      <c r="AL144" s="148">
        <v>160</v>
      </c>
      <c r="AM144" s="148">
        <v>4</v>
      </c>
      <c r="AN144" s="149">
        <v>500</v>
      </c>
      <c r="AO144" s="149">
        <v>250</v>
      </c>
      <c r="AP144" s="149">
        <v>25</v>
      </c>
      <c r="AQ144" s="48"/>
      <c r="AR144" s="48"/>
      <c r="AS144" s="48"/>
      <c r="AT144" s="48">
        <v>3</v>
      </c>
      <c r="AU144" s="48">
        <v>3</v>
      </c>
      <c r="AV144" s="149">
        <f>+AT144*2+(AU144-2)*2</f>
        <v>8</v>
      </c>
      <c r="AW144" s="159">
        <v>1.2</v>
      </c>
      <c r="AX144" s="155" t="s">
        <v>538</v>
      </c>
      <c r="AY144" s="180">
        <f>+AV144</f>
        <v>8</v>
      </c>
      <c r="BA144" s="154"/>
      <c r="BB144" s="177" t="s">
        <v>537</v>
      </c>
      <c r="BC144" s="179">
        <v>1</v>
      </c>
      <c r="BD144" s="166" t="s">
        <v>526</v>
      </c>
      <c r="BE144" s="154"/>
      <c r="BG144" s="113"/>
      <c r="BH144" s="68"/>
      <c r="BI144" s="136"/>
      <c r="BJ144" s="138"/>
      <c r="BM144" s="125"/>
      <c r="BN144" s="133"/>
      <c r="BO144" s="44"/>
      <c r="BT144" s="125"/>
      <c r="BU144" s="133"/>
      <c r="BV144" s="44"/>
    </row>
    <row r="145" spans="1:74" ht="15" hidden="1" x14ac:dyDescent="0.25">
      <c r="A145" s="216" t="s">
        <v>660</v>
      </c>
      <c r="B145" s="216" t="s">
        <v>354</v>
      </c>
      <c r="C145" s="216" t="s">
        <v>352</v>
      </c>
      <c r="D145" s="216">
        <v>-0.38300000000000001</v>
      </c>
      <c r="E145" s="216">
        <v>1.0699999999999999E-2</v>
      </c>
      <c r="F145" s="216">
        <v>7.8899999999999998E-2</v>
      </c>
      <c r="G145" s="216">
        <v>-2.3630000000000002E-2</v>
      </c>
      <c r="H145" s="216">
        <v>-0.83225000000000005</v>
      </c>
      <c r="I145" s="216">
        <v>-4.4169999999999999E-5</v>
      </c>
      <c r="K145" s="33"/>
      <c r="L145" s="17" t="s">
        <v>376</v>
      </c>
      <c r="M145" s="34">
        <f t="shared" ref="M145:R145" si="180">D143+0.25*D144-D145</f>
        <v>-0.86299999999999999</v>
      </c>
      <c r="N145" s="34">
        <f t="shared" si="180"/>
        <v>4.7349999999999996E-2</v>
      </c>
      <c r="O145" s="34">
        <f t="shared" si="180"/>
        <v>2.6263500000000004</v>
      </c>
      <c r="P145" s="34">
        <f t="shared" si="180"/>
        <v>-2.5012500000000003E-2</v>
      </c>
      <c r="Q145" s="34">
        <f t="shared" si="180"/>
        <v>-0.37665249999999995</v>
      </c>
      <c r="R145" s="35">
        <f t="shared" si="180"/>
        <v>-8.2275000000000008E-5</v>
      </c>
      <c r="S145" s="17"/>
      <c r="T145" s="29"/>
      <c r="U145" s="29" t="s">
        <v>376</v>
      </c>
      <c r="V145" s="23">
        <f t="shared" si="176"/>
        <v>2.6263500000000004</v>
      </c>
      <c r="W145" s="23">
        <f t="shared" si="176"/>
        <v>-2.5012500000000003E-2</v>
      </c>
      <c r="X145" s="23">
        <f t="shared" si="176"/>
        <v>-0.37665249999999995</v>
      </c>
      <c r="Y145" s="29"/>
      <c r="Z145" s="31">
        <f>ABS(V145)/AC145/AD145</f>
        <v>1.526947674418605</v>
      </c>
      <c r="AA145" s="23">
        <f>ABS(+W145/V145)</f>
        <v>9.5236735393226333E-3</v>
      </c>
      <c r="AB145" s="23">
        <f>ABS(X145/V145)</f>
        <v>0.14341291145506116</v>
      </c>
      <c r="AC145" s="36">
        <f t="shared" si="179"/>
        <v>0.8</v>
      </c>
      <c r="AD145" s="37">
        <f t="shared" si="179"/>
        <v>2.15</v>
      </c>
      <c r="AE145" s="22">
        <f t="shared" si="177"/>
        <v>0.78095265292135474</v>
      </c>
      <c r="AF145" s="22">
        <f t="shared" si="177"/>
        <v>1.8631741770898775</v>
      </c>
      <c r="AG145" s="22">
        <f>AF145*AE145</f>
        <v>1.4550508164529019</v>
      </c>
      <c r="AH145" s="38">
        <f>V145/AG145</f>
        <v>1.8049885064512534</v>
      </c>
      <c r="AJ145" s="146" t="s">
        <v>514</v>
      </c>
      <c r="AK145" s="145"/>
      <c r="AL145" s="145"/>
      <c r="AM145" s="145"/>
      <c r="AN145" s="139"/>
      <c r="AO145" s="146" t="s">
        <v>507</v>
      </c>
      <c r="AP145" s="145" t="s">
        <v>626</v>
      </c>
      <c r="AQ145" s="145">
        <f>0.6*AR142</f>
        <v>2100</v>
      </c>
      <c r="AR145" s="212" t="s">
        <v>627</v>
      </c>
      <c r="AS145" s="211">
        <f>+AR146+AR147</f>
        <v>2287.5961249999996</v>
      </c>
      <c r="AT145" s="48" t="s">
        <v>515</v>
      </c>
      <c r="AU145" s="48"/>
      <c r="AV145" s="48" t="s">
        <v>518</v>
      </c>
      <c r="AW145" s="160"/>
      <c r="AX145" s="155" t="s">
        <v>524</v>
      </c>
      <c r="AY145" s="182">
        <f>IF(BC144=(1+1/4),+(1+3/8),IF(BC144=1,(1+1/8),IF(BC144=(7/8),1,IF(BC144=(3/4),+(7/8),IF(BC144=(5/8),+(3/4),IF(BC144=(1/2),(9/16),IF(BC144=(3/8),+(7/16),"no valido")))))))</f>
        <v>1.125</v>
      </c>
      <c r="AZ145" s="165" t="s">
        <v>526</v>
      </c>
      <c r="BA145" s="172" t="s">
        <v>531</v>
      </c>
      <c r="BB145" s="178" t="s">
        <v>529</v>
      </c>
      <c r="BC145" s="158">
        <f>+AY146+3</f>
        <v>12</v>
      </c>
      <c r="BD145" s="166" t="s">
        <v>526</v>
      </c>
      <c r="BE145" s="172" t="s">
        <v>531</v>
      </c>
    </row>
    <row r="146" spans="1:74" ht="15" hidden="1" x14ac:dyDescent="0.25">
      <c r="A146" s="216" t="s">
        <v>660</v>
      </c>
      <c r="B146" s="216" t="s">
        <v>355</v>
      </c>
      <c r="C146" s="216" t="s">
        <v>352</v>
      </c>
      <c r="D146" s="216">
        <v>6.88E-2</v>
      </c>
      <c r="E146" s="216">
        <v>-0.2293</v>
      </c>
      <c r="F146" s="216">
        <v>-0.27189999999999998</v>
      </c>
      <c r="G146" s="216">
        <v>0.49901000000000001</v>
      </c>
      <c r="H146" s="216">
        <v>2.8729999999999999E-2</v>
      </c>
      <c r="I146" s="216">
        <v>4.2000000000000002E-4</v>
      </c>
      <c r="K146" s="33"/>
      <c r="L146" s="17" t="s">
        <v>377</v>
      </c>
      <c r="M146" s="34">
        <f t="shared" ref="M146:R146" si="181">D143+0.25*D144+D146</f>
        <v>-1.1772</v>
      </c>
      <c r="N146" s="34">
        <f t="shared" si="181"/>
        <v>-0.17125000000000001</v>
      </c>
      <c r="O146" s="34">
        <f t="shared" si="181"/>
        <v>2.4333500000000003</v>
      </c>
      <c r="P146" s="34">
        <f t="shared" si="181"/>
        <v>0.45036750000000003</v>
      </c>
      <c r="Q146" s="34">
        <f t="shared" si="181"/>
        <v>-1.1801725000000001</v>
      </c>
      <c r="R146" s="35">
        <f t="shared" si="181"/>
        <v>2.9355500000000003E-4</v>
      </c>
      <c r="S146" s="17"/>
      <c r="T146" s="29"/>
      <c r="U146" s="29" t="s">
        <v>377</v>
      </c>
      <c r="V146" s="23">
        <f t="shared" si="176"/>
        <v>2.4333500000000003</v>
      </c>
      <c r="W146" s="23">
        <f t="shared" si="176"/>
        <v>0.45036750000000003</v>
      </c>
      <c r="X146" s="23">
        <f t="shared" si="176"/>
        <v>-1.1801725000000001</v>
      </c>
      <c r="Y146" s="29"/>
      <c r="Z146" s="31">
        <f>ABS(V146)/AC146/AD146</f>
        <v>1.4147383720930233</v>
      </c>
      <c r="AA146" s="23">
        <f>ABS(+W146/V146)</f>
        <v>0.18508126656666735</v>
      </c>
      <c r="AB146" s="23">
        <f>ABS(X146/V146)</f>
        <v>0.48499907534879894</v>
      </c>
      <c r="AC146" s="36">
        <f t="shared" si="179"/>
        <v>0.8</v>
      </c>
      <c r="AD146" s="37">
        <f t="shared" si="179"/>
        <v>2.15</v>
      </c>
      <c r="AE146" s="22">
        <f t="shared" si="177"/>
        <v>0.42983746686666535</v>
      </c>
      <c r="AF146" s="22">
        <f t="shared" si="177"/>
        <v>1.180001849302402</v>
      </c>
      <c r="AG146" s="22">
        <f>AF146*AE146</f>
        <v>0.50720900580212502</v>
      </c>
      <c r="AH146" s="38">
        <f>V146/AG146</f>
        <v>4.7975291687729049</v>
      </c>
      <c r="AJ146" s="147" t="s">
        <v>500</v>
      </c>
      <c r="AK146" s="24">
        <f>(MAX(V143:V147)+ABS(MAX(W143:W147))/(AL144/1000))*1000</f>
        <v>6484.6968750000005</v>
      </c>
      <c r="AL146" s="150" t="s">
        <v>502</v>
      </c>
      <c r="AM146" s="24">
        <f>+ABS(MAX(AK146:AK147))/(+AK144*2/10+AL144*2/10)/(AP144/10)</f>
        <v>28.194334239130438</v>
      </c>
      <c r="AN146" s="151" t="str">
        <f>IF(AM146&lt;=AM147,"OK","REDIS")</f>
        <v>OK</v>
      </c>
      <c r="AO146" s="150" t="s">
        <v>508</v>
      </c>
      <c r="AP146" s="24">
        <f>((AO144/10/2-AL144/10/2)/2)*((MAX(ABS(MAX(W143:W147)),ABS(MIN(W143:W147)))*100000))/(AL144/10)</f>
        <v>7701.36328125</v>
      </c>
      <c r="AQ146" s="150" t="s">
        <v>510</v>
      </c>
      <c r="AR146" s="24">
        <f>+AP146/(AK144*AP144*AP144/6/10/10/10)</f>
        <v>246.443625</v>
      </c>
      <c r="AS146" s="152" t="str">
        <f>IF(AR146&lt;=0.6*AR142*1.1,"OK","REDIS")</f>
        <v>OK</v>
      </c>
      <c r="AT146" s="24" t="s">
        <v>516</v>
      </c>
      <c r="AU146" s="174">
        <f>+AW144*(AP146/100000)/((AO144-AL144)/1000/4)/(AT144-1)</f>
        <v>2.053696875</v>
      </c>
      <c r="AV146" s="24" t="s">
        <v>519</v>
      </c>
      <c r="AW146" s="175">
        <f>+AW144*(ABS(MAX(M143:M147))+ABS(MIN(M143:M147)+ABS(MAX(N143:N147))+ABS(MIN(N143:N147))))/AV144</f>
        <v>0.31582500000000002</v>
      </c>
      <c r="AX146" s="155" t="s">
        <v>525</v>
      </c>
      <c r="AY146" s="182">
        <f>IF(BC144=(1+1/4),+(11-1/4),IF(BC144=1,(9),IF(BC144=(7/8),(7-7/8),IF(BC144=(3/4),+(6-3/4),IF(BC144=(5/8),+(5-5/8),IF(BC144=(1/2),(4-1/2),IF(BC144=(3-3/8),+(7/16),"no valido")))))))</f>
        <v>9</v>
      </c>
      <c r="AZ146" s="166" t="s">
        <v>526</v>
      </c>
      <c r="BA146" s="168" t="s">
        <v>533</v>
      </c>
      <c r="BB146" s="153" t="s">
        <v>521</v>
      </c>
      <c r="BC146" s="44">
        <f>+AV144</f>
        <v>8</v>
      </c>
      <c r="BD146" s="166" t="s">
        <v>527</v>
      </c>
      <c r="BE146" s="162" t="s">
        <v>534</v>
      </c>
      <c r="BG146" s="109"/>
      <c r="BH146" s="142"/>
      <c r="BJ146" s="109"/>
      <c r="BK146" s="142"/>
      <c r="BM146" s="110"/>
      <c r="BN146" s="110"/>
      <c r="BO146" s="110"/>
      <c r="BP146" s="110"/>
    </row>
    <row r="147" spans="1:74" ht="15" hidden="1" x14ac:dyDescent="0.25">
      <c r="A147" s="216" t="s">
        <v>660</v>
      </c>
      <c r="B147" s="216" t="s">
        <v>624</v>
      </c>
      <c r="C147" s="216" t="s">
        <v>389</v>
      </c>
      <c r="D147" s="216">
        <v>-1.532</v>
      </c>
      <c r="E147" s="216">
        <v>7.0800000000000002E-2</v>
      </c>
      <c r="F147" s="216">
        <v>3.3372000000000002</v>
      </c>
      <c r="G147" s="216">
        <v>-5.978E-2</v>
      </c>
      <c r="H147" s="216">
        <v>-1.48753</v>
      </c>
      <c r="I147" s="216">
        <v>-1.6000000000000001E-4</v>
      </c>
      <c r="K147" s="39"/>
      <c r="L147" s="40" t="s">
        <v>378</v>
      </c>
      <c r="M147" s="41">
        <f t="shared" ref="M147:R147" si="182">D143+0.25*D144-D146</f>
        <v>-1.3148</v>
      </c>
      <c r="N147" s="41">
        <f t="shared" si="182"/>
        <v>0.28734999999999999</v>
      </c>
      <c r="O147" s="41">
        <f t="shared" si="182"/>
        <v>2.9771500000000004</v>
      </c>
      <c r="P147" s="41">
        <f t="shared" si="182"/>
        <v>-0.54765249999999999</v>
      </c>
      <c r="Q147" s="41">
        <f t="shared" si="182"/>
        <v>-1.2376324999999999</v>
      </c>
      <c r="R147" s="42">
        <f t="shared" si="182"/>
        <v>-5.46445E-4</v>
      </c>
      <c r="S147" s="17"/>
      <c r="T147" s="29"/>
      <c r="U147" s="29" t="s">
        <v>378</v>
      </c>
      <c r="V147" s="23">
        <f t="shared" si="176"/>
        <v>2.9771500000000004</v>
      </c>
      <c r="W147" s="23">
        <f t="shared" si="176"/>
        <v>-0.54765249999999999</v>
      </c>
      <c r="X147" s="23">
        <f t="shared" si="176"/>
        <v>-1.2376324999999999</v>
      </c>
      <c r="Y147" s="29"/>
      <c r="Z147" s="31">
        <f>ABS(V147)/AC147/AD147</f>
        <v>1.7309011627906978</v>
      </c>
      <c r="AA147" s="23">
        <f>ABS(+W147/V147)</f>
        <v>0.18395193389651174</v>
      </c>
      <c r="AB147" s="23">
        <f>ABS(X147/V147)</f>
        <v>0.41571049493643242</v>
      </c>
      <c r="AC147" s="36">
        <f t="shared" si="179"/>
        <v>0.8</v>
      </c>
      <c r="AD147" s="37">
        <f t="shared" si="179"/>
        <v>2.15</v>
      </c>
      <c r="AE147" s="22">
        <f t="shared" si="177"/>
        <v>0.43209613220697657</v>
      </c>
      <c r="AF147" s="22">
        <f t="shared" si="177"/>
        <v>1.3185790101271351</v>
      </c>
      <c r="AG147" s="22">
        <f>AF147*AE147</f>
        <v>0.5697528902852389</v>
      </c>
      <c r="AH147" s="38">
        <f>V147/AG147</f>
        <v>5.2253354932689007</v>
      </c>
      <c r="AJ147" s="147" t="s">
        <v>501</v>
      </c>
      <c r="AK147" s="24">
        <f>(MAX(V143:V147)+ABS(MAX(X143:X147))/(AK144/1000))*1000</f>
        <v>4925.4083333333338</v>
      </c>
      <c r="AL147" s="150" t="s">
        <v>505</v>
      </c>
      <c r="AM147" s="24">
        <f>+AR142*0.4/3</f>
        <v>466.66666666666669</v>
      </c>
      <c r="AN147" s="24"/>
      <c r="AO147" s="150" t="s">
        <v>509</v>
      </c>
      <c r="AP147" s="24">
        <f>((AN144/10/2-AK144/10/2)/2)*(MAX(+ABS(MAX(X143:X147)),ABS(MIN(X143:X147)))*100000/(AK144/10))</f>
        <v>34019.208333333328</v>
      </c>
      <c r="AQ147" s="150" t="s">
        <v>511</v>
      </c>
      <c r="AR147" s="24">
        <f>+AP147/(AL144*AP144*AP144/6/1000)</f>
        <v>2041.1524999999995</v>
      </c>
      <c r="AS147" s="152" t="str">
        <f>IF(AR147&lt;=0.6*AR142*1.1,"OK","REDIS")</f>
        <v>OK</v>
      </c>
      <c r="AT147" s="24" t="s">
        <v>517</v>
      </c>
      <c r="AU147" s="174">
        <f>+AW144*(AP147/100000)/((AN144-AK144)/1000/4)/(AU144-1)</f>
        <v>4.082304999999999</v>
      </c>
      <c r="AV147" s="24"/>
      <c r="AW147" s="161"/>
      <c r="AX147" s="156" t="s">
        <v>522</v>
      </c>
      <c r="AY147" s="181">
        <f>IF(AY145=(1+3/8),+AV144/3,IF(AY145=(1+1/8),+AV144/6,IF(AY145=1,+AV144/8,IF(AY145=(7/8),+AV144/11,IF(AY145=0.75,+AV144/18,IF(AY145=(9/16),+AV144/45,IF(AY145=(7/16),+AV144/84,"NO HAY DATO")))))))</f>
        <v>1.3333333333333333</v>
      </c>
      <c r="AZ147" s="167" t="s">
        <v>527</v>
      </c>
      <c r="BA147" s="176"/>
      <c r="BB147" s="164" t="s">
        <v>523</v>
      </c>
      <c r="BC147" s="129">
        <f>+BC146*BC145*2.54/100</f>
        <v>2.4384000000000001</v>
      </c>
      <c r="BD147" s="173" t="s">
        <v>528</v>
      </c>
      <c r="BE147" s="130"/>
      <c r="BG147" s="111"/>
      <c r="BH147" s="9"/>
      <c r="BI147" s="125"/>
      <c r="BJ147" s="125"/>
      <c r="BK147" s="44"/>
      <c r="BL147" s="44"/>
      <c r="BM147" s="126"/>
      <c r="BN147" s="44"/>
      <c r="BO147" s="44"/>
      <c r="BP147" s="44"/>
      <c r="BQ147" s="126"/>
      <c r="BR147" s="44"/>
      <c r="BS147" s="44"/>
      <c r="BT147" s="44"/>
      <c r="BU147" s="44"/>
      <c r="BV147" s="44"/>
    </row>
    <row r="148" spans="1:74" ht="15" hidden="1" x14ac:dyDescent="0.25">
      <c r="A148" s="216" t="s">
        <v>660</v>
      </c>
      <c r="B148" s="216" t="s">
        <v>625</v>
      </c>
      <c r="C148" s="216" t="s">
        <v>389</v>
      </c>
      <c r="D148" s="216">
        <v>-0.94420000000000004</v>
      </c>
      <c r="E148" s="216">
        <v>0.2697</v>
      </c>
      <c r="F148" s="216">
        <v>2.1789000000000001</v>
      </c>
      <c r="G148" s="216">
        <v>-0.53317000000000003</v>
      </c>
      <c r="H148" s="216">
        <v>-0.87875000000000003</v>
      </c>
      <c r="I148" s="216">
        <v>-5.1000000000000004E-4</v>
      </c>
      <c r="K148" s="25" t="s">
        <v>357</v>
      </c>
      <c r="L148" s="26" t="s">
        <v>358</v>
      </c>
      <c r="M148" s="27" t="s">
        <v>359</v>
      </c>
      <c r="N148" s="27" t="s">
        <v>360</v>
      </c>
      <c r="O148" s="27" t="s">
        <v>361</v>
      </c>
      <c r="P148" s="27" t="s">
        <v>362</v>
      </c>
      <c r="Q148" s="27" t="s">
        <v>363</v>
      </c>
      <c r="R148" s="28" t="s">
        <v>364</v>
      </c>
      <c r="S148" s="17"/>
      <c r="T148" s="29" t="s">
        <v>365</v>
      </c>
      <c r="U148" s="29" t="s">
        <v>358</v>
      </c>
      <c r="V148" s="30" t="s">
        <v>361</v>
      </c>
      <c r="W148" s="30" t="s">
        <v>362</v>
      </c>
      <c r="X148" s="30" t="s">
        <v>363</v>
      </c>
      <c r="Y148" s="29" t="s">
        <v>366</v>
      </c>
      <c r="Z148" s="31" t="s">
        <v>367</v>
      </c>
      <c r="AA148" s="23" t="s">
        <v>368</v>
      </c>
      <c r="AB148" s="23" t="s">
        <v>369</v>
      </c>
      <c r="AC148" s="22" t="s">
        <v>0</v>
      </c>
      <c r="AD148" s="22" t="s">
        <v>1</v>
      </c>
      <c r="AE148" s="22" t="s">
        <v>370</v>
      </c>
      <c r="AF148" s="22" t="s">
        <v>371</v>
      </c>
      <c r="AG148" s="22" t="s">
        <v>372</v>
      </c>
      <c r="AH148" s="32" t="s">
        <v>373</v>
      </c>
      <c r="AJ148" s="143" t="s">
        <v>365</v>
      </c>
      <c r="AK148" s="144" t="s">
        <v>498</v>
      </c>
      <c r="AL148" s="145"/>
      <c r="AM148" s="139"/>
      <c r="AN148" s="146" t="s">
        <v>499</v>
      </c>
      <c r="AO148" s="145"/>
      <c r="AP148" s="139"/>
      <c r="AQ148" s="147" t="s">
        <v>506</v>
      </c>
      <c r="AR148" s="48">
        <v>3500</v>
      </c>
      <c r="AS148" s="147" t="s">
        <v>405</v>
      </c>
      <c r="AT148" s="146" t="s">
        <v>512</v>
      </c>
      <c r="AU148" s="145"/>
      <c r="AV148" s="145"/>
      <c r="AW148" s="145"/>
      <c r="AX148" s="163" t="s">
        <v>532</v>
      </c>
      <c r="AY148" s="157" t="s">
        <v>515</v>
      </c>
      <c r="AZ148" s="169">
        <v>6.9</v>
      </c>
      <c r="BA148" s="171" t="str">
        <f>IF(MAX(AU152:AU153)&lt;=AZ148,"OK","REDIS")</f>
        <v>OK</v>
      </c>
      <c r="BB148" s="163" t="s">
        <v>536</v>
      </c>
      <c r="BC148" s="170" t="s">
        <v>515</v>
      </c>
      <c r="BD148" s="169">
        <v>8.36</v>
      </c>
      <c r="BE148" s="171" t="str">
        <f>IF(MAX(AU152:AU153)&lt;=BD148,"OK","REDIS")</f>
        <v>OK</v>
      </c>
      <c r="BG148" s="9"/>
      <c r="BH148" s="16"/>
      <c r="BI148" s="208"/>
      <c r="BJ148" s="124"/>
      <c r="BK148" s="63"/>
      <c r="BL148" s="63"/>
      <c r="BM148" s="125"/>
      <c r="BN148" s="133"/>
      <c r="BO148" s="44"/>
      <c r="BP148" s="64"/>
      <c r="BQ148" s="125"/>
      <c r="BS148" s="63"/>
      <c r="BT148" s="63"/>
      <c r="BU148" s="63"/>
      <c r="BV148" s="63"/>
    </row>
    <row r="149" spans="1:74" ht="15" hidden="1" x14ac:dyDescent="0.25">
      <c r="A149" s="216" t="s">
        <v>661</v>
      </c>
      <c r="B149" s="216" t="s">
        <v>351</v>
      </c>
      <c r="C149" s="216" t="s">
        <v>352</v>
      </c>
      <c r="D149" s="216">
        <v>-7.6E-3</v>
      </c>
      <c r="E149" s="216">
        <v>1.2999999999999999E-3</v>
      </c>
      <c r="F149" s="216">
        <v>1.0543</v>
      </c>
      <c r="G149" s="216">
        <v>3.8000000000000002E-4</v>
      </c>
      <c r="H149" s="216">
        <v>-1.0789999999999999E-2</v>
      </c>
      <c r="I149" s="216">
        <v>-2.9189999999999999E-6</v>
      </c>
      <c r="K149" s="33" t="str">
        <f>+A149</f>
        <v>81</v>
      </c>
      <c r="L149" s="17" t="s">
        <v>374</v>
      </c>
      <c r="M149" s="34">
        <f t="shared" ref="M149:R149" si="183">D149+D150</f>
        <v>-1.0999999999999999E-2</v>
      </c>
      <c r="N149" s="34">
        <f t="shared" si="183"/>
        <v>1.8368999999999998E-3</v>
      </c>
      <c r="O149" s="34">
        <f t="shared" si="183"/>
        <v>1.6668000000000001</v>
      </c>
      <c r="P149" s="34">
        <f t="shared" si="183"/>
        <v>1.01E-3</v>
      </c>
      <c r="Q149" s="34">
        <f t="shared" si="183"/>
        <v>-1.5349999999999999E-2</v>
      </c>
      <c r="R149" s="35">
        <f t="shared" si="183"/>
        <v>-3.5294999999999998E-6</v>
      </c>
      <c r="S149" s="17"/>
      <c r="T149" s="29" t="str">
        <f>K149</f>
        <v>81</v>
      </c>
      <c r="U149" s="29" t="s">
        <v>374</v>
      </c>
      <c r="V149" s="23">
        <f t="shared" ref="V149:X153" si="184">O149</f>
        <v>1.6668000000000001</v>
      </c>
      <c r="W149" s="23">
        <f t="shared" si="184"/>
        <v>1.01E-3</v>
      </c>
      <c r="X149" s="23">
        <f t="shared" si="184"/>
        <v>-1.5349999999999999E-2</v>
      </c>
      <c r="Y149" s="29">
        <v>26</v>
      </c>
      <c r="Z149" s="31">
        <f>ABS(V149)/AC149/AD149</f>
        <v>0.78622641509433966</v>
      </c>
      <c r="AA149" s="23">
        <f>ABS(+W149/V149)</f>
        <v>6.0595152387808975E-4</v>
      </c>
      <c r="AB149" s="23">
        <f>ABS(X149/V149)</f>
        <v>9.2092632589392837E-3</v>
      </c>
      <c r="AC149" s="36">
        <v>0.8</v>
      </c>
      <c r="AD149" s="37">
        <v>2.65</v>
      </c>
      <c r="AE149" s="22">
        <f t="shared" ref="AE149:AF153" si="185">AC149-2*AA149</f>
        <v>0.79878809695224384</v>
      </c>
      <c r="AF149" s="22">
        <f t="shared" si="185"/>
        <v>2.6315814734821212</v>
      </c>
      <c r="AG149" s="22">
        <f>AF149*AE149</f>
        <v>2.1020759571775653</v>
      </c>
      <c r="AH149" s="38">
        <f>V149/AG149</f>
        <v>0.79293043351201942</v>
      </c>
      <c r="AJ149" s="48" t="str">
        <f>+K149</f>
        <v>81</v>
      </c>
      <c r="AK149" s="147" t="s">
        <v>0</v>
      </c>
      <c r="AL149" s="147" t="s">
        <v>1</v>
      </c>
      <c r="AM149" s="147" t="s">
        <v>438</v>
      </c>
      <c r="AN149" s="147" t="s">
        <v>503</v>
      </c>
      <c r="AO149" s="147" t="s">
        <v>504</v>
      </c>
      <c r="AP149" s="147" t="s">
        <v>323</v>
      </c>
      <c r="AQ149" s="48"/>
      <c r="AR149" s="48"/>
      <c r="AS149" s="48"/>
      <c r="AT149" s="147" t="s">
        <v>0</v>
      </c>
      <c r="AU149" s="147" t="s">
        <v>1</v>
      </c>
      <c r="AV149" s="147" t="s">
        <v>513</v>
      </c>
      <c r="AW149" s="159" t="s">
        <v>520</v>
      </c>
      <c r="AX149" s="141" t="s">
        <v>530</v>
      </c>
      <c r="AY149" s="157" t="s">
        <v>178</v>
      </c>
      <c r="AZ149" s="44">
        <v>12</v>
      </c>
      <c r="BA149" s="172" t="str">
        <f>IF(AW152&lt;=AZ149,"OK","REDIS")</f>
        <v>OK</v>
      </c>
      <c r="BB149" s="141" t="s">
        <v>535</v>
      </c>
      <c r="BC149" s="120" t="s">
        <v>178</v>
      </c>
      <c r="BD149" s="44">
        <v>4.3</v>
      </c>
      <c r="BE149" s="172" t="str">
        <f>IF(AW152&lt;=BD149,"OK","REDIS")</f>
        <v>OK</v>
      </c>
      <c r="BG149" s="113"/>
      <c r="BH149" s="68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126"/>
      <c r="BV149" s="63"/>
    </row>
    <row r="150" spans="1:74" ht="15" hidden="1" x14ac:dyDescent="0.25">
      <c r="A150" s="216" t="s">
        <v>661</v>
      </c>
      <c r="B150" s="216" t="s">
        <v>353</v>
      </c>
      <c r="C150" s="216" t="s">
        <v>352</v>
      </c>
      <c r="D150" s="216">
        <v>-3.3999999999999998E-3</v>
      </c>
      <c r="E150" s="216">
        <v>5.3689999999999999E-4</v>
      </c>
      <c r="F150" s="216">
        <v>0.61250000000000004</v>
      </c>
      <c r="G150" s="216">
        <v>6.3000000000000003E-4</v>
      </c>
      <c r="H150" s="216">
        <v>-4.5599999999999998E-3</v>
      </c>
      <c r="I150" s="216">
        <v>-6.1050000000000002E-7</v>
      </c>
      <c r="K150" s="33"/>
      <c r="L150" s="17" t="s">
        <v>375</v>
      </c>
      <c r="M150" s="34">
        <f t="shared" ref="M150:R150" si="186">D149+0.25*D150+D151</f>
        <v>-0.28545000000000004</v>
      </c>
      <c r="N150" s="34">
        <f t="shared" si="186"/>
        <v>9.3532499999999987E-4</v>
      </c>
      <c r="O150" s="34">
        <f t="shared" si="186"/>
        <v>2.223125</v>
      </c>
      <c r="P150" s="34">
        <f t="shared" si="186"/>
        <v>7.9750000000000003E-4</v>
      </c>
      <c r="Q150" s="34">
        <f t="shared" si="186"/>
        <v>-0.44592999999999999</v>
      </c>
      <c r="R150" s="35">
        <f t="shared" si="186"/>
        <v>-1.4111624999999999E-5</v>
      </c>
      <c r="S150" s="17"/>
      <c r="T150" s="29"/>
      <c r="U150" s="29" t="s">
        <v>375</v>
      </c>
      <c r="V150" s="23">
        <f t="shared" si="184"/>
        <v>2.223125</v>
      </c>
      <c r="W150" s="23">
        <f t="shared" si="184"/>
        <v>7.9750000000000003E-4</v>
      </c>
      <c r="X150" s="23">
        <f t="shared" si="184"/>
        <v>-0.44592999999999999</v>
      </c>
      <c r="Y150" s="29">
        <f>1.33*Y149</f>
        <v>34.58</v>
      </c>
      <c r="Z150" s="31">
        <f>ABS(V150)/AC150/AD150</f>
        <v>1.0486438679245282</v>
      </c>
      <c r="AA150" s="23">
        <f>ABS(+W150/V150)</f>
        <v>3.587292662355918E-4</v>
      </c>
      <c r="AB150" s="23">
        <f>ABS(X150/V150)</f>
        <v>0.20058701152656733</v>
      </c>
      <c r="AC150" s="36">
        <f t="shared" ref="AC150:AD153" si="187">AC149</f>
        <v>0.8</v>
      </c>
      <c r="AD150" s="37">
        <f t="shared" si="187"/>
        <v>2.65</v>
      </c>
      <c r="AE150" s="22">
        <f t="shared" si="185"/>
        <v>0.79928254146752886</v>
      </c>
      <c r="AF150" s="22">
        <f t="shared" si="185"/>
        <v>2.2488259769468653</v>
      </c>
      <c r="AG150" s="22">
        <f>AF150*AE150</f>
        <v>1.797447342172289</v>
      </c>
      <c r="AH150" s="38">
        <f>V150/AG150</f>
        <v>1.2368234372380902</v>
      </c>
      <c r="AJ150" s="147" t="s">
        <v>539</v>
      </c>
      <c r="AK150" s="148">
        <v>160</v>
      </c>
      <c r="AL150" s="148">
        <v>300</v>
      </c>
      <c r="AM150" s="148">
        <v>4</v>
      </c>
      <c r="AN150" s="149">
        <v>250</v>
      </c>
      <c r="AO150" s="149">
        <v>450</v>
      </c>
      <c r="AP150" s="149">
        <v>25</v>
      </c>
      <c r="AQ150" s="48"/>
      <c r="AR150" s="48"/>
      <c r="AS150" s="48"/>
      <c r="AT150" s="48">
        <v>3</v>
      </c>
      <c r="AU150" s="48">
        <v>3</v>
      </c>
      <c r="AV150" s="149">
        <f>+AT150*2+(AU150-2)*2</f>
        <v>8</v>
      </c>
      <c r="AW150" s="159">
        <v>1.2</v>
      </c>
      <c r="AX150" s="155" t="s">
        <v>538</v>
      </c>
      <c r="AY150" s="180">
        <f>+AV150</f>
        <v>8</v>
      </c>
      <c r="BA150" s="154"/>
      <c r="BB150" s="177" t="s">
        <v>537</v>
      </c>
      <c r="BC150" s="179">
        <v>1</v>
      </c>
      <c r="BD150" s="166" t="s">
        <v>526</v>
      </c>
      <c r="BE150" s="154"/>
      <c r="BG150" s="113"/>
      <c r="BH150" s="68"/>
      <c r="BI150" s="114"/>
      <c r="BJ150" s="45"/>
      <c r="BK150" s="63"/>
      <c r="BL150" s="63"/>
      <c r="BM150" s="63"/>
      <c r="BN150" s="70"/>
      <c r="BO150" s="70"/>
      <c r="BP150" s="44"/>
      <c r="BQ150" s="63"/>
      <c r="BR150" s="44"/>
      <c r="BS150" s="70"/>
      <c r="BT150" s="70"/>
      <c r="BU150" s="207"/>
      <c r="BV150" s="63"/>
    </row>
    <row r="151" spans="1:74" ht="15" hidden="1" x14ac:dyDescent="0.25">
      <c r="A151" s="216" t="s">
        <v>661</v>
      </c>
      <c r="B151" s="216" t="s">
        <v>354</v>
      </c>
      <c r="C151" s="216" t="s">
        <v>352</v>
      </c>
      <c r="D151" s="216">
        <v>-0.27700000000000002</v>
      </c>
      <c r="E151" s="216">
        <v>-4.9890000000000004E-4</v>
      </c>
      <c r="F151" s="216">
        <v>1.0157</v>
      </c>
      <c r="G151" s="216">
        <v>2.5999999999999998E-4</v>
      </c>
      <c r="H151" s="216">
        <v>-0.434</v>
      </c>
      <c r="I151" s="216">
        <v>-1.1039999999999999E-5</v>
      </c>
      <c r="K151" s="33"/>
      <c r="L151" s="17" t="s">
        <v>376</v>
      </c>
      <c r="M151" s="34">
        <f t="shared" ref="M151:R151" si="188">D149+0.25*D150-D151</f>
        <v>0.26855000000000001</v>
      </c>
      <c r="N151" s="34">
        <f t="shared" si="188"/>
        <v>1.9331249999999999E-3</v>
      </c>
      <c r="O151" s="34">
        <f t="shared" si="188"/>
        <v>0.19172499999999992</v>
      </c>
      <c r="P151" s="34">
        <f t="shared" si="188"/>
        <v>2.7750000000000002E-4</v>
      </c>
      <c r="Q151" s="34">
        <f t="shared" si="188"/>
        <v>0.42207</v>
      </c>
      <c r="R151" s="35">
        <f t="shared" si="188"/>
        <v>7.9683749999999998E-6</v>
      </c>
      <c r="S151" s="17"/>
      <c r="T151" s="29"/>
      <c r="U151" s="29" t="s">
        <v>376</v>
      </c>
      <c r="V151" s="23">
        <f t="shared" si="184"/>
        <v>0.19172499999999992</v>
      </c>
      <c r="W151" s="23">
        <f t="shared" si="184"/>
        <v>2.7750000000000002E-4</v>
      </c>
      <c r="X151" s="23">
        <f t="shared" si="184"/>
        <v>0.42207</v>
      </c>
      <c r="Y151" s="29"/>
      <c r="Z151" s="31">
        <f>ABS(V151)/AC151/AD151</f>
        <v>9.0436320754716942E-2</v>
      </c>
      <c r="AA151" s="23">
        <f>ABS(+W151/V151)</f>
        <v>1.4473855783022566E-3</v>
      </c>
      <c r="AB151" s="23">
        <f>ABS(X151/V151)</f>
        <v>2.2014343460685888</v>
      </c>
      <c r="AC151" s="36">
        <f t="shared" si="187"/>
        <v>0.8</v>
      </c>
      <c r="AD151" s="37">
        <f t="shared" si="187"/>
        <v>2.65</v>
      </c>
      <c r="AE151" s="22">
        <f t="shared" si="185"/>
        <v>0.79710522884339552</v>
      </c>
      <c r="AF151" s="22">
        <f t="shared" si="185"/>
        <v>-1.7528686921371777</v>
      </c>
      <c r="AG151" s="22">
        <f>AF151*AE151</f>
        <v>-1.3972207999784285</v>
      </c>
      <c r="AH151" s="38">
        <f>V151/AG151</f>
        <v>-0.13721882754891707</v>
      </c>
      <c r="AJ151" s="146" t="s">
        <v>514</v>
      </c>
      <c r="AK151" s="145"/>
      <c r="AL151" s="145"/>
      <c r="AM151" s="145"/>
      <c r="AN151" s="139"/>
      <c r="AO151" s="146" t="s">
        <v>507</v>
      </c>
      <c r="AP151" s="145" t="s">
        <v>626</v>
      </c>
      <c r="AQ151" s="145">
        <f>0.6*AR148</f>
        <v>2100</v>
      </c>
      <c r="AR151" s="212" t="s">
        <v>627</v>
      </c>
      <c r="AS151" s="211">
        <f>+AR152+AR153</f>
        <v>254.71912499999999</v>
      </c>
      <c r="AT151" s="48" t="s">
        <v>515</v>
      </c>
      <c r="AU151" s="48"/>
      <c r="AV151" s="48" t="s">
        <v>518</v>
      </c>
      <c r="AW151" s="160"/>
      <c r="AX151" s="155" t="s">
        <v>524</v>
      </c>
      <c r="AY151" s="182">
        <f>IF(BC150=(1+1/4),+(1+3/8),IF(BC150=1,(1+1/8),IF(BC150=(7/8),1,IF(BC150=(3/4),+(7/8),IF(BC150=(5/8),+(3/4),IF(BC150=(1/2),(9/16),IF(BC150=(3/8),+(7/16),"no valido")))))))</f>
        <v>1.125</v>
      </c>
      <c r="AZ151" s="165" t="s">
        <v>526</v>
      </c>
      <c r="BA151" s="172" t="s">
        <v>531</v>
      </c>
      <c r="BB151" s="178" t="s">
        <v>529</v>
      </c>
      <c r="BC151" s="158">
        <f>+AY152+3</f>
        <v>12</v>
      </c>
      <c r="BD151" s="166" t="s">
        <v>526</v>
      </c>
      <c r="BE151" s="172" t="s">
        <v>531</v>
      </c>
      <c r="BG151" s="113"/>
      <c r="BH151" s="68"/>
      <c r="BI151" s="209"/>
      <c r="BJ151" s="134"/>
      <c r="BK151" s="135"/>
      <c r="BL151" s="63"/>
      <c r="BM151" s="125"/>
      <c r="BN151" s="133"/>
      <c r="BO151" s="44"/>
      <c r="BR151" s="135"/>
      <c r="BS151" s="63"/>
      <c r="BT151" s="125"/>
      <c r="BU151" s="133"/>
      <c r="BV151" s="44"/>
    </row>
    <row r="152" spans="1:74" ht="15" hidden="1" x14ac:dyDescent="0.25">
      <c r="A152" s="216" t="s">
        <v>661</v>
      </c>
      <c r="B152" s="216" t="s">
        <v>355</v>
      </c>
      <c r="C152" s="216" t="s">
        <v>352</v>
      </c>
      <c r="D152" s="216">
        <v>3.61E-2</v>
      </c>
      <c r="E152" s="216">
        <v>-4.6199999999999998E-2</v>
      </c>
      <c r="F152" s="216">
        <v>0.29509999999999997</v>
      </c>
      <c r="G152" s="216">
        <v>7.1529999999999996E-2</v>
      </c>
      <c r="H152" s="216">
        <v>5.6239999999999998E-2</v>
      </c>
      <c r="I152" s="216">
        <v>4.8919999999999999E-5</v>
      </c>
      <c r="K152" s="33"/>
      <c r="L152" s="17" t="s">
        <v>377</v>
      </c>
      <c r="M152" s="34">
        <f t="shared" ref="M152:R152" si="189">D149+0.25*D150+D152</f>
        <v>2.7650000000000001E-2</v>
      </c>
      <c r="N152" s="34">
        <f t="shared" si="189"/>
        <v>-4.4765775000000001E-2</v>
      </c>
      <c r="O152" s="34">
        <f t="shared" si="189"/>
        <v>1.5025249999999999</v>
      </c>
      <c r="P152" s="34">
        <f t="shared" si="189"/>
        <v>7.2067499999999993E-2</v>
      </c>
      <c r="Q152" s="34">
        <f t="shared" si="189"/>
        <v>4.4310000000000002E-2</v>
      </c>
      <c r="R152" s="35">
        <f t="shared" si="189"/>
        <v>4.5848374999999998E-5</v>
      </c>
      <c r="S152" s="17"/>
      <c r="T152" s="29"/>
      <c r="U152" s="29" t="s">
        <v>377</v>
      </c>
      <c r="V152" s="23">
        <f t="shared" si="184"/>
        <v>1.5025249999999999</v>
      </c>
      <c r="W152" s="23">
        <f t="shared" si="184"/>
        <v>7.2067499999999993E-2</v>
      </c>
      <c r="X152" s="23">
        <f t="shared" si="184"/>
        <v>4.4310000000000002E-2</v>
      </c>
      <c r="Y152" s="29"/>
      <c r="Z152" s="31">
        <f>ABS(V152)/AC152/AD152</f>
        <v>0.70873820754716976</v>
      </c>
      <c r="AA152" s="23">
        <f>ABS(+W152/V152)</f>
        <v>4.7964260162060533E-2</v>
      </c>
      <c r="AB152" s="23">
        <f>ABS(X152/V152)</f>
        <v>2.9490357897539145E-2</v>
      </c>
      <c r="AC152" s="36">
        <f t="shared" si="187"/>
        <v>0.8</v>
      </c>
      <c r="AD152" s="37">
        <f t="shared" si="187"/>
        <v>2.65</v>
      </c>
      <c r="AE152" s="22">
        <f t="shared" si="185"/>
        <v>0.70407147967587902</v>
      </c>
      <c r="AF152" s="22">
        <f t="shared" si="185"/>
        <v>2.5910192842049216</v>
      </c>
      <c r="AG152" s="22">
        <f>AF152*AE152</f>
        <v>1.8242627812988961</v>
      </c>
      <c r="AH152" s="38">
        <f>V152/AG152</f>
        <v>0.82363408134116778</v>
      </c>
      <c r="AJ152" s="147" t="s">
        <v>500</v>
      </c>
      <c r="AK152" s="24">
        <f>(MAX(V149:V153)+ABS(MAX(W149:W153))/(AL150/1000))*1000</f>
        <v>2463.3500000000004</v>
      </c>
      <c r="AL152" s="150" t="s">
        <v>502</v>
      </c>
      <c r="AM152" s="24">
        <f>+ABS(MAX(AK152:AK153))/(+AK150*2/10+AL150*2/10)/(AP150/10)</f>
        <v>21.135054347826088</v>
      </c>
      <c r="AN152" s="151" t="str">
        <f>IF(AM152&lt;=AM153,"OK","REDIS")</f>
        <v>OK</v>
      </c>
      <c r="AO152" s="150" t="s">
        <v>508</v>
      </c>
      <c r="AP152" s="24">
        <f>((AO150/10/2-AL150/10/2)/2)*((MAX(ABS(MAX(W149:W153)),ABS(MIN(W149:W153)))*100000))/(AL150/10)</f>
        <v>900.84374999999989</v>
      </c>
      <c r="AQ152" s="150" t="s">
        <v>510</v>
      </c>
      <c r="AR152" s="24">
        <f>+AP152/(AK150*AP150*AP150/6/10/10/10)</f>
        <v>54.050624999999989</v>
      </c>
      <c r="AS152" s="152" t="str">
        <f>IF(AR152&lt;=0.6*AR148*1.1,"OK","REDIS")</f>
        <v>OK</v>
      </c>
      <c r="AT152" s="24" t="s">
        <v>516</v>
      </c>
      <c r="AU152" s="174">
        <f>+AW150*(AP152/100000)/((AO150-AL150)/1000/4)/(AT150-1)</f>
        <v>0.14413499999999999</v>
      </c>
      <c r="AV152" s="24" t="s">
        <v>519</v>
      </c>
      <c r="AW152" s="175">
        <f>+AW150*(ABS(MAX(M149:M153))+ABS(MIN(M149:M153)+ABS(MAX(N149:N153))+ABS(MIN(N149:N153))))/AV150</f>
        <v>6.9239999999999996E-2</v>
      </c>
      <c r="AX152" s="155" t="s">
        <v>525</v>
      </c>
      <c r="AY152" s="182">
        <f>IF(BC150=(1+1/4),+(11-1/4),IF(BC150=1,(9),IF(BC150=(7/8),(7-7/8),IF(BC150=(3/4),+(6-3/4),IF(BC150=(5/8),+(5-5/8),IF(BC150=(1/2),(4-1/2),IF(BC150=(3-3/8),+(7/16),"no valido")))))))</f>
        <v>9</v>
      </c>
      <c r="AZ152" s="166" t="s">
        <v>526</v>
      </c>
      <c r="BA152" s="168" t="s">
        <v>533</v>
      </c>
      <c r="BB152" s="153" t="s">
        <v>521</v>
      </c>
      <c r="BC152" s="44">
        <f>+AV150</f>
        <v>8</v>
      </c>
      <c r="BD152" s="166" t="s">
        <v>527</v>
      </c>
      <c r="BE152" s="162" t="s">
        <v>534</v>
      </c>
      <c r="BG152" s="113"/>
      <c r="BH152" s="68"/>
      <c r="BI152" s="136"/>
      <c r="BJ152" s="128"/>
      <c r="BK152" s="111"/>
      <c r="BL152" s="16"/>
      <c r="BM152" s="63"/>
      <c r="BN152" s="44"/>
      <c r="BO152" s="126"/>
      <c r="BR152" s="111"/>
      <c r="BS152" s="16"/>
      <c r="BT152" s="63"/>
      <c r="BU152" s="44"/>
      <c r="BV152" s="126"/>
    </row>
    <row r="153" spans="1:74" ht="15" hidden="1" x14ac:dyDescent="0.25">
      <c r="A153" s="216" t="s">
        <v>661</v>
      </c>
      <c r="B153" s="216" t="s">
        <v>624</v>
      </c>
      <c r="C153" s="216" t="s">
        <v>389</v>
      </c>
      <c r="D153" s="216">
        <v>-1.06E-2</v>
      </c>
      <c r="E153" s="216">
        <v>1.9E-3</v>
      </c>
      <c r="F153" s="216">
        <v>1.476</v>
      </c>
      <c r="G153" s="216">
        <v>5.2999999999999998E-4</v>
      </c>
      <c r="H153" s="216">
        <v>-1.5100000000000001E-2</v>
      </c>
      <c r="I153" s="216">
        <v>-4.087E-6</v>
      </c>
      <c r="K153" s="39"/>
      <c r="L153" s="40" t="s">
        <v>378</v>
      </c>
      <c r="M153" s="41">
        <f t="shared" ref="M153:R153" si="190">D149+0.25*D150-D152</f>
        <v>-4.4549999999999999E-2</v>
      </c>
      <c r="N153" s="41">
        <f t="shared" si="190"/>
        <v>4.7634224999999995E-2</v>
      </c>
      <c r="O153" s="41">
        <f t="shared" si="190"/>
        <v>0.91232500000000005</v>
      </c>
      <c r="P153" s="41">
        <f t="shared" si="190"/>
        <v>-7.09925E-2</v>
      </c>
      <c r="Q153" s="41">
        <f t="shared" si="190"/>
        <v>-6.8169999999999994E-2</v>
      </c>
      <c r="R153" s="42">
        <f t="shared" si="190"/>
        <v>-5.1991625E-5</v>
      </c>
      <c r="S153" s="17"/>
      <c r="T153" s="29"/>
      <c r="U153" s="29" t="s">
        <v>378</v>
      </c>
      <c r="V153" s="23">
        <f t="shared" si="184"/>
        <v>0.91232500000000005</v>
      </c>
      <c r="W153" s="23">
        <f t="shared" si="184"/>
        <v>-7.09925E-2</v>
      </c>
      <c r="X153" s="23">
        <f t="shared" si="184"/>
        <v>-6.8169999999999994E-2</v>
      </c>
      <c r="Y153" s="29"/>
      <c r="Z153" s="31">
        <f>ABS(V153)/AC153/AD153</f>
        <v>0.4303419811320755</v>
      </c>
      <c r="AA153" s="23">
        <f>ABS(+W153/V153)</f>
        <v>7.7814923409969025E-2</v>
      </c>
      <c r="AB153" s="23">
        <f>ABS(X153/V153)</f>
        <v>7.4721179404269297E-2</v>
      </c>
      <c r="AC153" s="36">
        <f t="shared" si="187"/>
        <v>0.8</v>
      </c>
      <c r="AD153" s="37">
        <f t="shared" si="187"/>
        <v>2.65</v>
      </c>
      <c r="AE153" s="22">
        <f t="shared" si="185"/>
        <v>0.64437015318006197</v>
      </c>
      <c r="AF153" s="22">
        <f t="shared" si="185"/>
        <v>2.5005576411914614</v>
      </c>
      <c r="AG153" s="22">
        <f>AF153*AE153</f>
        <v>1.6112847102901164</v>
      </c>
      <c r="AH153" s="38">
        <f>V153/AG153</f>
        <v>0.56620967987447313</v>
      </c>
      <c r="AJ153" s="147" t="s">
        <v>501</v>
      </c>
      <c r="AK153" s="24">
        <f>(MAX(V149:V153)+ABS(MAX(X149:X153))/(AK150/1000))*1000</f>
        <v>4861.0625</v>
      </c>
      <c r="AL153" s="150" t="s">
        <v>505</v>
      </c>
      <c r="AM153" s="24">
        <f>+AR148*0.4/3</f>
        <v>466.66666666666669</v>
      </c>
      <c r="AN153" s="24"/>
      <c r="AO153" s="150" t="s">
        <v>509</v>
      </c>
      <c r="AP153" s="24">
        <f>((AN150/10/2-AK150/10/2)/2)*(MAX(+ABS(MAX(X149:X153)),ABS(MIN(X149:X153)))*100000/(AK150/10))</f>
        <v>6270.890625</v>
      </c>
      <c r="AQ153" s="150" t="s">
        <v>511</v>
      </c>
      <c r="AR153" s="24">
        <f>+AP153/(AL150*AP150*AP150/6/1000)</f>
        <v>200.66849999999999</v>
      </c>
      <c r="AS153" s="152" t="str">
        <f>IF(AR153&lt;=0.6*AR148*1.1,"OK","REDIS")</f>
        <v>OK</v>
      </c>
      <c r="AT153" s="24" t="s">
        <v>517</v>
      </c>
      <c r="AU153" s="174">
        <f>+AW150*(AP153/100000)/((AN150-AK150)/1000/4)/(AU150-1)</f>
        <v>1.6722375</v>
      </c>
      <c r="AV153" s="24"/>
      <c r="AW153" s="161"/>
      <c r="AX153" s="156" t="s">
        <v>522</v>
      </c>
      <c r="AY153" s="181">
        <f>IF(AY151=(1+3/8),+AV150/3,IF(AY151=(1+1/8),+AV150/6,IF(AY151=1,+AV150/8,IF(AY151=(7/8),+AV150/11,IF(AY151=0.75,+AV150/18,IF(AY151=(9/16),+AV150/45,IF(AY151=(7/16),+AV150/84,"NO HAY DATO")))))))</f>
        <v>1.3333333333333333</v>
      </c>
      <c r="AZ153" s="167" t="s">
        <v>527</v>
      </c>
      <c r="BA153" s="176"/>
      <c r="BB153" s="164" t="s">
        <v>523</v>
      </c>
      <c r="BC153" s="129">
        <f>+BC152*BC151*2.54/100</f>
        <v>2.4384000000000001</v>
      </c>
      <c r="BD153" s="173" t="s">
        <v>528</v>
      </c>
      <c r="BE153" s="130"/>
      <c r="BG153" s="113"/>
      <c r="BH153" s="68"/>
      <c r="BI153" s="136"/>
      <c r="BJ153" s="128"/>
      <c r="BM153" s="137"/>
      <c r="BN153" s="63"/>
      <c r="BO153" s="125"/>
      <c r="BT153" s="137"/>
      <c r="BU153" s="63"/>
      <c r="BV153" s="125"/>
    </row>
    <row r="154" spans="1:74" ht="15" hidden="1" x14ac:dyDescent="0.25">
      <c r="A154" s="216" t="s">
        <v>661</v>
      </c>
      <c r="B154" s="216" t="s">
        <v>625</v>
      </c>
      <c r="C154" s="216" t="s">
        <v>389</v>
      </c>
      <c r="D154" s="216">
        <v>-4.2099999999999999E-2</v>
      </c>
      <c r="E154" s="216">
        <v>4.7300000000000002E-2</v>
      </c>
      <c r="F154" s="216">
        <v>0.54830000000000001</v>
      </c>
      <c r="G154" s="216">
        <v>-7.1230000000000002E-2</v>
      </c>
      <c r="H154" s="216">
        <v>-6.4869999999999997E-2</v>
      </c>
      <c r="I154" s="216">
        <v>-5.126E-5</v>
      </c>
      <c r="K154" s="25" t="s">
        <v>357</v>
      </c>
      <c r="L154" s="26" t="s">
        <v>358</v>
      </c>
      <c r="M154" s="27" t="s">
        <v>359</v>
      </c>
      <c r="N154" s="27" t="s">
        <v>360</v>
      </c>
      <c r="O154" s="27" t="s">
        <v>361</v>
      </c>
      <c r="P154" s="27" t="s">
        <v>362</v>
      </c>
      <c r="Q154" s="27" t="s">
        <v>363</v>
      </c>
      <c r="R154" s="28" t="s">
        <v>364</v>
      </c>
      <c r="S154" s="17"/>
      <c r="T154" s="29" t="s">
        <v>365</v>
      </c>
      <c r="U154" s="29" t="s">
        <v>358</v>
      </c>
      <c r="V154" s="30" t="s">
        <v>361</v>
      </c>
      <c r="W154" s="30" t="s">
        <v>362</v>
      </c>
      <c r="X154" s="30" t="s">
        <v>363</v>
      </c>
      <c r="Y154" s="29" t="s">
        <v>366</v>
      </c>
      <c r="Z154" s="31" t="s">
        <v>367</v>
      </c>
      <c r="AA154" s="23" t="s">
        <v>368</v>
      </c>
      <c r="AB154" s="23" t="s">
        <v>369</v>
      </c>
      <c r="AC154" s="22" t="s">
        <v>0</v>
      </c>
      <c r="AD154" s="22" t="s">
        <v>1</v>
      </c>
      <c r="AE154" s="22" t="s">
        <v>370</v>
      </c>
      <c r="AF154" s="22" t="s">
        <v>371</v>
      </c>
      <c r="AG154" s="22" t="s">
        <v>372</v>
      </c>
      <c r="AH154" s="32" t="s">
        <v>373</v>
      </c>
      <c r="AJ154" s="143" t="s">
        <v>365</v>
      </c>
      <c r="AK154" s="144" t="s">
        <v>498</v>
      </c>
      <c r="AL154" s="145"/>
      <c r="AM154" s="139"/>
      <c r="AN154" s="146" t="s">
        <v>499</v>
      </c>
      <c r="AO154" s="145"/>
      <c r="AP154" s="139"/>
      <c r="AQ154" s="147" t="s">
        <v>506</v>
      </c>
      <c r="AR154" s="48">
        <v>3500</v>
      </c>
      <c r="AS154" s="147" t="s">
        <v>405</v>
      </c>
      <c r="AT154" s="146" t="s">
        <v>512</v>
      </c>
      <c r="AU154" s="145"/>
      <c r="AV154" s="145"/>
      <c r="AW154" s="145"/>
      <c r="AX154" s="163" t="s">
        <v>532</v>
      </c>
      <c r="AY154" s="157" t="s">
        <v>515</v>
      </c>
      <c r="AZ154" s="169">
        <v>6.9</v>
      </c>
      <c r="BA154" s="171" t="str">
        <f>IF(MAX(AU158:AU159)&lt;=AZ154,"OK","REDIS")</f>
        <v>OK</v>
      </c>
      <c r="BB154" s="163" t="s">
        <v>536</v>
      </c>
      <c r="BC154" s="170" t="s">
        <v>515</v>
      </c>
      <c r="BD154" s="169">
        <v>8.36</v>
      </c>
      <c r="BE154" s="171" t="str">
        <f>IF(MAX(AU158:AU159)&lt;=BD154,"OK","REDIS")</f>
        <v>OK</v>
      </c>
      <c r="BG154" s="113"/>
      <c r="BH154" s="68"/>
      <c r="BI154" s="136"/>
      <c r="BJ154" s="138"/>
      <c r="BM154" s="125"/>
      <c r="BN154" s="133"/>
      <c r="BO154" s="44"/>
      <c r="BT154" s="125"/>
      <c r="BU154" s="133"/>
      <c r="BV154" s="44"/>
    </row>
    <row r="155" spans="1:74" ht="15" hidden="1" x14ac:dyDescent="0.25">
      <c r="A155" s="216" t="s">
        <v>662</v>
      </c>
      <c r="B155" s="216" t="s">
        <v>351</v>
      </c>
      <c r="C155" s="216" t="s">
        <v>352</v>
      </c>
      <c r="D155" s="216">
        <v>0.17680000000000001</v>
      </c>
      <c r="E155" s="216">
        <v>8.7800000000000003E-2</v>
      </c>
      <c r="F155" s="216">
        <v>6.0193000000000003</v>
      </c>
      <c r="G155" s="216">
        <v>-9.1469999999999996E-2</v>
      </c>
      <c r="H155" s="216">
        <v>0.21240000000000001</v>
      </c>
      <c r="I155" s="216">
        <v>1.171E-5</v>
      </c>
      <c r="K155" s="33" t="str">
        <f>+A155</f>
        <v>82</v>
      </c>
      <c r="L155" s="17" t="s">
        <v>374</v>
      </c>
      <c r="M155" s="34">
        <f t="shared" ref="M155:R155" si="191">D155+D156</f>
        <v>0.28639999999999999</v>
      </c>
      <c r="N155" s="34">
        <f t="shared" si="191"/>
        <v>0.14119999999999999</v>
      </c>
      <c r="O155" s="34">
        <f t="shared" si="191"/>
        <v>9.2521000000000004</v>
      </c>
      <c r="P155" s="34">
        <f t="shared" si="191"/>
        <v>-0.14696999999999999</v>
      </c>
      <c r="Q155" s="34">
        <f t="shared" si="191"/>
        <v>0.34348000000000001</v>
      </c>
      <c r="R155" s="35">
        <f t="shared" si="191"/>
        <v>2.0477999999999999E-5</v>
      </c>
      <c r="S155" s="17"/>
      <c r="T155" s="29" t="str">
        <f>K155</f>
        <v>82</v>
      </c>
      <c r="U155" s="29" t="s">
        <v>374</v>
      </c>
      <c r="V155" s="23">
        <f t="shared" ref="V155:X159" si="192">O155</f>
        <v>9.2521000000000004</v>
      </c>
      <c r="W155" s="23">
        <f t="shared" si="192"/>
        <v>-0.14696999999999999</v>
      </c>
      <c r="X155" s="23">
        <f t="shared" si="192"/>
        <v>0.34348000000000001</v>
      </c>
      <c r="Y155" s="29">
        <v>15</v>
      </c>
      <c r="Z155" s="31">
        <f>ABS(V155)/AC155/AD155</f>
        <v>3.3043214285714284</v>
      </c>
      <c r="AA155" s="23">
        <f>ABS(+W155/V155)</f>
        <v>1.5885042314717737E-2</v>
      </c>
      <c r="AB155" s="23">
        <f>ABS(X155/V155)</f>
        <v>3.7124544697960463E-2</v>
      </c>
      <c r="AC155" s="36">
        <v>0.8</v>
      </c>
      <c r="AD155" s="37">
        <v>3.5</v>
      </c>
      <c r="AE155" s="22">
        <f t="shared" ref="AE155:AF159" si="193">AC155-2*AA155</f>
        <v>0.76822991537056462</v>
      </c>
      <c r="AF155" s="22">
        <f t="shared" si="193"/>
        <v>3.4257509106040791</v>
      </c>
      <c r="AG155" s="22">
        <f>AF155*AE155</f>
        <v>2.6317643321340065</v>
      </c>
      <c r="AH155" s="38">
        <f>V155/AG155</f>
        <v>3.5155503427990427</v>
      </c>
      <c r="AJ155" s="48" t="str">
        <f>+K155</f>
        <v>82</v>
      </c>
      <c r="AK155" s="147" t="s">
        <v>0</v>
      </c>
      <c r="AL155" s="147" t="s">
        <v>1</v>
      </c>
      <c r="AM155" s="147" t="s">
        <v>438</v>
      </c>
      <c r="AN155" s="147" t="s">
        <v>503</v>
      </c>
      <c r="AO155" s="147" t="s">
        <v>504</v>
      </c>
      <c r="AP155" s="147" t="s">
        <v>323</v>
      </c>
      <c r="AQ155" s="48"/>
      <c r="AR155" s="48"/>
      <c r="AS155" s="48"/>
      <c r="AT155" s="147" t="s">
        <v>0</v>
      </c>
      <c r="AU155" s="147" t="s">
        <v>1</v>
      </c>
      <c r="AV155" s="147" t="s">
        <v>513</v>
      </c>
      <c r="AW155" s="159" t="s">
        <v>520</v>
      </c>
      <c r="AX155" s="141" t="s">
        <v>530</v>
      </c>
      <c r="AY155" s="157" t="s">
        <v>178</v>
      </c>
      <c r="AZ155" s="44">
        <v>12</v>
      </c>
      <c r="BA155" s="172" t="str">
        <f>IF(AW158&lt;=AZ155,"OK","REDIS")</f>
        <v>OK</v>
      </c>
      <c r="BB155" s="141" t="s">
        <v>535</v>
      </c>
      <c r="BC155" s="120" t="s">
        <v>178</v>
      </c>
      <c r="BD155" s="44">
        <v>4.3</v>
      </c>
      <c r="BE155" s="172" t="str">
        <f>IF(AW158&lt;=BD155,"OK","REDIS")</f>
        <v>OK</v>
      </c>
    </row>
    <row r="156" spans="1:74" ht="15" hidden="1" x14ac:dyDescent="0.25">
      <c r="A156" s="216" t="s">
        <v>662</v>
      </c>
      <c r="B156" s="216" t="s">
        <v>353</v>
      </c>
      <c r="C156" s="216" t="s">
        <v>352</v>
      </c>
      <c r="D156" s="216">
        <v>0.1096</v>
      </c>
      <c r="E156" s="216">
        <v>5.3400000000000003E-2</v>
      </c>
      <c r="F156" s="216">
        <v>3.2328000000000001</v>
      </c>
      <c r="G156" s="216">
        <v>-5.5500000000000001E-2</v>
      </c>
      <c r="H156" s="216">
        <v>0.13108</v>
      </c>
      <c r="I156" s="216">
        <v>8.7679999999999997E-6</v>
      </c>
      <c r="K156" s="33"/>
      <c r="L156" s="17" t="s">
        <v>375</v>
      </c>
      <c r="M156" s="34">
        <f t="shared" ref="M156:R156" si="194">D155+0.25*D156+D157</f>
        <v>-0.50629999999999997</v>
      </c>
      <c r="N156" s="34">
        <f t="shared" si="194"/>
        <v>8.795E-2</v>
      </c>
      <c r="O156" s="34">
        <f t="shared" si="194"/>
        <v>6.8698000000000006</v>
      </c>
      <c r="P156" s="34">
        <f t="shared" si="194"/>
        <v>-8.985499999999999E-2</v>
      </c>
      <c r="Q156" s="34">
        <f t="shared" si="194"/>
        <v>-1.0672600000000001</v>
      </c>
      <c r="R156" s="35">
        <f t="shared" si="194"/>
        <v>-2.7268E-5</v>
      </c>
      <c r="S156" s="17"/>
      <c r="T156" s="29"/>
      <c r="U156" s="29" t="s">
        <v>375</v>
      </c>
      <c r="V156" s="23">
        <f t="shared" si="192"/>
        <v>6.8698000000000006</v>
      </c>
      <c r="W156" s="23">
        <f t="shared" si="192"/>
        <v>-8.985499999999999E-2</v>
      </c>
      <c r="X156" s="23">
        <f t="shared" si="192"/>
        <v>-1.0672600000000001</v>
      </c>
      <c r="Y156" s="29">
        <f>1.33*Y155</f>
        <v>19.950000000000003</v>
      </c>
      <c r="Z156" s="31">
        <f>ABS(V156)/AC156/AD156</f>
        <v>2.4535000000000005</v>
      </c>
      <c r="AA156" s="23">
        <f>ABS(+W156/V156)</f>
        <v>1.3079711199743804E-2</v>
      </c>
      <c r="AB156" s="23">
        <f>ABS(X156/V156)</f>
        <v>0.15535532329907711</v>
      </c>
      <c r="AC156" s="36">
        <f t="shared" ref="AC156:AD159" si="195">AC155</f>
        <v>0.8</v>
      </c>
      <c r="AD156" s="37">
        <f t="shared" si="195"/>
        <v>3.5</v>
      </c>
      <c r="AE156" s="22">
        <f t="shared" si="193"/>
        <v>0.77384057760051239</v>
      </c>
      <c r="AF156" s="22">
        <f t="shared" si="193"/>
        <v>3.1892893534018456</v>
      </c>
      <c r="AG156" s="22">
        <f>AF156*AE156</f>
        <v>2.468001515371649</v>
      </c>
      <c r="AH156" s="38">
        <f>V156/AG156</f>
        <v>2.7835477236185966</v>
      </c>
      <c r="AJ156" s="147" t="s">
        <v>539</v>
      </c>
      <c r="AK156" s="148">
        <v>300</v>
      </c>
      <c r="AL156" s="148">
        <v>160</v>
      </c>
      <c r="AM156" s="148">
        <v>4</v>
      </c>
      <c r="AN156" s="149">
        <v>450</v>
      </c>
      <c r="AO156" s="149">
        <v>250</v>
      </c>
      <c r="AP156" s="149">
        <v>25</v>
      </c>
      <c r="AQ156" s="48"/>
      <c r="AR156" s="215" t="s">
        <v>496</v>
      </c>
      <c r="AS156" s="48"/>
      <c r="AT156" s="48">
        <v>3</v>
      </c>
      <c r="AU156" s="48">
        <v>3</v>
      </c>
      <c r="AV156" s="149">
        <f>+AT156*2+(AU156-2)*2</f>
        <v>8</v>
      </c>
      <c r="AW156" s="159">
        <v>1.2</v>
      </c>
      <c r="AX156" s="155" t="s">
        <v>538</v>
      </c>
      <c r="AY156" s="180">
        <f>+AV156</f>
        <v>8</v>
      </c>
      <c r="BA156" s="154"/>
      <c r="BB156" s="177" t="s">
        <v>537</v>
      </c>
      <c r="BC156" s="179">
        <v>1</v>
      </c>
      <c r="BD156" s="166" t="s">
        <v>526</v>
      </c>
      <c r="BE156" s="154"/>
      <c r="BG156" s="109"/>
      <c r="BH156" s="142"/>
      <c r="BJ156" s="109"/>
      <c r="BK156" s="142"/>
      <c r="BM156" s="110"/>
      <c r="BN156" s="110"/>
      <c r="BO156" s="110"/>
      <c r="BP156" s="110"/>
    </row>
    <row r="157" spans="1:74" ht="15" hidden="1" x14ac:dyDescent="0.25">
      <c r="A157" s="216" t="s">
        <v>662</v>
      </c>
      <c r="B157" s="216" t="s">
        <v>354</v>
      </c>
      <c r="C157" s="216" t="s">
        <v>352</v>
      </c>
      <c r="D157" s="216">
        <v>-0.71050000000000002</v>
      </c>
      <c r="E157" s="216">
        <v>-1.32E-2</v>
      </c>
      <c r="F157" s="216">
        <v>4.2299999999999997E-2</v>
      </c>
      <c r="G157" s="216">
        <v>1.549E-2</v>
      </c>
      <c r="H157" s="216">
        <v>-1.31243</v>
      </c>
      <c r="I157" s="216">
        <v>-4.1170000000000001E-5</v>
      </c>
      <c r="K157" s="33"/>
      <c r="L157" s="17" t="s">
        <v>376</v>
      </c>
      <c r="M157" s="34">
        <f t="shared" ref="M157:R157" si="196">D155+0.25*D156-D157</f>
        <v>0.91470000000000007</v>
      </c>
      <c r="N157" s="34">
        <f t="shared" si="196"/>
        <v>0.11435000000000001</v>
      </c>
      <c r="O157" s="34">
        <f t="shared" si="196"/>
        <v>6.7852000000000006</v>
      </c>
      <c r="P157" s="34">
        <f t="shared" si="196"/>
        <v>-0.120835</v>
      </c>
      <c r="Q157" s="34">
        <f t="shared" si="196"/>
        <v>1.5575999999999999</v>
      </c>
      <c r="R157" s="35">
        <f t="shared" si="196"/>
        <v>5.5072000000000004E-5</v>
      </c>
      <c r="S157" s="17"/>
      <c r="T157" s="29"/>
      <c r="U157" s="29" t="s">
        <v>376</v>
      </c>
      <c r="V157" s="23">
        <f t="shared" si="192"/>
        <v>6.7852000000000006</v>
      </c>
      <c r="W157" s="23">
        <f t="shared" si="192"/>
        <v>-0.120835</v>
      </c>
      <c r="X157" s="23">
        <f t="shared" si="192"/>
        <v>1.5575999999999999</v>
      </c>
      <c r="Y157" s="29"/>
      <c r="Z157" s="31">
        <f>ABS(V157)/AC157/AD157</f>
        <v>2.4232857142857145</v>
      </c>
      <c r="AA157" s="23">
        <f>ABS(+W157/V157)</f>
        <v>1.780861286329069E-2</v>
      </c>
      <c r="AB157" s="23">
        <f>ABS(X157/V157)</f>
        <v>0.22955845074574069</v>
      </c>
      <c r="AC157" s="36">
        <f t="shared" si="195"/>
        <v>0.8</v>
      </c>
      <c r="AD157" s="37">
        <f t="shared" si="195"/>
        <v>3.5</v>
      </c>
      <c r="AE157" s="22">
        <f t="shared" si="193"/>
        <v>0.76438277427341861</v>
      </c>
      <c r="AF157" s="22">
        <f t="shared" si="193"/>
        <v>3.0408830985085187</v>
      </c>
      <c r="AG157" s="22">
        <f>AF157*AE157</f>
        <v>2.3243986590790908</v>
      </c>
      <c r="AH157" s="38">
        <f>V157/AG157</f>
        <v>2.9191205964162128</v>
      </c>
      <c r="AJ157" s="146" t="s">
        <v>514</v>
      </c>
      <c r="AK157" s="145"/>
      <c r="AL157" s="145"/>
      <c r="AM157" s="145"/>
      <c r="AN157" s="139"/>
      <c r="AO157" s="146" t="s">
        <v>507</v>
      </c>
      <c r="AP157" s="145" t="s">
        <v>626</v>
      </c>
      <c r="AQ157" s="145">
        <f>0.6*AR154</f>
        <v>2100</v>
      </c>
      <c r="AR157" s="212" t="s">
        <v>627</v>
      </c>
      <c r="AS157" s="211">
        <f>+AR158+AR159</f>
        <v>1320.6037499999998</v>
      </c>
      <c r="AT157" s="48" t="s">
        <v>515</v>
      </c>
      <c r="AU157" s="48"/>
      <c r="AV157" s="48" t="s">
        <v>518</v>
      </c>
      <c r="AW157" s="160"/>
      <c r="AX157" s="155" t="s">
        <v>524</v>
      </c>
      <c r="AY157" s="182">
        <f>IF(BC156=(1+1/4),+(1+3/8),IF(BC156=1,(1+1/8),IF(BC156=(7/8),1,IF(BC156=(3/4),+(7/8),IF(BC156=(5/8),+(3/4),IF(BC156=(1/2),(9/16),IF(BC156=(3/8),+(7/16),"no valido")))))))</f>
        <v>1.125</v>
      </c>
      <c r="AZ157" s="165" t="s">
        <v>526</v>
      </c>
      <c r="BA157" s="172" t="s">
        <v>531</v>
      </c>
      <c r="BB157" s="178" t="s">
        <v>529</v>
      </c>
      <c r="BC157" s="158">
        <f>+AY158+3</f>
        <v>12</v>
      </c>
      <c r="BD157" s="166" t="s">
        <v>526</v>
      </c>
      <c r="BE157" s="172" t="s">
        <v>531</v>
      </c>
      <c r="BG157" s="111"/>
      <c r="BH157" s="9"/>
      <c r="BI157" s="125"/>
      <c r="BJ157" s="125"/>
      <c r="BK157" s="44"/>
      <c r="BL157" s="44"/>
      <c r="BM157" s="126"/>
      <c r="BN157" s="44"/>
      <c r="BO157" s="44"/>
      <c r="BP157" s="44"/>
      <c r="BQ157" s="126"/>
      <c r="BR157" s="44"/>
      <c r="BS157" s="44"/>
      <c r="BT157" s="44"/>
      <c r="BU157" s="44"/>
      <c r="BV157" s="44"/>
    </row>
    <row r="158" spans="1:74" ht="15" hidden="1" x14ac:dyDescent="0.25">
      <c r="A158" s="216" t="s">
        <v>662</v>
      </c>
      <c r="B158" s="216" t="s">
        <v>355</v>
      </c>
      <c r="C158" s="216" t="s">
        <v>352</v>
      </c>
      <c r="D158" s="216">
        <v>2.81E-2</v>
      </c>
      <c r="E158" s="216">
        <v>-0.15079999999999999</v>
      </c>
      <c r="F158" s="216">
        <v>0.37380000000000002</v>
      </c>
      <c r="G158" s="216">
        <v>0.23333000000000001</v>
      </c>
      <c r="H158" s="216">
        <v>5.2229999999999999E-2</v>
      </c>
      <c r="I158" s="216">
        <v>-1.5659999999999999E-5</v>
      </c>
      <c r="K158" s="33"/>
      <c r="L158" s="17" t="s">
        <v>377</v>
      </c>
      <c r="M158" s="34">
        <f t="shared" ref="M158:R158" si="197">D155+0.25*D156+D158</f>
        <v>0.23230000000000001</v>
      </c>
      <c r="N158" s="34">
        <f t="shared" si="197"/>
        <v>-4.9649999999999986E-2</v>
      </c>
      <c r="O158" s="34">
        <f t="shared" si="197"/>
        <v>7.2013000000000007</v>
      </c>
      <c r="P158" s="34">
        <f t="shared" si="197"/>
        <v>0.12798500000000002</v>
      </c>
      <c r="Q158" s="34">
        <f t="shared" si="197"/>
        <v>0.2974</v>
      </c>
      <c r="R158" s="35">
        <f t="shared" si="197"/>
        <v>-1.7579999999999991E-6</v>
      </c>
      <c r="S158" s="17"/>
      <c r="T158" s="29"/>
      <c r="U158" s="29" t="s">
        <v>377</v>
      </c>
      <c r="V158" s="23">
        <f t="shared" si="192"/>
        <v>7.2013000000000007</v>
      </c>
      <c r="W158" s="23">
        <f t="shared" si="192"/>
        <v>0.12798500000000002</v>
      </c>
      <c r="X158" s="23">
        <f t="shared" si="192"/>
        <v>0.2974</v>
      </c>
      <c r="Y158" s="29"/>
      <c r="Z158" s="31">
        <f>ABS(V158)/AC158/AD158</f>
        <v>2.5718928571428572</v>
      </c>
      <c r="AA158" s="23">
        <f>ABS(+W158/V158)</f>
        <v>1.7772485523447155E-2</v>
      </c>
      <c r="AB158" s="23">
        <f>ABS(X158/V158)</f>
        <v>4.1298098954355461E-2</v>
      </c>
      <c r="AC158" s="36">
        <f t="shared" si="195"/>
        <v>0.8</v>
      </c>
      <c r="AD158" s="37">
        <f t="shared" si="195"/>
        <v>3.5</v>
      </c>
      <c r="AE158" s="22">
        <f t="shared" si="193"/>
        <v>0.76445502895310569</v>
      </c>
      <c r="AF158" s="22">
        <f t="shared" si="193"/>
        <v>3.4174038020912891</v>
      </c>
      <c r="AG158" s="22">
        <f>AF158*AE158</f>
        <v>2.6124515224721501</v>
      </c>
      <c r="AH158" s="38">
        <f>V158/AG158</f>
        <v>2.7565296190397617</v>
      </c>
      <c r="AJ158" s="147" t="s">
        <v>500</v>
      </c>
      <c r="AK158" s="24">
        <f>(MAX(V155:V159)+ABS(MAX(W155:W159))/(AL156/1000))*1000</f>
        <v>10052.00625</v>
      </c>
      <c r="AL158" s="150" t="s">
        <v>502</v>
      </c>
      <c r="AM158" s="24">
        <f>+ABS(MAX(AK158:AK159))/(+AK156*2/10+AL156*2/10)/(AP156/10)</f>
        <v>62.80043478260869</v>
      </c>
      <c r="AN158" s="151" t="str">
        <f>IF(AM158&lt;=AM159,"OK","REDIS")</f>
        <v>OK</v>
      </c>
      <c r="AO158" s="150" t="s">
        <v>508</v>
      </c>
      <c r="AP158" s="24">
        <f>((AO156/10/2-AL156/10/2)/2)*((MAX(ABS(MAX(W155:W159)),ABS(MIN(W155:W159)))*100000))/(AL156/10)</f>
        <v>4762.6171875</v>
      </c>
      <c r="AQ158" s="150" t="s">
        <v>510</v>
      </c>
      <c r="AR158" s="24">
        <f>+AP158/(AK156*AP156*AP156/6/10/10/10)</f>
        <v>152.40375</v>
      </c>
      <c r="AS158" s="152" t="str">
        <f>IF(AR158&lt;=0.6*AR154*1.1,"OK","REDIS")</f>
        <v>OK</v>
      </c>
      <c r="AT158" s="24" t="s">
        <v>516</v>
      </c>
      <c r="AU158" s="174">
        <f>+AW156*(AP158/100000)/((AO156-AL156)/1000/4)/(AT156-1)</f>
        <v>1.2700312499999999</v>
      </c>
      <c r="AV158" s="24" t="s">
        <v>519</v>
      </c>
      <c r="AW158" s="175">
        <f>+AW156*(ABS(MAX(M155:M159))+ABS(MIN(M155:M159)+ABS(MAX(N155:N159))+ABS(MIN(N155:N159))))/AV156</f>
        <v>0.16791000000000003</v>
      </c>
      <c r="AX158" s="155" t="s">
        <v>525</v>
      </c>
      <c r="AY158" s="182">
        <f>IF(BC156=(1+1/4),+(11-1/4),IF(BC156=1,(9),IF(BC156=(7/8),(7-7/8),IF(BC156=(3/4),+(6-3/4),IF(BC156=(5/8),+(5-5/8),IF(BC156=(1/2),(4-1/2),IF(BC156=(3-3/8),+(7/16),"no valido")))))))</f>
        <v>9</v>
      </c>
      <c r="AZ158" s="166" t="s">
        <v>526</v>
      </c>
      <c r="BA158" s="168" t="s">
        <v>533</v>
      </c>
      <c r="BB158" s="153" t="s">
        <v>521</v>
      </c>
      <c r="BC158" s="44">
        <f>+AV156</f>
        <v>8</v>
      </c>
      <c r="BD158" s="166" t="s">
        <v>527</v>
      </c>
      <c r="BE158" s="162" t="s">
        <v>534</v>
      </c>
      <c r="BG158" s="9"/>
      <c r="BH158" s="16"/>
      <c r="BI158" s="208"/>
      <c r="BJ158" s="124"/>
      <c r="BK158" s="63"/>
      <c r="BL158" s="63"/>
      <c r="BM158" s="125"/>
      <c r="BN158" s="133"/>
      <c r="BO158" s="44"/>
      <c r="BP158" s="64"/>
      <c r="BQ158" s="125"/>
      <c r="BS158" s="63"/>
      <c r="BT158" s="63"/>
      <c r="BU158" s="63"/>
      <c r="BV158" s="63"/>
    </row>
    <row r="159" spans="1:74" ht="15" hidden="1" x14ac:dyDescent="0.25">
      <c r="A159" s="216" t="s">
        <v>662</v>
      </c>
      <c r="B159" s="216" t="s">
        <v>624</v>
      </c>
      <c r="C159" s="216" t="s">
        <v>389</v>
      </c>
      <c r="D159" s="216">
        <v>0.2475</v>
      </c>
      <c r="E159" s="216">
        <v>0.1229</v>
      </c>
      <c r="F159" s="216">
        <v>8.4270999999999994</v>
      </c>
      <c r="G159" s="216">
        <v>-0.12805</v>
      </c>
      <c r="H159" s="216">
        <v>0.29736000000000001</v>
      </c>
      <c r="I159" s="216">
        <v>1.6399999999999999E-5</v>
      </c>
      <c r="K159" s="39"/>
      <c r="L159" s="40" t="s">
        <v>378</v>
      </c>
      <c r="M159" s="41">
        <f t="shared" ref="M159:R159" si="198">D155+0.25*D156-D158</f>
        <v>0.17610000000000003</v>
      </c>
      <c r="N159" s="41">
        <f t="shared" si="198"/>
        <v>0.25195000000000001</v>
      </c>
      <c r="O159" s="41">
        <f t="shared" si="198"/>
        <v>6.4537000000000004</v>
      </c>
      <c r="P159" s="41">
        <f t="shared" si="198"/>
        <v>-0.338675</v>
      </c>
      <c r="Q159" s="41">
        <f t="shared" si="198"/>
        <v>0.19294</v>
      </c>
      <c r="R159" s="42">
        <f t="shared" si="198"/>
        <v>2.9561999999999999E-5</v>
      </c>
      <c r="S159" s="17"/>
      <c r="T159" s="29"/>
      <c r="U159" s="29" t="s">
        <v>378</v>
      </c>
      <c r="V159" s="23">
        <f t="shared" si="192"/>
        <v>6.4537000000000004</v>
      </c>
      <c r="W159" s="23">
        <f t="shared" si="192"/>
        <v>-0.338675</v>
      </c>
      <c r="X159" s="23">
        <f t="shared" si="192"/>
        <v>0.19294</v>
      </c>
      <c r="Y159" s="29"/>
      <c r="Z159" s="31">
        <f>ABS(V159)/AC159/AD159</f>
        <v>2.3048928571428573</v>
      </c>
      <c r="AA159" s="23">
        <f>ABS(+W159/V159)</f>
        <v>5.2477648480716482E-2</v>
      </c>
      <c r="AB159" s="23">
        <f>ABS(X159/V159)</f>
        <v>2.9896028634736661E-2</v>
      </c>
      <c r="AC159" s="36">
        <f t="shared" si="195"/>
        <v>0.8</v>
      </c>
      <c r="AD159" s="37">
        <f t="shared" si="195"/>
        <v>3.5</v>
      </c>
      <c r="AE159" s="22">
        <f t="shared" si="193"/>
        <v>0.69504470303856714</v>
      </c>
      <c r="AF159" s="22">
        <f t="shared" si="193"/>
        <v>3.4402079427305265</v>
      </c>
      <c r="AG159" s="22">
        <f>AF159*AE159</f>
        <v>2.3910983079460588</v>
      </c>
      <c r="AH159" s="38">
        <f>V159/AG159</f>
        <v>2.6990525561216661</v>
      </c>
      <c r="AJ159" s="147" t="s">
        <v>501</v>
      </c>
      <c r="AK159" s="24">
        <f>(MAX(V155:V159)+ABS(MAX(X155:X159))/(AK156/1000))*1000</f>
        <v>14444.1</v>
      </c>
      <c r="AL159" s="150" t="s">
        <v>505</v>
      </c>
      <c r="AM159" s="24">
        <f>+AR154*0.4/3</f>
        <v>466.66666666666669</v>
      </c>
      <c r="AN159" s="24"/>
      <c r="AO159" s="150" t="s">
        <v>509</v>
      </c>
      <c r="AP159" s="24">
        <f>((AN156/10/2-AK156/10/2)/2)*(MAX(+ABS(MAX(X155:X159)),ABS(MIN(X155:X159)))*100000/(AK156/10))</f>
        <v>19470</v>
      </c>
      <c r="AQ159" s="150" t="s">
        <v>511</v>
      </c>
      <c r="AR159" s="24">
        <f>+AP159/(AL156*AP156*AP156/6/1000)</f>
        <v>1168.1999999999998</v>
      </c>
      <c r="AS159" s="152" t="str">
        <f>IF(AR159&lt;=0.6*AR154*1.1,"OK","REDIS")</f>
        <v>OK</v>
      </c>
      <c r="AT159" s="24" t="s">
        <v>517</v>
      </c>
      <c r="AU159" s="174">
        <f>+AW156*(AP159/100000)/((AN156-AK156)/1000/4)/(AU156-1)</f>
        <v>3.1152000000000002</v>
      </c>
      <c r="AV159" s="24"/>
      <c r="AW159" s="161"/>
      <c r="AX159" s="156" t="s">
        <v>522</v>
      </c>
      <c r="AY159" s="181">
        <f>IF(AY157=(1+3/8),+AV156/3,IF(AY157=(1+1/8),+AV156/6,IF(AY157=1,+AV156/8,IF(AY157=(7/8),+AV156/11,IF(AY157=0.75,+AV156/18,IF(AY157=(9/16),+AV156/45,IF(AY157=(7/16),+AV156/84,"NO HAY DATO")))))))</f>
        <v>1.3333333333333333</v>
      </c>
      <c r="AZ159" s="167" t="s">
        <v>527</v>
      </c>
      <c r="BA159" s="176"/>
      <c r="BB159" s="164" t="s">
        <v>523</v>
      </c>
      <c r="BC159" s="129">
        <f>+BC158*BC157*2.54/100</f>
        <v>2.4384000000000001</v>
      </c>
      <c r="BD159" s="173" t="s">
        <v>528</v>
      </c>
      <c r="BE159" s="130"/>
      <c r="BG159" s="113"/>
      <c r="BH159" s="68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126"/>
      <c r="BV159" s="63"/>
    </row>
    <row r="160" spans="1:74" ht="15" hidden="1" x14ac:dyDescent="0.25">
      <c r="A160" s="216" t="s">
        <v>662</v>
      </c>
      <c r="B160" s="216" t="s">
        <v>625</v>
      </c>
      <c r="C160" s="216" t="s">
        <v>389</v>
      </c>
      <c r="D160" s="216">
        <v>0.1133</v>
      </c>
      <c r="E160" s="216">
        <v>0.221</v>
      </c>
      <c r="F160" s="216">
        <v>4.4417</v>
      </c>
      <c r="G160" s="216">
        <v>-0.30649999999999999</v>
      </c>
      <c r="H160" s="216">
        <v>0.11769</v>
      </c>
      <c r="I160" s="216">
        <v>2.5029999999999999E-5</v>
      </c>
      <c r="K160" s="25" t="s">
        <v>357</v>
      </c>
      <c r="L160" s="26" t="s">
        <v>358</v>
      </c>
      <c r="M160" s="27" t="s">
        <v>359</v>
      </c>
      <c r="N160" s="27" t="s">
        <v>360</v>
      </c>
      <c r="O160" s="27" t="s">
        <v>361</v>
      </c>
      <c r="P160" s="27" t="s">
        <v>362</v>
      </c>
      <c r="Q160" s="27" t="s">
        <v>363</v>
      </c>
      <c r="R160" s="28" t="s">
        <v>364</v>
      </c>
      <c r="S160" s="17"/>
      <c r="T160" s="29" t="s">
        <v>365</v>
      </c>
      <c r="U160" s="29" t="s">
        <v>358</v>
      </c>
      <c r="V160" s="30" t="s">
        <v>361</v>
      </c>
      <c r="W160" s="30" t="s">
        <v>362</v>
      </c>
      <c r="X160" s="30" t="s">
        <v>363</v>
      </c>
      <c r="Y160" s="29" t="s">
        <v>366</v>
      </c>
      <c r="Z160" s="31" t="s">
        <v>367</v>
      </c>
      <c r="AA160" s="23" t="s">
        <v>368</v>
      </c>
      <c r="AB160" s="23" t="s">
        <v>369</v>
      </c>
      <c r="AC160" s="22" t="s">
        <v>0</v>
      </c>
      <c r="AD160" s="22" t="s">
        <v>1</v>
      </c>
      <c r="AE160" s="22" t="s">
        <v>370</v>
      </c>
      <c r="AF160" s="22" t="s">
        <v>371</v>
      </c>
      <c r="AG160" s="22" t="s">
        <v>372</v>
      </c>
      <c r="AH160" s="32" t="s">
        <v>373</v>
      </c>
      <c r="AJ160" s="143" t="s">
        <v>365</v>
      </c>
      <c r="AK160" s="144" t="s">
        <v>498</v>
      </c>
      <c r="AL160" s="145"/>
      <c r="AM160" s="139"/>
      <c r="AN160" s="146" t="s">
        <v>499</v>
      </c>
      <c r="AO160" s="145"/>
      <c r="AP160" s="139"/>
      <c r="AQ160" s="147" t="s">
        <v>506</v>
      </c>
      <c r="AR160" s="48">
        <v>3500</v>
      </c>
      <c r="AS160" s="147" t="s">
        <v>405</v>
      </c>
      <c r="AT160" s="146" t="s">
        <v>512</v>
      </c>
      <c r="AU160" s="145"/>
      <c r="AV160" s="145"/>
      <c r="AW160" s="145"/>
      <c r="AX160" s="163" t="s">
        <v>532</v>
      </c>
      <c r="AY160" s="157" t="s">
        <v>515</v>
      </c>
      <c r="AZ160" s="169">
        <v>6.9</v>
      </c>
      <c r="BA160" s="171" t="str">
        <f>IF(MAX(AU164:AU165)&lt;=AZ160,"OK","REDIS")</f>
        <v>OK</v>
      </c>
      <c r="BB160" s="163" t="s">
        <v>536</v>
      </c>
      <c r="BC160" s="170" t="s">
        <v>515</v>
      </c>
      <c r="BD160" s="169">
        <v>8.36</v>
      </c>
      <c r="BE160" s="171" t="str">
        <f>IF(MAX(AU164:AU165)&lt;=BD160,"OK","REDIS")</f>
        <v>OK</v>
      </c>
      <c r="BG160" s="113"/>
      <c r="BH160" s="68"/>
      <c r="BI160" s="114"/>
      <c r="BJ160" s="45"/>
      <c r="BK160" s="63"/>
      <c r="BL160" s="63"/>
      <c r="BM160" s="63"/>
      <c r="BN160" s="70"/>
      <c r="BO160" s="70"/>
      <c r="BP160" s="44"/>
      <c r="BQ160" s="63"/>
      <c r="BR160" s="44"/>
      <c r="BS160" s="70"/>
      <c r="BT160" s="70"/>
      <c r="BU160" s="207"/>
      <c r="BV160" s="63"/>
    </row>
    <row r="161" spans="1:74" ht="15" hidden="1" x14ac:dyDescent="0.25">
      <c r="A161" s="216" t="s">
        <v>663</v>
      </c>
      <c r="B161" s="216" t="s">
        <v>351</v>
      </c>
      <c r="C161" s="216" t="s">
        <v>352</v>
      </c>
      <c r="D161" s="216">
        <v>-3.4500000000000003E-2</v>
      </c>
      <c r="E161" s="216">
        <v>-1.8E-3</v>
      </c>
      <c r="F161" s="216">
        <v>-0.70930000000000004</v>
      </c>
      <c r="G161" s="216">
        <v>3.5300000000000002E-3</v>
      </c>
      <c r="H161" s="216">
        <v>-4.6089999999999999E-2</v>
      </c>
      <c r="I161" s="216">
        <v>-2.3669999999999999E-5</v>
      </c>
      <c r="K161" s="33" t="str">
        <f>+A161</f>
        <v>83</v>
      </c>
      <c r="L161" s="17" t="s">
        <v>374</v>
      </c>
      <c r="M161" s="34">
        <f t="shared" ref="M161:R161" si="199">D161+D162</f>
        <v>-5.3100000000000001E-2</v>
      </c>
      <c r="N161" s="34">
        <f t="shared" si="199"/>
        <v>-3.0999999999999999E-3</v>
      </c>
      <c r="O161" s="34">
        <f t="shared" si="199"/>
        <v>-1.1469</v>
      </c>
      <c r="P161" s="34">
        <f t="shared" si="199"/>
        <v>6.0000000000000001E-3</v>
      </c>
      <c r="Q161" s="34">
        <f t="shared" si="199"/>
        <v>-7.0050000000000001E-2</v>
      </c>
      <c r="R161" s="35">
        <f t="shared" si="199"/>
        <v>-3.748E-5</v>
      </c>
      <c r="S161" s="17"/>
      <c r="T161" s="29" t="str">
        <f>K161</f>
        <v>83</v>
      </c>
      <c r="U161" s="29" t="s">
        <v>374</v>
      </c>
      <c r="V161" s="23">
        <f t="shared" ref="V161:X165" si="200">O161</f>
        <v>-1.1469</v>
      </c>
      <c r="W161" s="23">
        <f t="shared" si="200"/>
        <v>6.0000000000000001E-3</v>
      </c>
      <c r="X161" s="23">
        <f t="shared" si="200"/>
        <v>-7.0050000000000001E-2</v>
      </c>
      <c r="Y161" s="29">
        <v>15</v>
      </c>
      <c r="Z161" s="31">
        <f>ABS(V161)/AC161/AD161</f>
        <v>0.54099056603773588</v>
      </c>
      <c r="AA161" s="23">
        <f>ABS(+W161/V161)</f>
        <v>5.2314935914203504E-3</v>
      </c>
      <c r="AB161" s="23">
        <f>ABS(X161/V161)</f>
        <v>6.1077687679832592E-2</v>
      </c>
      <c r="AC161" s="36">
        <v>0.8</v>
      </c>
      <c r="AD161" s="37">
        <v>2.65</v>
      </c>
      <c r="AE161" s="22">
        <f t="shared" ref="AE161:AF165" si="201">AC161-2*AA161</f>
        <v>0.78953701281715938</v>
      </c>
      <c r="AF161" s="22">
        <f t="shared" si="201"/>
        <v>2.5278446246403345</v>
      </c>
      <c r="AG161" s="22">
        <f>AF161*AE161</f>
        <v>1.9958268938044432</v>
      </c>
      <c r="AH161" s="38">
        <f>V161/AG161</f>
        <v>-0.57464903572562864</v>
      </c>
      <c r="AJ161" s="48" t="str">
        <f>+K161</f>
        <v>83</v>
      </c>
      <c r="AK161" s="147" t="s">
        <v>0</v>
      </c>
      <c r="AL161" s="147" t="s">
        <v>1</v>
      </c>
      <c r="AM161" s="147" t="s">
        <v>438</v>
      </c>
      <c r="AN161" s="147" t="s">
        <v>503</v>
      </c>
      <c r="AO161" s="147" t="s">
        <v>504</v>
      </c>
      <c r="AP161" s="147" t="s">
        <v>323</v>
      </c>
      <c r="AQ161" s="48"/>
      <c r="AR161" s="48"/>
      <c r="AS161" s="48"/>
      <c r="AT161" s="147" t="s">
        <v>0</v>
      </c>
      <c r="AU161" s="147" t="s">
        <v>1</v>
      </c>
      <c r="AV161" s="147" t="s">
        <v>513</v>
      </c>
      <c r="AW161" s="159" t="s">
        <v>520</v>
      </c>
      <c r="AX161" s="141" t="s">
        <v>530</v>
      </c>
      <c r="AY161" s="157" t="s">
        <v>178</v>
      </c>
      <c r="AZ161" s="44">
        <v>12</v>
      </c>
      <c r="BA161" s="172" t="str">
        <f>IF(AW164&lt;=AZ161,"OK","REDIS")</f>
        <v>OK</v>
      </c>
      <c r="BB161" s="141" t="s">
        <v>535</v>
      </c>
      <c r="BC161" s="120" t="s">
        <v>178</v>
      </c>
      <c r="BD161" s="44">
        <v>4.3</v>
      </c>
      <c r="BE161" s="172" t="str">
        <f>IF(AW164&lt;=BD161,"OK","REDIS")</f>
        <v>OK</v>
      </c>
      <c r="BG161" s="113"/>
      <c r="BH161" s="68"/>
      <c r="BI161" s="209"/>
      <c r="BJ161" s="134"/>
      <c r="BK161" s="135"/>
      <c r="BL161" s="63"/>
      <c r="BM161" s="125"/>
      <c r="BN161" s="133"/>
      <c r="BO161" s="44"/>
      <c r="BR161" s="135"/>
      <c r="BS161" s="63"/>
      <c r="BT161" s="125"/>
      <c r="BU161" s="133"/>
      <c r="BV161" s="44"/>
    </row>
    <row r="162" spans="1:74" ht="15" hidden="1" x14ac:dyDescent="0.25">
      <c r="A162" s="216" t="s">
        <v>663</v>
      </c>
      <c r="B162" s="216" t="s">
        <v>353</v>
      </c>
      <c r="C162" s="216" t="s">
        <v>352</v>
      </c>
      <c r="D162" s="216">
        <v>-1.8599999999999998E-2</v>
      </c>
      <c r="E162" s="216">
        <v>-1.2999999999999999E-3</v>
      </c>
      <c r="F162" s="216">
        <v>-0.43759999999999999</v>
      </c>
      <c r="G162" s="216">
        <v>2.47E-3</v>
      </c>
      <c r="H162" s="216">
        <v>-2.3959999999999999E-2</v>
      </c>
      <c r="I162" s="216">
        <v>-1.381E-5</v>
      </c>
      <c r="K162" s="33"/>
      <c r="L162" s="17" t="s">
        <v>375</v>
      </c>
      <c r="M162" s="34">
        <f t="shared" ref="M162:R162" si="202">D161+0.25*D162+D163</f>
        <v>-0.25014999999999998</v>
      </c>
      <c r="N162" s="34">
        <f t="shared" si="202"/>
        <v>3.749999999999999E-4</v>
      </c>
      <c r="O162" s="34">
        <f t="shared" si="202"/>
        <v>1.0975999999999999</v>
      </c>
      <c r="P162" s="34">
        <f t="shared" si="202"/>
        <v>1.3375000000000001E-3</v>
      </c>
      <c r="Q162" s="34">
        <f t="shared" si="202"/>
        <v>-0.41502</v>
      </c>
      <c r="R162" s="35">
        <f t="shared" si="202"/>
        <v>-6.6122499999999996E-5</v>
      </c>
      <c r="S162" s="17"/>
      <c r="T162" s="29"/>
      <c r="U162" s="29" t="s">
        <v>375</v>
      </c>
      <c r="V162" s="23">
        <f t="shared" si="200"/>
        <v>1.0975999999999999</v>
      </c>
      <c r="W162" s="23">
        <f t="shared" si="200"/>
        <v>1.3375000000000001E-3</v>
      </c>
      <c r="X162" s="23">
        <f t="shared" si="200"/>
        <v>-0.41502</v>
      </c>
      <c r="Y162" s="29">
        <f>1.33*Y161</f>
        <v>19.950000000000003</v>
      </c>
      <c r="Z162" s="31">
        <f>ABS(V162)/AC162/AD162</f>
        <v>0.51773584905660375</v>
      </c>
      <c r="AA162" s="23">
        <f>ABS(+W162/V162)</f>
        <v>1.2185677842565599E-3</v>
      </c>
      <c r="AB162" s="23">
        <f>ABS(X162/V162)</f>
        <v>0.37811588921282802</v>
      </c>
      <c r="AC162" s="36">
        <f t="shared" ref="AC162:AD165" si="203">AC161</f>
        <v>0.8</v>
      </c>
      <c r="AD162" s="37">
        <f t="shared" si="203"/>
        <v>2.65</v>
      </c>
      <c r="AE162" s="22">
        <f t="shared" si="201"/>
        <v>0.79756286443148694</v>
      </c>
      <c r="AF162" s="22">
        <f t="shared" si="201"/>
        <v>1.8937682215743439</v>
      </c>
      <c r="AG162" s="22">
        <f>AF162*AE162</f>
        <v>1.5103992073681565</v>
      </c>
      <c r="AH162" s="38">
        <f>V162/AG162</f>
        <v>0.72669529661138277</v>
      </c>
      <c r="AJ162" s="147" t="s">
        <v>539</v>
      </c>
      <c r="AK162" s="148">
        <v>160</v>
      </c>
      <c r="AL162" s="148">
        <v>82</v>
      </c>
      <c r="AM162" s="148">
        <v>4</v>
      </c>
      <c r="AN162" s="149">
        <v>350</v>
      </c>
      <c r="AO162" s="149">
        <v>250</v>
      </c>
      <c r="AP162" s="149">
        <v>24</v>
      </c>
      <c r="AQ162" s="48"/>
      <c r="AR162" s="48"/>
      <c r="AS162" s="48"/>
      <c r="AT162" s="48">
        <v>3</v>
      </c>
      <c r="AU162" s="48">
        <v>2</v>
      </c>
      <c r="AV162" s="149">
        <f>+AT162*2+(AU162-2)*2</f>
        <v>6</v>
      </c>
      <c r="AW162" s="159">
        <v>1.2</v>
      </c>
      <c r="AX162" s="155" t="s">
        <v>538</v>
      </c>
      <c r="AY162" s="180">
        <f>+AV162</f>
        <v>6</v>
      </c>
      <c r="BA162" s="154"/>
      <c r="BB162" s="177" t="s">
        <v>537</v>
      </c>
      <c r="BC162" s="179">
        <v>1</v>
      </c>
      <c r="BD162" s="166" t="s">
        <v>526</v>
      </c>
      <c r="BE162" s="154"/>
      <c r="BG162" s="113"/>
      <c r="BH162" s="68"/>
      <c r="BI162" s="136"/>
      <c r="BJ162" s="128"/>
      <c r="BK162" s="111"/>
      <c r="BL162" s="16"/>
      <c r="BM162" s="63"/>
      <c r="BN162" s="44"/>
      <c r="BO162" s="126"/>
      <c r="BR162" s="111"/>
      <c r="BS162" s="16"/>
      <c r="BT162" s="63"/>
      <c r="BU162" s="44"/>
      <c r="BV162" s="126"/>
    </row>
    <row r="163" spans="1:74" ht="15" hidden="1" x14ac:dyDescent="0.25">
      <c r="A163" s="216" t="s">
        <v>663</v>
      </c>
      <c r="B163" s="216" t="s">
        <v>354</v>
      </c>
      <c r="C163" s="216" t="s">
        <v>352</v>
      </c>
      <c r="D163" s="216">
        <v>-0.21099999999999999</v>
      </c>
      <c r="E163" s="216">
        <v>2.5000000000000001E-3</v>
      </c>
      <c r="F163" s="216">
        <v>1.9162999999999999</v>
      </c>
      <c r="G163" s="216">
        <v>-2.81E-3</v>
      </c>
      <c r="H163" s="216">
        <v>-0.36293999999999998</v>
      </c>
      <c r="I163" s="216">
        <v>-3.8999999999999999E-5</v>
      </c>
      <c r="K163" s="33"/>
      <c r="L163" s="17" t="s">
        <v>376</v>
      </c>
      <c r="M163" s="34">
        <f t="shared" ref="M163:R163" si="204">D161+0.25*D162-D163</f>
        <v>0.17185</v>
      </c>
      <c r="N163" s="34">
        <f t="shared" si="204"/>
        <v>-4.6250000000000006E-3</v>
      </c>
      <c r="O163" s="34">
        <f t="shared" si="204"/>
        <v>-2.7349999999999999</v>
      </c>
      <c r="P163" s="34">
        <f t="shared" si="204"/>
        <v>6.9575000000000001E-3</v>
      </c>
      <c r="Q163" s="34">
        <f t="shared" si="204"/>
        <v>0.31085999999999997</v>
      </c>
      <c r="R163" s="35">
        <f t="shared" si="204"/>
        <v>1.1877499999999999E-5</v>
      </c>
      <c r="S163" s="17"/>
      <c r="T163" s="29"/>
      <c r="U163" s="29" t="s">
        <v>376</v>
      </c>
      <c r="V163" s="23">
        <f t="shared" si="200"/>
        <v>-2.7349999999999999</v>
      </c>
      <c r="W163" s="23">
        <f t="shared" si="200"/>
        <v>6.9575000000000001E-3</v>
      </c>
      <c r="X163" s="23">
        <f t="shared" si="200"/>
        <v>0.31085999999999997</v>
      </c>
      <c r="Y163" s="29"/>
      <c r="Z163" s="31">
        <f>ABS(V163)/AC163/AD163</f>
        <v>1.2900943396226414</v>
      </c>
      <c r="AA163" s="23">
        <f>ABS(+W163/V163)</f>
        <v>2.543875685557587E-3</v>
      </c>
      <c r="AB163" s="23">
        <f>ABS(X163/V163)</f>
        <v>0.11365996343692869</v>
      </c>
      <c r="AC163" s="36">
        <f t="shared" si="203"/>
        <v>0.8</v>
      </c>
      <c r="AD163" s="37">
        <f t="shared" si="203"/>
        <v>2.65</v>
      </c>
      <c r="AE163" s="22">
        <f t="shared" si="201"/>
        <v>0.79491224862888488</v>
      </c>
      <c r="AF163" s="22">
        <f t="shared" si="201"/>
        <v>2.4226800731261426</v>
      </c>
      <c r="AG163" s="22">
        <f>AF163*AE163</f>
        <v>1.9258180646370933</v>
      </c>
      <c r="AH163" s="38">
        <f>V163/AG163</f>
        <v>-1.4201756906436493</v>
      </c>
      <c r="AJ163" s="146" t="s">
        <v>514</v>
      </c>
      <c r="AK163" s="145"/>
      <c r="AL163" s="145"/>
      <c r="AM163" s="145"/>
      <c r="AN163" s="139"/>
      <c r="AO163" s="146" t="s">
        <v>507</v>
      </c>
      <c r="AP163" s="145" t="s">
        <v>626</v>
      </c>
      <c r="AQ163" s="145">
        <f>0.6*AR160</f>
        <v>2100</v>
      </c>
      <c r="AR163" s="212" t="s">
        <v>627</v>
      </c>
      <c r="AS163" s="211">
        <f>+AR164+AR165</f>
        <v>1798.5030011432927</v>
      </c>
      <c r="AT163" s="48" t="s">
        <v>515</v>
      </c>
      <c r="AU163" s="48"/>
      <c r="AV163" s="48" t="s">
        <v>518</v>
      </c>
      <c r="AW163" s="160"/>
      <c r="AX163" s="155" t="s">
        <v>524</v>
      </c>
      <c r="AY163" s="182">
        <f>IF(BC162=(1+1/4),+(1+3/8),IF(BC162=1,(1+1/8),IF(BC162=(7/8),1,IF(BC162=(3/4),+(7/8),IF(BC162=(5/8),+(3/4),IF(BC162=(1/2),(9/16),IF(BC162=(3/8),+(7/16),"no valido")))))))</f>
        <v>1.125</v>
      </c>
      <c r="AZ163" s="165" t="s">
        <v>526</v>
      </c>
      <c r="BA163" s="172" t="s">
        <v>531</v>
      </c>
      <c r="BB163" s="178" t="s">
        <v>529</v>
      </c>
      <c r="BC163" s="158">
        <f>+AY164+3</f>
        <v>12</v>
      </c>
      <c r="BD163" s="166" t="s">
        <v>526</v>
      </c>
      <c r="BE163" s="172" t="s">
        <v>531</v>
      </c>
      <c r="BG163" s="113"/>
      <c r="BH163" s="68"/>
      <c r="BI163" s="136"/>
      <c r="BJ163" s="128"/>
      <c r="BM163" s="137"/>
      <c r="BN163" s="63"/>
      <c r="BO163" s="125"/>
      <c r="BT163" s="137"/>
      <c r="BU163" s="63"/>
      <c r="BV163" s="125"/>
    </row>
    <row r="164" spans="1:74" ht="15" hidden="1" x14ac:dyDescent="0.25">
      <c r="A164" s="216" t="s">
        <v>663</v>
      </c>
      <c r="B164" s="216" t="s">
        <v>355</v>
      </c>
      <c r="C164" s="216" t="s">
        <v>352</v>
      </c>
      <c r="D164" s="216">
        <v>3.04E-2</v>
      </c>
      <c r="E164" s="216">
        <v>-4.0500000000000001E-2</v>
      </c>
      <c r="F164" s="216">
        <v>-0.26550000000000001</v>
      </c>
      <c r="G164" s="216">
        <v>6.583E-2</v>
      </c>
      <c r="H164" s="216">
        <v>5.2319999999999998E-2</v>
      </c>
      <c r="I164" s="216">
        <v>1.8000000000000001E-4</v>
      </c>
      <c r="K164" s="33"/>
      <c r="L164" s="17" t="s">
        <v>377</v>
      </c>
      <c r="M164" s="34">
        <f t="shared" ref="M164:R164" si="205">D161+0.25*D162+D164</f>
        <v>-8.7500000000000043E-3</v>
      </c>
      <c r="N164" s="34">
        <f t="shared" si="205"/>
        <v>-4.2625000000000003E-2</v>
      </c>
      <c r="O164" s="34">
        <f t="shared" si="205"/>
        <v>-1.0842000000000001</v>
      </c>
      <c r="P164" s="34">
        <f t="shared" si="205"/>
        <v>6.9977499999999998E-2</v>
      </c>
      <c r="Q164" s="34">
        <f t="shared" si="205"/>
        <v>2.3999999999999716E-4</v>
      </c>
      <c r="R164" s="35">
        <f t="shared" si="205"/>
        <v>1.528775E-4</v>
      </c>
      <c r="S164" s="17"/>
      <c r="T164" s="29"/>
      <c r="U164" s="29" t="s">
        <v>377</v>
      </c>
      <c r="V164" s="23">
        <f t="shared" si="200"/>
        <v>-1.0842000000000001</v>
      </c>
      <c r="W164" s="23">
        <f t="shared" si="200"/>
        <v>6.9977499999999998E-2</v>
      </c>
      <c r="X164" s="23">
        <f t="shared" si="200"/>
        <v>2.3999999999999716E-4</v>
      </c>
      <c r="Y164" s="29"/>
      <c r="Z164" s="31">
        <f>ABS(V164)/AC164/AD164</f>
        <v>0.51141509433962273</v>
      </c>
      <c r="AA164" s="23">
        <f>ABS(+W164/V164)</f>
        <v>6.4542980999815522E-2</v>
      </c>
      <c r="AB164" s="23">
        <f>ABS(X164/V164)</f>
        <v>2.2136137244050649E-4</v>
      </c>
      <c r="AC164" s="36">
        <f t="shared" si="203"/>
        <v>0.8</v>
      </c>
      <c r="AD164" s="37">
        <f t="shared" si="203"/>
        <v>2.65</v>
      </c>
      <c r="AE164" s="22">
        <f t="shared" si="201"/>
        <v>0.67091403800036897</v>
      </c>
      <c r="AF164" s="22">
        <f t="shared" si="201"/>
        <v>2.649557277255119</v>
      </c>
      <c r="AG164" s="22">
        <f>AF164*AE164</f>
        <v>1.777625171796495</v>
      </c>
      <c r="AH164" s="38">
        <f>V164/AG164</f>
        <v>-0.60991485561846037</v>
      </c>
      <c r="AJ164" s="147" t="s">
        <v>500</v>
      </c>
      <c r="AK164" s="24">
        <f>(MAX(V161:V165)+ABS(MAX(W161:W165))/(AL162/1000))*1000</f>
        <v>1950.9841463414632</v>
      </c>
      <c r="AL164" s="150" t="s">
        <v>502</v>
      </c>
      <c r="AM164" s="24">
        <f>+ABS(MAX(AK164:AK165))/(+AK162*2/10+AL162*2/10)/(AP162/10)</f>
        <v>26.174888085399452</v>
      </c>
      <c r="AN164" s="151" t="str">
        <f>IF(AM164&lt;=AM165,"OK","REDIS")</f>
        <v>OK</v>
      </c>
      <c r="AO164" s="150" t="s">
        <v>508</v>
      </c>
      <c r="AP164" s="24">
        <f>((AO162/10/2-AL162/10/2)/2)*((MAX(ABS(MAX(W161:W165)),ABS(MIN(W161:W165)))*100000))/(AL162/10)</f>
        <v>3584.2134146341468</v>
      </c>
      <c r="AQ164" s="150" t="s">
        <v>510</v>
      </c>
      <c r="AR164" s="24">
        <f>+AP164/(AK162*AP162*AP162/6/10/10/10)</f>
        <v>233.34722751524393</v>
      </c>
      <c r="AS164" s="152" t="str">
        <f>IF(AR164&lt;=0.6*AR160*1.1,"OK","REDIS")</f>
        <v>OK</v>
      </c>
      <c r="AT164" s="24" t="s">
        <v>516</v>
      </c>
      <c r="AU164" s="174">
        <f>+AW162*(AP164/100000)/((AO162-AL162)/1000/4)/(AT162-1)</f>
        <v>0.51203048780487814</v>
      </c>
      <c r="AV164" s="24" t="s">
        <v>519</v>
      </c>
      <c r="AW164" s="175">
        <f>+AW162*(ABS(MAX(M161:M165))+ABS(MIN(M161:M165)+ABS(MAX(N161:N165))+ABS(MIN(N161:N165))))/AV162</f>
        <v>6.8199999999999997E-2</v>
      </c>
      <c r="AX164" s="155" t="s">
        <v>525</v>
      </c>
      <c r="AY164" s="182">
        <f>IF(BC162=(1+1/4),+(11-1/4),IF(BC162=1,(9),IF(BC162=(7/8),(7-7/8),IF(BC162=(3/4),+(6-3/4),IF(BC162=(5/8),+(5-5/8),IF(BC162=(1/2),(4-1/2),IF(BC162=(3-3/8),+(7/16),"no valido")))))))</f>
        <v>9</v>
      </c>
      <c r="AZ164" s="166" t="s">
        <v>526</v>
      </c>
      <c r="BA164" s="168" t="s">
        <v>533</v>
      </c>
      <c r="BB164" s="153" t="s">
        <v>521</v>
      </c>
      <c r="BC164" s="44">
        <f>+AV162</f>
        <v>6</v>
      </c>
      <c r="BD164" s="166" t="s">
        <v>527</v>
      </c>
      <c r="BE164" s="162" t="s">
        <v>534</v>
      </c>
      <c r="BG164" s="113"/>
      <c r="BH164" s="68"/>
      <c r="BI164" s="136"/>
      <c r="BJ164" s="138"/>
      <c r="BM164" s="125"/>
      <c r="BN164" s="133"/>
      <c r="BO164" s="44"/>
      <c r="BT164" s="125"/>
      <c r="BU164" s="133"/>
      <c r="BV164" s="44"/>
    </row>
    <row r="165" spans="1:74" ht="15" hidden="1" x14ac:dyDescent="0.25">
      <c r="A165" s="216" t="s">
        <v>663</v>
      </c>
      <c r="B165" s="216" t="s">
        <v>624</v>
      </c>
      <c r="C165" s="216" t="s">
        <v>389</v>
      </c>
      <c r="D165" s="216">
        <v>-4.8300000000000003E-2</v>
      </c>
      <c r="E165" s="216">
        <v>-2.5000000000000001E-3</v>
      </c>
      <c r="F165" s="216">
        <v>-0.99299999999999999</v>
      </c>
      <c r="G165" s="216">
        <v>4.9399999999999999E-3</v>
      </c>
      <c r="H165" s="216">
        <v>-6.4519999999999994E-2</v>
      </c>
      <c r="I165" s="216">
        <v>-3.3139999999999998E-5</v>
      </c>
      <c r="K165" s="39"/>
      <c r="L165" s="40" t="s">
        <v>378</v>
      </c>
      <c r="M165" s="41">
        <f t="shared" ref="M165:R165" si="206">D161+0.25*D162-D164</f>
        <v>-6.9550000000000001E-2</v>
      </c>
      <c r="N165" s="41">
        <f t="shared" si="206"/>
        <v>3.8374999999999999E-2</v>
      </c>
      <c r="O165" s="41">
        <f t="shared" si="206"/>
        <v>-0.55319999999999991</v>
      </c>
      <c r="P165" s="41">
        <f t="shared" si="206"/>
        <v>-6.1682500000000001E-2</v>
      </c>
      <c r="Q165" s="41">
        <f t="shared" si="206"/>
        <v>-0.10439999999999999</v>
      </c>
      <c r="R165" s="42">
        <f t="shared" si="206"/>
        <v>-2.0712250000000002E-4</v>
      </c>
      <c r="S165" s="17"/>
      <c r="T165" s="29"/>
      <c r="U165" s="29" t="s">
        <v>378</v>
      </c>
      <c r="V165" s="23">
        <f t="shared" si="200"/>
        <v>-0.55319999999999991</v>
      </c>
      <c r="W165" s="23">
        <f t="shared" si="200"/>
        <v>-6.1682500000000001E-2</v>
      </c>
      <c r="X165" s="23">
        <f t="shared" si="200"/>
        <v>-0.10439999999999999</v>
      </c>
      <c r="Y165" s="29"/>
      <c r="Z165" s="31">
        <f>ABS(V165)/AC165/AD165</f>
        <v>0.26094339622641505</v>
      </c>
      <c r="AA165" s="23">
        <f>ABS(+W165/V165)</f>
        <v>0.11150126536514825</v>
      </c>
      <c r="AB165" s="23">
        <f>ABS(X165/V165)</f>
        <v>0.18872017353579176</v>
      </c>
      <c r="AC165" s="36">
        <f t="shared" si="203"/>
        <v>0.8</v>
      </c>
      <c r="AD165" s="37">
        <f t="shared" si="203"/>
        <v>2.65</v>
      </c>
      <c r="AE165" s="22">
        <f t="shared" si="201"/>
        <v>0.57699746926970352</v>
      </c>
      <c r="AF165" s="22">
        <f t="shared" si="201"/>
        <v>2.2725596529284164</v>
      </c>
      <c r="AG165" s="22">
        <f>AF165*AE165</f>
        <v>1.311261168504132</v>
      </c>
      <c r="AH165" s="38">
        <f>V165/AG165</f>
        <v>-0.4218839185416301</v>
      </c>
      <c r="AJ165" s="147" t="s">
        <v>501</v>
      </c>
      <c r="AK165" s="24">
        <f>(MAX(V161:V165)+ABS(MAX(X161:X165))/(AK162/1000))*1000</f>
        <v>3040.4749999999999</v>
      </c>
      <c r="AL165" s="150" t="s">
        <v>505</v>
      </c>
      <c r="AM165" s="24">
        <f>+AR160*0.4/3</f>
        <v>466.66666666666669</v>
      </c>
      <c r="AN165" s="24"/>
      <c r="AO165" s="150" t="s">
        <v>509</v>
      </c>
      <c r="AP165" s="24">
        <f>((AN162/10/2-AK162/10/2)/2)*(MAX(+ABS(MAX(X161:X165)),ABS(MIN(X161:X165)))*100000/(AK162/10))</f>
        <v>12320.90625</v>
      </c>
      <c r="AQ165" s="150" t="s">
        <v>511</v>
      </c>
      <c r="AR165" s="24">
        <f>+AP165/(AL162*AP162*AP162/6/1000)</f>
        <v>1565.1557736280488</v>
      </c>
      <c r="AS165" s="152" t="str">
        <f>IF(AR165&lt;=0.6*AR160*1.1,"OK","REDIS")</f>
        <v>OK</v>
      </c>
      <c r="AT165" s="24" t="s">
        <v>517</v>
      </c>
      <c r="AU165" s="174">
        <f>+AW162*(AP165/100000)/((AN162-AK162)/1000/4)/(AU162-1)</f>
        <v>3.1126499999999999</v>
      </c>
      <c r="AV165" s="24"/>
      <c r="AW165" s="161"/>
      <c r="AX165" s="156" t="s">
        <v>522</v>
      </c>
      <c r="AY165" s="181">
        <f>IF(AY163=(1+3/8),+AV162/3,IF(AY163=(1+1/8),+AV162/6,IF(AY163=1,+AV162/8,IF(AY163=(7/8),+AV162/11,IF(AY163=0.75,+AV162/18,IF(AY163=(9/16),+AV162/45,IF(AY163=(7/16),+AV162/84,"NO HAY DATO")))))))</f>
        <v>1</v>
      </c>
      <c r="AZ165" s="167" t="s">
        <v>527</v>
      </c>
      <c r="BA165" s="176"/>
      <c r="BB165" s="164" t="s">
        <v>523</v>
      </c>
      <c r="BC165" s="129">
        <f>+BC164*BC163*2.54/100</f>
        <v>1.8288</v>
      </c>
      <c r="BD165" s="173" t="s">
        <v>528</v>
      </c>
      <c r="BE165" s="130"/>
      <c r="BG165" s="113"/>
      <c r="BH165" s="68"/>
      <c r="BI165" s="114"/>
      <c r="BJ165" s="45"/>
      <c r="BK165" s="63"/>
      <c r="BL165" s="63"/>
      <c r="BM165" s="63"/>
      <c r="BN165" s="70"/>
      <c r="BO165" s="70"/>
      <c r="BP165" s="44"/>
      <c r="BQ165" s="63"/>
      <c r="BR165" s="44"/>
      <c r="BS165" s="70"/>
      <c r="BT165" s="70"/>
      <c r="BU165" s="207"/>
      <c r="BV165" s="63"/>
    </row>
    <row r="166" spans="1:74" ht="15" hidden="1" x14ac:dyDescent="0.25">
      <c r="A166" s="216" t="s">
        <v>663</v>
      </c>
      <c r="B166" s="216" t="s">
        <v>625</v>
      </c>
      <c r="C166" s="216" t="s">
        <v>389</v>
      </c>
      <c r="D166" s="216">
        <v>-5.8000000000000003E-2</v>
      </c>
      <c r="E166" s="216">
        <v>3.9100000000000003E-2</v>
      </c>
      <c r="F166" s="216">
        <v>-0.3019</v>
      </c>
      <c r="G166" s="216">
        <v>-6.3009999999999997E-2</v>
      </c>
      <c r="H166" s="216">
        <v>-8.9200000000000002E-2</v>
      </c>
      <c r="I166" s="216">
        <v>-2.0000000000000001E-4</v>
      </c>
      <c r="K166" s="25" t="s">
        <v>357</v>
      </c>
      <c r="L166" s="26" t="s">
        <v>358</v>
      </c>
      <c r="M166" s="27" t="s">
        <v>359</v>
      </c>
      <c r="N166" s="27" t="s">
        <v>360</v>
      </c>
      <c r="O166" s="27" t="s">
        <v>361</v>
      </c>
      <c r="P166" s="27" t="s">
        <v>362</v>
      </c>
      <c r="Q166" s="27" t="s">
        <v>363</v>
      </c>
      <c r="R166" s="28" t="s">
        <v>364</v>
      </c>
      <c r="S166" s="17"/>
      <c r="T166" s="29" t="s">
        <v>365</v>
      </c>
      <c r="U166" s="29" t="s">
        <v>358</v>
      </c>
      <c r="V166" s="30" t="s">
        <v>361</v>
      </c>
      <c r="W166" s="30" t="s">
        <v>362</v>
      </c>
      <c r="X166" s="30" t="s">
        <v>363</v>
      </c>
      <c r="Y166" s="29" t="s">
        <v>366</v>
      </c>
      <c r="Z166" s="31" t="s">
        <v>367</v>
      </c>
      <c r="AA166" s="23" t="s">
        <v>368</v>
      </c>
      <c r="AB166" s="23" t="s">
        <v>369</v>
      </c>
      <c r="AC166" s="22" t="s">
        <v>0</v>
      </c>
      <c r="AD166" s="22" t="s">
        <v>1</v>
      </c>
      <c r="AE166" s="22" t="s">
        <v>370</v>
      </c>
      <c r="AF166" s="22" t="s">
        <v>371</v>
      </c>
      <c r="AG166" s="22" t="s">
        <v>372</v>
      </c>
      <c r="AH166" s="32" t="s">
        <v>373</v>
      </c>
      <c r="AJ166" s="143" t="s">
        <v>365</v>
      </c>
      <c r="AK166" s="144" t="s">
        <v>498</v>
      </c>
      <c r="AL166" s="145"/>
      <c r="AM166" s="139"/>
      <c r="AN166" s="146" t="s">
        <v>499</v>
      </c>
      <c r="AO166" s="145"/>
      <c r="AP166" s="139"/>
      <c r="AQ166" s="147" t="s">
        <v>506</v>
      </c>
      <c r="AR166" s="48">
        <v>3500</v>
      </c>
      <c r="AS166" s="147" t="s">
        <v>405</v>
      </c>
      <c r="AT166" s="146" t="s">
        <v>512</v>
      </c>
      <c r="AU166" s="145"/>
      <c r="AV166" s="145"/>
      <c r="AW166" s="145"/>
      <c r="AX166" s="163" t="s">
        <v>532</v>
      </c>
      <c r="AY166" s="157" t="s">
        <v>515</v>
      </c>
      <c r="AZ166" s="169">
        <v>6.9</v>
      </c>
      <c r="BA166" s="171" t="str">
        <f>IF(MAX(AU170:AU171)&lt;=AZ166,"OK","REDIS")</f>
        <v>OK</v>
      </c>
      <c r="BB166" s="163" t="s">
        <v>536</v>
      </c>
      <c r="BC166" s="170" t="s">
        <v>515</v>
      </c>
      <c r="BD166" s="169">
        <v>8.36</v>
      </c>
      <c r="BE166" s="171" t="str">
        <f>IF(MAX(AU170:AU171)&lt;=BD166,"OK","REDIS")</f>
        <v>OK</v>
      </c>
      <c r="BG166" s="109"/>
      <c r="BH166" s="142"/>
      <c r="BJ166" s="109"/>
      <c r="BK166" s="142"/>
      <c r="BM166" s="110"/>
      <c r="BN166" s="110"/>
      <c r="BO166" s="110"/>
      <c r="BP166" s="110"/>
    </row>
    <row r="167" spans="1:74" ht="15" hidden="1" x14ac:dyDescent="0.25">
      <c r="A167" s="216" t="s">
        <v>664</v>
      </c>
      <c r="B167" s="216" t="s">
        <v>351</v>
      </c>
      <c r="C167" s="216" t="s">
        <v>352</v>
      </c>
      <c r="D167" s="216">
        <v>-0.4012</v>
      </c>
      <c r="E167" s="216">
        <v>-3.0200000000000001E-2</v>
      </c>
      <c r="F167" s="216">
        <v>1.9045000000000001</v>
      </c>
      <c r="G167" s="216">
        <v>2.8160000000000001E-2</v>
      </c>
      <c r="H167" s="216">
        <v>-0.31236999999999998</v>
      </c>
      <c r="I167" s="216">
        <v>-2.1100000000000001E-5</v>
      </c>
      <c r="K167" s="33" t="str">
        <f>+A167</f>
        <v>84</v>
      </c>
      <c r="L167" s="17" t="s">
        <v>374</v>
      </c>
      <c r="M167" s="34">
        <f t="shared" ref="M167:R167" si="207">D167+D168</f>
        <v>-0.53780000000000006</v>
      </c>
      <c r="N167" s="34">
        <f t="shared" si="207"/>
        <v>-4.8399999999999999E-2</v>
      </c>
      <c r="O167" s="34">
        <f t="shared" si="207"/>
        <v>2.6333000000000002</v>
      </c>
      <c r="P167" s="34">
        <f t="shared" si="207"/>
        <v>4.512E-2</v>
      </c>
      <c r="Q167" s="34">
        <f t="shared" si="207"/>
        <v>-0.42713999999999996</v>
      </c>
      <c r="R167" s="35">
        <f t="shared" si="207"/>
        <v>-2.5327000000000003E-5</v>
      </c>
      <c r="S167" s="17"/>
      <c r="T167" s="29" t="str">
        <f>K167</f>
        <v>84</v>
      </c>
      <c r="U167" s="29" t="s">
        <v>374</v>
      </c>
      <c r="V167" s="23">
        <f t="shared" ref="V167:X171" si="208">O167</f>
        <v>2.6333000000000002</v>
      </c>
      <c r="W167" s="23">
        <f t="shared" si="208"/>
        <v>4.512E-2</v>
      </c>
      <c r="X167" s="23">
        <f t="shared" si="208"/>
        <v>-0.42713999999999996</v>
      </c>
      <c r="Y167" s="29">
        <v>15</v>
      </c>
      <c r="Z167" s="31">
        <f>ABS(V167)/AC167/AD167</f>
        <v>2.1944166666666667</v>
      </c>
      <c r="AA167" s="23">
        <f>ABS(+W167/V167)</f>
        <v>1.7134394106254509E-2</v>
      </c>
      <c r="AB167" s="23">
        <f>ABS(X167/V167)</f>
        <v>0.16220711654577905</v>
      </c>
      <c r="AC167" s="36">
        <v>0.8</v>
      </c>
      <c r="AD167" s="37">
        <v>1.5</v>
      </c>
      <c r="AE167" s="22">
        <f t="shared" ref="AE167:AF171" si="209">AC167-2*AA167</f>
        <v>0.76573121178749104</v>
      </c>
      <c r="AF167" s="22">
        <f t="shared" si="209"/>
        <v>1.175585766908442</v>
      </c>
      <c r="AG167" s="22">
        <f>AF167*AE167</f>
        <v>0.90018271385492821</v>
      </c>
      <c r="AH167" s="38">
        <f>V167/AG167</f>
        <v>2.9252950089690102</v>
      </c>
      <c r="AJ167" s="48" t="str">
        <f>+K167</f>
        <v>84</v>
      </c>
      <c r="AK167" s="147" t="s">
        <v>0</v>
      </c>
      <c r="AL167" s="147" t="s">
        <v>1</v>
      </c>
      <c r="AM167" s="147" t="s">
        <v>438</v>
      </c>
      <c r="AN167" s="147" t="s">
        <v>503</v>
      </c>
      <c r="AO167" s="147" t="s">
        <v>504</v>
      </c>
      <c r="AP167" s="147" t="s">
        <v>323</v>
      </c>
      <c r="AQ167" s="48"/>
      <c r="AR167" s="48"/>
      <c r="AS167" s="48"/>
      <c r="AT167" s="147" t="s">
        <v>0</v>
      </c>
      <c r="AU167" s="147" t="s">
        <v>1</v>
      </c>
      <c r="AV167" s="147" t="s">
        <v>513</v>
      </c>
      <c r="AW167" s="159" t="s">
        <v>520</v>
      </c>
      <c r="AX167" s="141" t="s">
        <v>530</v>
      </c>
      <c r="AY167" s="157" t="s">
        <v>178</v>
      </c>
      <c r="AZ167" s="44">
        <v>12</v>
      </c>
      <c r="BA167" s="172" t="str">
        <f>IF(AW170&lt;=AZ167,"OK","REDIS")</f>
        <v>OK</v>
      </c>
      <c r="BB167" s="141" t="s">
        <v>535</v>
      </c>
      <c r="BC167" s="120" t="s">
        <v>178</v>
      </c>
      <c r="BD167" s="44">
        <v>4.3</v>
      </c>
      <c r="BE167" s="172" t="str">
        <f>IF(AW170&lt;=BD167,"OK","REDIS")</f>
        <v>OK</v>
      </c>
      <c r="BG167" s="111"/>
      <c r="BH167" s="9"/>
      <c r="BI167" s="125"/>
      <c r="BJ167" s="125"/>
      <c r="BK167" s="44"/>
      <c r="BL167" s="44"/>
      <c r="BM167" s="126"/>
      <c r="BN167" s="44"/>
      <c r="BO167" s="44"/>
      <c r="BP167" s="44"/>
      <c r="BQ167" s="126"/>
      <c r="BR167" s="44"/>
      <c r="BS167" s="44"/>
      <c r="BT167" s="44"/>
      <c r="BU167" s="44"/>
      <c r="BV167" s="44"/>
    </row>
    <row r="168" spans="1:74" ht="15" hidden="1" x14ac:dyDescent="0.25">
      <c r="A168" s="216" t="s">
        <v>664</v>
      </c>
      <c r="B168" s="216" t="s">
        <v>353</v>
      </c>
      <c r="C168" s="216" t="s">
        <v>352</v>
      </c>
      <c r="D168" s="216">
        <v>-0.1366</v>
      </c>
      <c r="E168" s="216">
        <v>-1.8200000000000001E-2</v>
      </c>
      <c r="F168" s="216">
        <v>0.7288</v>
      </c>
      <c r="G168" s="216">
        <v>1.6959999999999999E-2</v>
      </c>
      <c r="H168" s="216">
        <v>-0.11477</v>
      </c>
      <c r="I168" s="216">
        <v>-4.2270000000000004E-6</v>
      </c>
      <c r="K168" s="33"/>
      <c r="L168" s="17" t="s">
        <v>375</v>
      </c>
      <c r="M168" s="34">
        <f t="shared" ref="M168:R168" si="210">D167+0.25*D168+D169</f>
        <v>-0.82315000000000005</v>
      </c>
      <c r="N168" s="34">
        <f t="shared" si="210"/>
        <v>-4.0550000000000003E-2</v>
      </c>
      <c r="O168" s="34">
        <f t="shared" si="210"/>
        <v>2.2303000000000002</v>
      </c>
      <c r="P168" s="34">
        <f t="shared" si="210"/>
        <v>4.1090000000000002E-2</v>
      </c>
      <c r="Q168" s="34">
        <f t="shared" si="210"/>
        <v>-1.0650124999999999</v>
      </c>
      <c r="R168" s="35">
        <f t="shared" si="210"/>
        <v>1.9643249999999999E-5</v>
      </c>
      <c r="S168" s="17"/>
      <c r="T168" s="29"/>
      <c r="U168" s="29" t="s">
        <v>375</v>
      </c>
      <c r="V168" s="23">
        <f t="shared" si="208"/>
        <v>2.2303000000000002</v>
      </c>
      <c r="W168" s="23">
        <f t="shared" si="208"/>
        <v>4.1090000000000002E-2</v>
      </c>
      <c r="X168" s="23">
        <f t="shared" si="208"/>
        <v>-1.0650124999999999</v>
      </c>
      <c r="Y168" s="29">
        <f>1.33*Y167</f>
        <v>19.950000000000003</v>
      </c>
      <c r="Z168" s="31">
        <f>ABS(V168)/AC168/AD168</f>
        <v>1.8585833333333335</v>
      </c>
      <c r="AA168" s="23">
        <f>ABS(+W168/V168)</f>
        <v>1.8423530466753352E-2</v>
      </c>
      <c r="AB168" s="23">
        <f>ABS(X168/V168)</f>
        <v>0.47751984038021783</v>
      </c>
      <c r="AC168" s="36">
        <f t="shared" ref="AC168:AD171" si="211">AC167</f>
        <v>0.8</v>
      </c>
      <c r="AD168" s="37">
        <f t="shared" si="211"/>
        <v>1.5</v>
      </c>
      <c r="AE168" s="22">
        <f t="shared" si="209"/>
        <v>0.76315293906649329</v>
      </c>
      <c r="AF168" s="22">
        <f t="shared" si="209"/>
        <v>0.54496031923956434</v>
      </c>
      <c r="AG168" s="22">
        <f>AF168*AE168</f>
        <v>0.415888069302288</v>
      </c>
      <c r="AH168" s="38">
        <f>V168/AG168</f>
        <v>5.362740998417312</v>
      </c>
      <c r="AJ168" s="147" t="s">
        <v>539</v>
      </c>
      <c r="AK168" s="148">
        <v>160</v>
      </c>
      <c r="AL168" s="148">
        <v>300</v>
      </c>
      <c r="AM168" s="148">
        <v>4</v>
      </c>
      <c r="AN168" s="149">
        <v>250</v>
      </c>
      <c r="AO168" s="149">
        <v>450</v>
      </c>
      <c r="AP168" s="149">
        <v>25</v>
      </c>
      <c r="AQ168" s="48"/>
      <c r="AR168" s="48"/>
      <c r="AS168" s="48"/>
      <c r="AT168" s="48">
        <v>3</v>
      </c>
      <c r="AU168" s="48">
        <v>3</v>
      </c>
      <c r="AV168" s="149">
        <f>+AT168*2+(AU168-2)*2</f>
        <v>8</v>
      </c>
      <c r="AW168" s="159">
        <v>1.2</v>
      </c>
      <c r="AX168" s="155" t="s">
        <v>538</v>
      </c>
      <c r="AY168" s="180">
        <f>+AV168</f>
        <v>8</v>
      </c>
      <c r="BA168" s="154"/>
      <c r="BB168" s="177" t="s">
        <v>537</v>
      </c>
      <c r="BC168" s="179">
        <v>1</v>
      </c>
      <c r="BD168" s="166" t="s">
        <v>526</v>
      </c>
      <c r="BE168" s="154"/>
      <c r="BG168" s="9"/>
      <c r="BH168" s="16"/>
      <c r="BI168" s="208"/>
      <c r="BJ168" s="124"/>
      <c r="BK168" s="63"/>
      <c r="BL168" s="63"/>
      <c r="BM168" s="125"/>
      <c r="BN168" s="133"/>
      <c r="BO168" s="44"/>
      <c r="BP168" s="64"/>
      <c r="BQ168" s="125"/>
      <c r="BS168" s="63"/>
      <c r="BT168" s="63"/>
      <c r="BU168" s="63"/>
      <c r="BV168" s="63"/>
    </row>
    <row r="169" spans="1:74" ht="15" hidden="1" x14ac:dyDescent="0.25">
      <c r="A169" s="216" t="s">
        <v>664</v>
      </c>
      <c r="B169" s="216" t="s">
        <v>354</v>
      </c>
      <c r="C169" s="216" t="s">
        <v>352</v>
      </c>
      <c r="D169" s="216">
        <v>-0.38779999999999998</v>
      </c>
      <c r="E169" s="216">
        <v>-5.7999999999999996E-3</v>
      </c>
      <c r="F169" s="216">
        <v>0.14360000000000001</v>
      </c>
      <c r="G169" s="216">
        <v>8.6899999999999998E-3</v>
      </c>
      <c r="H169" s="216">
        <v>-0.72394999999999998</v>
      </c>
      <c r="I169" s="216">
        <v>4.18E-5</v>
      </c>
      <c r="K169" s="33"/>
      <c r="L169" s="17" t="s">
        <v>376</v>
      </c>
      <c r="M169" s="34">
        <f t="shared" ref="M169:R169" si="212">D167+0.25*D168-D169</f>
        <v>-4.7550000000000037E-2</v>
      </c>
      <c r="N169" s="34">
        <f t="shared" si="212"/>
        <v>-2.8950000000000004E-2</v>
      </c>
      <c r="O169" s="34">
        <f t="shared" si="212"/>
        <v>1.9431</v>
      </c>
      <c r="P169" s="34">
        <f t="shared" si="212"/>
        <v>2.3709999999999998E-2</v>
      </c>
      <c r="Q169" s="34">
        <f t="shared" si="212"/>
        <v>0.38288749999999999</v>
      </c>
      <c r="R169" s="35">
        <f t="shared" si="212"/>
        <v>-6.3956750000000007E-5</v>
      </c>
      <c r="S169" s="17"/>
      <c r="T169" s="29"/>
      <c r="U169" s="29" t="s">
        <v>376</v>
      </c>
      <c r="V169" s="23">
        <f t="shared" si="208"/>
        <v>1.9431</v>
      </c>
      <c r="W169" s="23">
        <f t="shared" si="208"/>
        <v>2.3709999999999998E-2</v>
      </c>
      <c r="X169" s="23">
        <f t="shared" si="208"/>
        <v>0.38288749999999999</v>
      </c>
      <c r="Y169" s="29"/>
      <c r="Z169" s="31">
        <f>ABS(V169)/AC169/AD169</f>
        <v>1.6192500000000001</v>
      </c>
      <c r="AA169" s="23">
        <f>ABS(+W169/V169)</f>
        <v>1.2202151201688024E-2</v>
      </c>
      <c r="AB169" s="23">
        <f>ABS(X169/V169)</f>
        <v>0.19704981730224896</v>
      </c>
      <c r="AC169" s="36">
        <f t="shared" si="211"/>
        <v>0.8</v>
      </c>
      <c r="AD169" s="37">
        <f t="shared" si="211"/>
        <v>1.5</v>
      </c>
      <c r="AE169" s="22">
        <f t="shared" si="209"/>
        <v>0.77559569759662395</v>
      </c>
      <c r="AF169" s="22">
        <f t="shared" si="209"/>
        <v>1.105900365395502</v>
      </c>
      <c r="AG169" s="22">
        <f>AF169*AE169</f>
        <v>0.8577315653712857</v>
      </c>
      <c r="AH169" s="38">
        <f>V169/AG169</f>
        <v>2.2653940678502273</v>
      </c>
      <c r="AJ169" s="146" t="s">
        <v>514</v>
      </c>
      <c r="AK169" s="145"/>
      <c r="AL169" s="145"/>
      <c r="AM169" s="145"/>
      <c r="AN169" s="139"/>
      <c r="AO169" s="146" t="s">
        <v>507</v>
      </c>
      <c r="AP169" s="145" t="s">
        <v>626</v>
      </c>
      <c r="AQ169" s="145">
        <f>0.6*AR166</f>
        <v>2100</v>
      </c>
      <c r="AR169" s="212" t="s">
        <v>627</v>
      </c>
      <c r="AS169" s="211">
        <f>+AR170+AR171</f>
        <v>561.05062499999997</v>
      </c>
      <c r="AT169" s="48" t="s">
        <v>515</v>
      </c>
      <c r="AU169" s="48"/>
      <c r="AV169" s="48" t="s">
        <v>518</v>
      </c>
      <c r="AW169" s="160"/>
      <c r="AX169" s="155" t="s">
        <v>524</v>
      </c>
      <c r="AY169" s="182">
        <f>IF(BC168=(1+1/4),+(1+3/8),IF(BC168=1,(1+1/8),IF(BC168=(7/8),1,IF(BC168=(3/4),+(7/8),IF(BC168=(5/8),+(3/4),IF(BC168=(1/2),(9/16),IF(BC168=(3/8),+(7/16),"no valido")))))))</f>
        <v>1.125</v>
      </c>
      <c r="AZ169" s="165" t="s">
        <v>526</v>
      </c>
      <c r="BA169" s="172" t="s">
        <v>531</v>
      </c>
      <c r="BB169" s="178" t="s">
        <v>529</v>
      </c>
      <c r="BC169" s="158">
        <f>+AY170+3</f>
        <v>12</v>
      </c>
      <c r="BD169" s="166" t="s">
        <v>526</v>
      </c>
      <c r="BE169" s="172" t="s">
        <v>531</v>
      </c>
      <c r="BG169" s="113"/>
      <c r="BH169" s="68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126"/>
      <c r="BV169" s="63"/>
    </row>
    <row r="170" spans="1:74" ht="15" hidden="1" x14ac:dyDescent="0.25">
      <c r="A170" s="216" t="s">
        <v>664</v>
      </c>
      <c r="B170" s="216" t="s">
        <v>355</v>
      </c>
      <c r="C170" s="216" t="s">
        <v>352</v>
      </c>
      <c r="D170" s="216">
        <v>-3.56E-2</v>
      </c>
      <c r="E170" s="216">
        <v>-5.0999999999999997E-2</v>
      </c>
      <c r="F170" s="216">
        <v>8.4900000000000003E-2</v>
      </c>
      <c r="G170" s="216">
        <v>7.6660000000000006E-2</v>
      </c>
      <c r="H170" s="216">
        <v>-6.6350000000000006E-2</v>
      </c>
      <c r="I170" s="216">
        <v>-2.5999999999999998E-4</v>
      </c>
      <c r="K170" s="33"/>
      <c r="L170" s="17" t="s">
        <v>377</v>
      </c>
      <c r="M170" s="34">
        <f t="shared" ref="M170:R170" si="213">D167+0.25*D168+D170</f>
        <v>-0.47095000000000004</v>
      </c>
      <c r="N170" s="34">
        <f t="shared" si="213"/>
        <v>-8.5749999999999993E-2</v>
      </c>
      <c r="O170" s="34">
        <f t="shared" si="213"/>
        <v>2.1716000000000002</v>
      </c>
      <c r="P170" s="34">
        <f t="shared" si="213"/>
        <v>0.10906</v>
      </c>
      <c r="Q170" s="34">
        <f t="shared" si="213"/>
        <v>-0.40741250000000001</v>
      </c>
      <c r="R170" s="35">
        <f t="shared" si="213"/>
        <v>-2.8215674999999997E-4</v>
      </c>
      <c r="S170" s="17"/>
      <c r="T170" s="29"/>
      <c r="U170" s="29" t="s">
        <v>377</v>
      </c>
      <c r="V170" s="23">
        <f t="shared" si="208"/>
        <v>2.1716000000000002</v>
      </c>
      <c r="W170" s="23">
        <f t="shared" si="208"/>
        <v>0.10906</v>
      </c>
      <c r="X170" s="23">
        <f t="shared" si="208"/>
        <v>-0.40741250000000001</v>
      </c>
      <c r="Y170" s="29"/>
      <c r="Z170" s="31">
        <f>ABS(V170)/AC170/AD170</f>
        <v>1.8096666666666668</v>
      </c>
      <c r="AA170" s="23">
        <f>ABS(+W170/V170)</f>
        <v>5.0221035181433039E-2</v>
      </c>
      <c r="AB170" s="23">
        <f>ABS(X170/V170)</f>
        <v>0.18760936636581321</v>
      </c>
      <c r="AC170" s="36">
        <f t="shared" si="211"/>
        <v>0.8</v>
      </c>
      <c r="AD170" s="37">
        <f t="shared" si="211"/>
        <v>1.5</v>
      </c>
      <c r="AE170" s="22">
        <f t="shared" si="209"/>
        <v>0.69955792963713392</v>
      </c>
      <c r="AF170" s="22">
        <f t="shared" si="209"/>
        <v>1.1247812672683737</v>
      </c>
      <c r="AG170" s="22">
        <f>AF170*AE170</f>
        <v>0.78684965462489531</v>
      </c>
      <c r="AH170" s="38">
        <f>V170/AG170</f>
        <v>2.7598664970314299</v>
      </c>
      <c r="AJ170" s="147" t="s">
        <v>500</v>
      </c>
      <c r="AK170" s="24">
        <f>(MAX(V167:V171)+ABS(MAX(W167:W171))/(AL168/1000))*1000</f>
        <v>2996.8333333333335</v>
      </c>
      <c r="AL170" s="150" t="s">
        <v>502</v>
      </c>
      <c r="AM170" s="24">
        <f>+ABS(MAX(AK170:AK171))/(+AK168*2/10+AL168*2/10)/(AP168/10)</f>
        <v>21.853682065217392</v>
      </c>
      <c r="AN170" s="151" t="str">
        <f>IF(AM170&lt;=AM171,"OK","REDIS")</f>
        <v>OK</v>
      </c>
      <c r="AO170" s="150" t="s">
        <v>508</v>
      </c>
      <c r="AP170" s="24">
        <f>((AO168/10/2-AL168/10/2)/2)*((MAX(ABS(MAX(W167:W171)),ABS(MIN(W167:W171)))*100000))/(AL168/10)</f>
        <v>1363.25</v>
      </c>
      <c r="AQ170" s="150" t="s">
        <v>510</v>
      </c>
      <c r="AR170" s="24">
        <f>+AP170/(AK168*AP168*AP168/6/10/10/10)</f>
        <v>81.794999999999987</v>
      </c>
      <c r="AS170" s="152" t="str">
        <f>IF(AR170&lt;=0.6*AR166*1.1,"OK","REDIS")</f>
        <v>OK</v>
      </c>
      <c r="AT170" s="24" t="s">
        <v>516</v>
      </c>
      <c r="AU170" s="174">
        <f>+AW168*(AP170/100000)/((AO168-AL168)/1000/4)/(AT168-1)</f>
        <v>0.21811999999999998</v>
      </c>
      <c r="AV170" s="24" t="s">
        <v>519</v>
      </c>
      <c r="AW170" s="175">
        <f>+AW168*(ABS(MAX(M167:M171))+ABS(MIN(M167:M171)+ABS(MAX(N167:N171))+ABS(MIN(N167:N171))))/AV168</f>
        <v>0.11530500000000002</v>
      </c>
      <c r="AX170" s="155" t="s">
        <v>525</v>
      </c>
      <c r="AY170" s="182">
        <f>IF(BC168=(1+1/4),+(11-1/4),IF(BC168=1,(9),IF(BC168=(7/8),(7-7/8),IF(BC168=(3/4),+(6-3/4),IF(BC168=(5/8),+(5-5/8),IF(BC168=(1/2),(4-1/2),IF(BC168=(3-3/8),+(7/16),"no valido")))))))</f>
        <v>9</v>
      </c>
      <c r="AZ170" s="166" t="s">
        <v>526</v>
      </c>
      <c r="BA170" s="168" t="s">
        <v>533</v>
      </c>
      <c r="BB170" s="153" t="s">
        <v>521</v>
      </c>
      <c r="BC170" s="44">
        <f>+AV168</f>
        <v>8</v>
      </c>
      <c r="BD170" s="166" t="s">
        <v>527</v>
      </c>
      <c r="BE170" s="162" t="s">
        <v>534</v>
      </c>
      <c r="BG170" s="113"/>
      <c r="BH170" s="68"/>
      <c r="BI170" s="114"/>
      <c r="BJ170" s="45"/>
      <c r="BK170" s="63"/>
      <c r="BL170" s="63"/>
      <c r="BM170" s="63"/>
      <c r="BN170" s="70"/>
      <c r="BO170" s="70"/>
      <c r="BP170" s="44"/>
      <c r="BQ170" s="63"/>
      <c r="BR170" s="44"/>
      <c r="BS170" s="70"/>
      <c r="BT170" s="70"/>
      <c r="BU170" s="207"/>
      <c r="BV170" s="63"/>
    </row>
    <row r="171" spans="1:74" ht="15" hidden="1" x14ac:dyDescent="0.25">
      <c r="A171" s="216" t="s">
        <v>664</v>
      </c>
      <c r="B171" s="216" t="s">
        <v>624</v>
      </c>
      <c r="C171" s="216" t="s">
        <v>389</v>
      </c>
      <c r="D171" s="216">
        <v>-0.56159999999999999</v>
      </c>
      <c r="E171" s="216">
        <v>-4.2299999999999997E-2</v>
      </c>
      <c r="F171" s="216">
        <v>2.6663999999999999</v>
      </c>
      <c r="G171" s="216">
        <v>3.9419999999999997E-2</v>
      </c>
      <c r="H171" s="216">
        <v>-0.43731999999999999</v>
      </c>
      <c r="I171" s="216">
        <v>-2.9539999999999998E-5</v>
      </c>
      <c r="K171" s="39"/>
      <c r="L171" s="40" t="s">
        <v>378</v>
      </c>
      <c r="M171" s="41">
        <f t="shared" ref="M171:R171" si="214">D167+0.25*D168-D170</f>
        <v>-0.39974999999999999</v>
      </c>
      <c r="N171" s="41">
        <f t="shared" si="214"/>
        <v>1.6249999999999994E-2</v>
      </c>
      <c r="O171" s="41">
        <f t="shared" si="214"/>
        <v>2.0017999999999998</v>
      </c>
      <c r="P171" s="41">
        <f t="shared" si="214"/>
        <v>-4.4260000000000008E-2</v>
      </c>
      <c r="Q171" s="41">
        <f t="shared" si="214"/>
        <v>-0.27471249999999997</v>
      </c>
      <c r="R171" s="42">
        <f t="shared" si="214"/>
        <v>2.3784324999999998E-4</v>
      </c>
      <c r="S171" s="17"/>
      <c r="T171" s="29"/>
      <c r="U171" s="29" t="s">
        <v>378</v>
      </c>
      <c r="V171" s="23">
        <f t="shared" si="208"/>
        <v>2.0017999999999998</v>
      </c>
      <c r="W171" s="23">
        <f t="shared" si="208"/>
        <v>-4.4260000000000008E-2</v>
      </c>
      <c r="X171" s="23">
        <f t="shared" si="208"/>
        <v>-0.27471249999999997</v>
      </c>
      <c r="Y171" s="29"/>
      <c r="Z171" s="31">
        <f>ABS(V171)/AC171/AD171</f>
        <v>1.6681666666666664</v>
      </c>
      <c r="AA171" s="23">
        <f>ABS(+W171/V171)</f>
        <v>2.2110100909181741E-2</v>
      </c>
      <c r="AB171" s="23">
        <f>ABS(X171/V171)</f>
        <v>0.13723274053351983</v>
      </c>
      <c r="AC171" s="36">
        <f t="shared" si="211"/>
        <v>0.8</v>
      </c>
      <c r="AD171" s="37">
        <f t="shared" si="211"/>
        <v>1.5</v>
      </c>
      <c r="AE171" s="22">
        <f t="shared" si="209"/>
        <v>0.75577979818163654</v>
      </c>
      <c r="AF171" s="22">
        <f t="shared" si="209"/>
        <v>1.2255345189329603</v>
      </c>
      <c r="AG171" s="22">
        <f>AF171*AE171</f>
        <v>0.9262342313837818</v>
      </c>
      <c r="AH171" s="38">
        <f>V171/AG171</f>
        <v>2.1612243773471174</v>
      </c>
      <c r="AJ171" s="147" t="s">
        <v>501</v>
      </c>
      <c r="AK171" s="24">
        <f>(MAX(V167:V171)+ABS(MAX(X167:X171))/(AK168/1000))*1000</f>
        <v>5026.3468750000002</v>
      </c>
      <c r="AL171" s="150" t="s">
        <v>505</v>
      </c>
      <c r="AM171" s="24">
        <f>+AR166*0.4/3</f>
        <v>466.66666666666669</v>
      </c>
      <c r="AN171" s="24"/>
      <c r="AO171" s="150" t="s">
        <v>509</v>
      </c>
      <c r="AP171" s="24">
        <f>((AN168/10/2-AK168/10/2)/2)*(MAX(+ABS(MAX(X167:X171)),ABS(MIN(X167:X171)))*100000/(AK168/10))</f>
        <v>14976.738281249998</v>
      </c>
      <c r="AQ171" s="150" t="s">
        <v>511</v>
      </c>
      <c r="AR171" s="24">
        <f>+AP171/(AL168*AP168*AP168/6/1000)</f>
        <v>479.25562499999995</v>
      </c>
      <c r="AS171" s="152" t="str">
        <f>IF(AR171&lt;=0.6*AR166*1.1,"OK","REDIS")</f>
        <v>OK</v>
      </c>
      <c r="AT171" s="24" t="s">
        <v>517</v>
      </c>
      <c r="AU171" s="174">
        <f>+AW168*(AP171/100000)/((AN168-AK168)/1000/4)/(AU168-1)</f>
        <v>3.9937968749999997</v>
      </c>
      <c r="AV171" s="24"/>
      <c r="AW171" s="161"/>
      <c r="AX171" s="156" t="s">
        <v>522</v>
      </c>
      <c r="AY171" s="181">
        <f>IF(AY169=(1+3/8),+AV168/3,IF(AY169=(1+1/8),+AV168/6,IF(AY169=1,+AV168/8,IF(AY169=(7/8),+AV168/11,IF(AY169=0.75,+AV168/18,IF(AY169=(9/16),+AV168/45,IF(AY169=(7/16),+AV168/84,"NO HAY DATO")))))))</f>
        <v>1.3333333333333333</v>
      </c>
      <c r="AZ171" s="167" t="s">
        <v>527</v>
      </c>
      <c r="BA171" s="176"/>
      <c r="BB171" s="164" t="s">
        <v>523</v>
      </c>
      <c r="BC171" s="129">
        <f>+BC170*BC169*2.54/100</f>
        <v>2.4384000000000001</v>
      </c>
      <c r="BD171" s="173" t="s">
        <v>528</v>
      </c>
      <c r="BE171" s="130"/>
      <c r="BG171" s="113"/>
      <c r="BH171" s="68"/>
      <c r="BI171" s="209"/>
      <c r="BJ171" s="134"/>
      <c r="BK171" s="135"/>
      <c r="BL171" s="63"/>
      <c r="BM171" s="125"/>
      <c r="BN171" s="133"/>
      <c r="BO171" s="44"/>
      <c r="BR171" s="135"/>
      <c r="BS171" s="63"/>
      <c r="BT171" s="125"/>
      <c r="BU171" s="133"/>
      <c r="BV171" s="44"/>
    </row>
    <row r="172" spans="1:74" ht="15" hidden="1" x14ac:dyDescent="0.25">
      <c r="A172" s="216" t="s">
        <v>664</v>
      </c>
      <c r="B172" s="216" t="s">
        <v>625</v>
      </c>
      <c r="C172" s="216" t="s">
        <v>389</v>
      </c>
      <c r="D172" s="216">
        <v>-0.2853</v>
      </c>
      <c r="E172" s="216">
        <v>2.6800000000000001E-2</v>
      </c>
      <c r="F172" s="216">
        <v>1.4387000000000001</v>
      </c>
      <c r="G172" s="216">
        <v>-5.4140000000000001E-2</v>
      </c>
      <c r="H172" s="216">
        <v>-0.18354999999999999</v>
      </c>
      <c r="I172" s="216">
        <v>2.4000000000000001E-4</v>
      </c>
      <c r="K172" s="25" t="s">
        <v>357</v>
      </c>
      <c r="L172" s="26" t="s">
        <v>358</v>
      </c>
      <c r="M172" s="27" t="s">
        <v>359</v>
      </c>
      <c r="N172" s="27" t="s">
        <v>360</v>
      </c>
      <c r="O172" s="27" t="s">
        <v>361</v>
      </c>
      <c r="P172" s="27" t="s">
        <v>362</v>
      </c>
      <c r="Q172" s="27" t="s">
        <v>363</v>
      </c>
      <c r="R172" s="28" t="s">
        <v>364</v>
      </c>
      <c r="S172" s="17"/>
      <c r="T172" s="29" t="s">
        <v>365</v>
      </c>
      <c r="U172" s="29" t="s">
        <v>358</v>
      </c>
      <c r="V172" s="30" t="s">
        <v>361</v>
      </c>
      <c r="W172" s="30" t="s">
        <v>362</v>
      </c>
      <c r="X172" s="30" t="s">
        <v>363</v>
      </c>
      <c r="Y172" s="29" t="s">
        <v>366</v>
      </c>
      <c r="Z172" s="31" t="s">
        <v>367</v>
      </c>
      <c r="AA172" s="23" t="s">
        <v>368</v>
      </c>
      <c r="AB172" s="23" t="s">
        <v>369</v>
      </c>
      <c r="AC172" s="22" t="s">
        <v>0</v>
      </c>
      <c r="AD172" s="22" t="s">
        <v>1</v>
      </c>
      <c r="AE172" s="22" t="s">
        <v>370</v>
      </c>
      <c r="AF172" s="22" t="s">
        <v>371</v>
      </c>
      <c r="AG172" s="22" t="s">
        <v>372</v>
      </c>
      <c r="AH172" s="32" t="s">
        <v>373</v>
      </c>
      <c r="AI172" s="214"/>
      <c r="AJ172" s="143" t="s">
        <v>365</v>
      </c>
      <c r="AK172" s="144" t="s">
        <v>498</v>
      </c>
      <c r="AL172" s="145"/>
      <c r="AM172" s="139"/>
      <c r="AN172" s="146" t="s">
        <v>499</v>
      </c>
      <c r="AO172" s="145"/>
      <c r="AP172" s="139"/>
      <c r="AQ172" s="147" t="s">
        <v>506</v>
      </c>
      <c r="AR172" s="48">
        <v>3500</v>
      </c>
      <c r="AS172" s="147" t="s">
        <v>405</v>
      </c>
      <c r="AT172" s="146" t="s">
        <v>512</v>
      </c>
      <c r="AU172" s="145"/>
      <c r="AV172" s="145"/>
      <c r="AW172" s="145"/>
      <c r="AX172" s="163" t="s">
        <v>532</v>
      </c>
      <c r="AY172" s="157" t="s">
        <v>515</v>
      </c>
      <c r="AZ172" s="169">
        <v>6.9</v>
      </c>
      <c r="BA172" s="171" t="str">
        <f>IF(MAX(AU176:AU177)&lt;=AZ172,"OK","REDIS")</f>
        <v>REDIS</v>
      </c>
      <c r="BB172" s="163" t="s">
        <v>536</v>
      </c>
      <c r="BC172" s="170" t="s">
        <v>515</v>
      </c>
      <c r="BD172" s="169">
        <v>8.36</v>
      </c>
      <c r="BE172" s="171" t="str">
        <f>IF(MAX(AU176:AU177)&lt;=BD172,"OK","REDIS")</f>
        <v>REDIS</v>
      </c>
      <c r="BG172" s="113"/>
      <c r="BH172" s="68"/>
      <c r="BI172" s="136"/>
      <c r="BJ172" s="128"/>
      <c r="BK172" s="111"/>
      <c r="BL172" s="16"/>
      <c r="BM172" s="63"/>
      <c r="BN172" s="44"/>
      <c r="BO172" s="126"/>
      <c r="BR172" s="111"/>
      <c r="BS172" s="16"/>
      <c r="BT172" s="63"/>
      <c r="BU172" s="44"/>
      <c r="BV172" s="126"/>
    </row>
    <row r="173" spans="1:74" ht="15" hidden="1" x14ac:dyDescent="0.25">
      <c r="A173" s="216" t="s">
        <v>665</v>
      </c>
      <c r="B173" s="216" t="s">
        <v>351</v>
      </c>
      <c r="C173" s="216" t="s">
        <v>352</v>
      </c>
      <c r="D173" s="216">
        <v>-1.4157999999999999</v>
      </c>
      <c r="E173" s="216">
        <v>0.61839999999999995</v>
      </c>
      <c r="F173" s="216">
        <v>3.8959999999999999</v>
      </c>
      <c r="G173" s="216">
        <v>-0.83228999999999997</v>
      </c>
      <c r="H173" s="216">
        <v>-1.48353</v>
      </c>
      <c r="I173" s="216">
        <v>2.2759999999999999E-2</v>
      </c>
      <c r="K173" s="33" t="str">
        <f>+A173</f>
        <v>85</v>
      </c>
      <c r="L173" s="17" t="s">
        <v>374</v>
      </c>
      <c r="M173" s="34">
        <f t="shared" ref="M173:R173" si="215">D173+D174</f>
        <v>-2.2588999999999997</v>
      </c>
      <c r="N173" s="34">
        <f t="shared" si="215"/>
        <v>0.98909999999999987</v>
      </c>
      <c r="O173" s="34">
        <f t="shared" si="215"/>
        <v>6.101</v>
      </c>
      <c r="P173" s="34">
        <f t="shared" si="215"/>
        <v>-1.32941</v>
      </c>
      <c r="Q173" s="34">
        <f t="shared" si="215"/>
        <v>-2.3611200000000001</v>
      </c>
      <c r="R173" s="35">
        <f t="shared" si="215"/>
        <v>3.7449999999999997E-2</v>
      </c>
      <c r="S173" s="17"/>
      <c r="T173" s="29" t="str">
        <f>K173</f>
        <v>85</v>
      </c>
      <c r="U173" s="29" t="s">
        <v>374</v>
      </c>
      <c r="V173" s="23">
        <f t="shared" ref="V173:X177" si="216">O173</f>
        <v>6.101</v>
      </c>
      <c r="W173" s="23">
        <f t="shared" si="216"/>
        <v>-1.32941</v>
      </c>
      <c r="X173" s="23">
        <f t="shared" si="216"/>
        <v>-2.3611200000000001</v>
      </c>
      <c r="Y173" s="29">
        <v>15</v>
      </c>
      <c r="Z173" s="31">
        <f>ABS(V173)/AC173/AD173</f>
        <v>2.5420833333333333</v>
      </c>
      <c r="AA173" s="23">
        <f>ABS(+W173/V173)</f>
        <v>0.2179003442058679</v>
      </c>
      <c r="AB173" s="23">
        <f>ABS(X173/V173)</f>
        <v>0.38700540894935259</v>
      </c>
      <c r="AC173" s="36">
        <v>0.8</v>
      </c>
      <c r="AD173" s="37">
        <v>3</v>
      </c>
      <c r="AE173" s="22">
        <f t="shared" ref="AE173:AF177" si="217">AC173-2*AA173</f>
        <v>0.36419931158826424</v>
      </c>
      <c r="AF173" s="22">
        <f t="shared" si="217"/>
        <v>2.2259891821012947</v>
      </c>
      <c r="AG173" s="22">
        <f>AF173*AE173</f>
        <v>0.81070372772421495</v>
      </c>
      <c r="AH173" s="38">
        <f>V173/AG173</f>
        <v>7.5255605609789882</v>
      </c>
      <c r="AI173" s="214"/>
      <c r="AJ173" s="48" t="str">
        <f>+K173</f>
        <v>85</v>
      </c>
      <c r="AK173" s="147" t="s">
        <v>0</v>
      </c>
      <c r="AL173" s="147" t="s">
        <v>1</v>
      </c>
      <c r="AM173" s="147" t="s">
        <v>438</v>
      </c>
      <c r="AN173" s="147" t="s">
        <v>503</v>
      </c>
      <c r="AO173" s="147" t="s">
        <v>504</v>
      </c>
      <c r="AP173" s="147" t="s">
        <v>323</v>
      </c>
      <c r="AQ173" s="48"/>
      <c r="AR173" s="48"/>
      <c r="AS173" s="48"/>
      <c r="AT173" s="147" t="s">
        <v>0</v>
      </c>
      <c r="AU173" s="147" t="s">
        <v>1</v>
      </c>
      <c r="AV173" s="147" t="s">
        <v>513</v>
      </c>
      <c r="AW173" s="159" t="s">
        <v>520</v>
      </c>
      <c r="AX173" s="141" t="s">
        <v>530</v>
      </c>
      <c r="AY173" s="157" t="s">
        <v>178</v>
      </c>
      <c r="AZ173" s="44">
        <v>12</v>
      </c>
      <c r="BA173" s="172" t="str">
        <f>IF(AW176&lt;=AZ173,"OK","REDIS")</f>
        <v>OK</v>
      </c>
      <c r="BB173" s="141" t="s">
        <v>535</v>
      </c>
      <c r="BC173" s="120" t="s">
        <v>178</v>
      </c>
      <c r="BD173" s="44">
        <v>4.3</v>
      </c>
      <c r="BE173" s="172" t="str">
        <f>IF(AW176&lt;=BD173,"OK","REDIS")</f>
        <v>OK</v>
      </c>
      <c r="BG173" s="113"/>
      <c r="BH173" s="68"/>
      <c r="BI173" s="136"/>
      <c r="BJ173" s="128"/>
      <c r="BM173" s="137"/>
      <c r="BN173" s="63"/>
      <c r="BO173" s="125"/>
      <c r="BT173" s="137"/>
      <c r="BU173" s="63"/>
      <c r="BV173" s="125"/>
    </row>
    <row r="174" spans="1:74" ht="15" hidden="1" x14ac:dyDescent="0.25">
      <c r="A174" s="216" t="s">
        <v>665</v>
      </c>
      <c r="B174" s="216" t="s">
        <v>353</v>
      </c>
      <c r="C174" s="216" t="s">
        <v>352</v>
      </c>
      <c r="D174" s="216">
        <v>-0.84309999999999996</v>
      </c>
      <c r="E174" s="216">
        <v>0.37069999999999997</v>
      </c>
      <c r="F174" s="216">
        <v>2.2050000000000001</v>
      </c>
      <c r="G174" s="216">
        <v>-0.49712000000000001</v>
      </c>
      <c r="H174" s="216">
        <v>-0.87758999999999998</v>
      </c>
      <c r="I174" s="216">
        <v>1.469E-2</v>
      </c>
      <c r="K174" s="33"/>
      <c r="L174" s="17" t="s">
        <v>375</v>
      </c>
      <c r="M174" s="34">
        <f t="shared" ref="M174:R174" si="218">D173+0.25*D174+D175</f>
        <v>-2.4196749999999998</v>
      </c>
      <c r="N174" s="34">
        <f t="shared" si="218"/>
        <v>0.42207499999999992</v>
      </c>
      <c r="O174" s="34">
        <f t="shared" si="218"/>
        <v>4.9986500000000005</v>
      </c>
      <c r="P174" s="34">
        <f t="shared" si="218"/>
        <v>-0.43086999999999998</v>
      </c>
      <c r="Q174" s="34">
        <f t="shared" si="218"/>
        <v>-3.4458374999999997</v>
      </c>
      <c r="R174" s="35">
        <f t="shared" si="218"/>
        <v>-5.9047500000000003E-2</v>
      </c>
      <c r="S174" s="17"/>
      <c r="T174" s="29"/>
      <c r="U174" s="29" t="s">
        <v>375</v>
      </c>
      <c r="V174" s="23">
        <f t="shared" si="216"/>
        <v>4.9986500000000005</v>
      </c>
      <c r="W174" s="23">
        <f t="shared" si="216"/>
        <v>-0.43086999999999998</v>
      </c>
      <c r="X174" s="23">
        <f t="shared" si="216"/>
        <v>-3.4458374999999997</v>
      </c>
      <c r="Y174" s="29">
        <f>1.33*Y173</f>
        <v>19.950000000000003</v>
      </c>
      <c r="Z174" s="31">
        <f>ABS(V174)/AC174/AD174</f>
        <v>2.0827708333333335</v>
      </c>
      <c r="AA174" s="23">
        <f>ABS(+W174/V174)</f>
        <v>8.619727326378121E-2</v>
      </c>
      <c r="AB174" s="23">
        <f>ABS(X174/V174)</f>
        <v>0.68935362547887913</v>
      </c>
      <c r="AC174" s="36">
        <f t="shared" ref="AC174:AD177" si="219">AC173</f>
        <v>0.8</v>
      </c>
      <c r="AD174" s="37">
        <f t="shared" si="219"/>
        <v>3</v>
      </c>
      <c r="AE174" s="22">
        <f t="shared" si="217"/>
        <v>0.62760545347243757</v>
      </c>
      <c r="AF174" s="22">
        <f t="shared" si="217"/>
        <v>1.6212927490422417</v>
      </c>
      <c r="AG174" s="22">
        <f>AF174*AE174</f>
        <v>1.0175321709742311</v>
      </c>
      <c r="AH174" s="38">
        <f>V174/AG174</f>
        <v>4.9125228101771645</v>
      </c>
      <c r="AI174" s="214"/>
      <c r="AJ174" s="147" t="s">
        <v>539</v>
      </c>
      <c r="AK174" s="148">
        <v>300</v>
      </c>
      <c r="AL174" s="148">
        <v>160</v>
      </c>
      <c r="AM174" s="148">
        <v>5</v>
      </c>
      <c r="AN174" s="149">
        <v>500</v>
      </c>
      <c r="AO174" s="149">
        <v>250</v>
      </c>
      <c r="AP174" s="149">
        <v>25</v>
      </c>
      <c r="AQ174" s="48"/>
      <c r="AR174" s="48"/>
      <c r="AS174" s="48"/>
      <c r="AT174" s="48">
        <v>3</v>
      </c>
      <c r="AU174" s="48">
        <v>3</v>
      </c>
      <c r="AV174" s="149">
        <f>+AT174*2+(AU174-2)*2</f>
        <v>8</v>
      </c>
      <c r="AW174" s="159">
        <v>1</v>
      </c>
      <c r="AX174" s="155" t="s">
        <v>538</v>
      </c>
      <c r="AY174" s="180">
        <f>+AV174</f>
        <v>8</v>
      </c>
      <c r="BA174" s="154"/>
      <c r="BB174" s="177" t="s">
        <v>537</v>
      </c>
      <c r="BC174" s="179">
        <v>1</v>
      </c>
      <c r="BD174" s="166" t="s">
        <v>526</v>
      </c>
      <c r="BE174" s="154"/>
      <c r="BG174" s="113"/>
      <c r="BH174" s="68"/>
      <c r="BI174" s="136"/>
      <c r="BJ174" s="138"/>
      <c r="BM174" s="125"/>
      <c r="BN174" s="133"/>
      <c r="BO174" s="44"/>
      <c r="BT174" s="125"/>
      <c r="BU174" s="133"/>
      <c r="BV174" s="44"/>
    </row>
    <row r="175" spans="1:74" ht="15" hidden="1" x14ac:dyDescent="0.25">
      <c r="A175" s="216" t="s">
        <v>665</v>
      </c>
      <c r="B175" s="216" t="s">
        <v>354</v>
      </c>
      <c r="C175" s="216" t="s">
        <v>352</v>
      </c>
      <c r="D175" s="216">
        <v>-0.79310000000000003</v>
      </c>
      <c r="E175" s="216">
        <v>-0.28899999999999998</v>
      </c>
      <c r="F175" s="216">
        <v>0.5514</v>
      </c>
      <c r="G175" s="216">
        <v>0.52569999999999995</v>
      </c>
      <c r="H175" s="216">
        <v>-1.74291</v>
      </c>
      <c r="I175" s="216">
        <v>-8.548E-2</v>
      </c>
      <c r="K175" s="33"/>
      <c r="L175" s="17" t="s">
        <v>376</v>
      </c>
      <c r="M175" s="34">
        <f t="shared" ref="M175:R175" si="220">D173+0.25*D174-D175</f>
        <v>-0.83347499999999985</v>
      </c>
      <c r="N175" s="34">
        <f t="shared" si="220"/>
        <v>1.0000749999999998</v>
      </c>
      <c r="O175" s="34">
        <f t="shared" si="220"/>
        <v>3.8958500000000003</v>
      </c>
      <c r="P175" s="34">
        <f t="shared" si="220"/>
        <v>-1.4822699999999998</v>
      </c>
      <c r="Q175" s="34">
        <f t="shared" si="220"/>
        <v>3.9982500000000032E-2</v>
      </c>
      <c r="R175" s="35">
        <f t="shared" si="220"/>
        <v>0.1119125</v>
      </c>
      <c r="S175" s="17"/>
      <c r="T175" s="29"/>
      <c r="U175" s="29" t="s">
        <v>376</v>
      </c>
      <c r="V175" s="23">
        <f t="shared" si="216"/>
        <v>3.8958500000000003</v>
      </c>
      <c r="W175" s="23">
        <f t="shared" si="216"/>
        <v>-1.4822699999999998</v>
      </c>
      <c r="X175" s="23">
        <f t="shared" si="216"/>
        <v>3.9982500000000032E-2</v>
      </c>
      <c r="Y175" s="29"/>
      <c r="Z175" s="31">
        <f>ABS(V175)/AC175/AD175</f>
        <v>1.6232708333333334</v>
      </c>
      <c r="AA175" s="23">
        <f>ABS(+W175/V175)</f>
        <v>0.38047409422847378</v>
      </c>
      <c r="AB175" s="23">
        <f>ABS(X175/V175)</f>
        <v>1.0262843795320669E-2</v>
      </c>
      <c r="AC175" s="36">
        <f t="shared" si="219"/>
        <v>0.8</v>
      </c>
      <c r="AD175" s="37">
        <f t="shared" si="219"/>
        <v>3</v>
      </c>
      <c r="AE175" s="22">
        <f t="shared" si="217"/>
        <v>3.9051811543052484E-2</v>
      </c>
      <c r="AF175" s="22">
        <f t="shared" si="217"/>
        <v>2.9794743124093586</v>
      </c>
      <c r="AG175" s="22">
        <f>AF175*AE175</f>
        <v>0.11635386934557615</v>
      </c>
      <c r="AH175" s="38">
        <f>V175/AG175</f>
        <v>33.482771324339488</v>
      </c>
      <c r="AI175" s="214"/>
      <c r="AJ175" s="146" t="s">
        <v>514</v>
      </c>
      <c r="AK175" s="145"/>
      <c r="AL175" s="145"/>
      <c r="AM175" s="145"/>
      <c r="AN175" s="139"/>
      <c r="AO175" s="146" t="s">
        <v>507</v>
      </c>
      <c r="AP175" s="145" t="s">
        <v>626</v>
      </c>
      <c r="AQ175" s="145">
        <f>0.6*AR172</f>
        <v>2100</v>
      </c>
      <c r="AR175" s="212" t="s">
        <v>627</v>
      </c>
      <c r="AS175" s="211">
        <f>+AR176+AR177</f>
        <v>5947.0274999999992</v>
      </c>
      <c r="AT175" s="48" t="s">
        <v>515</v>
      </c>
      <c r="AU175" s="48"/>
      <c r="AV175" s="48" t="s">
        <v>518</v>
      </c>
      <c r="AW175" s="160"/>
      <c r="AX175" s="155" t="s">
        <v>524</v>
      </c>
      <c r="AY175" s="182">
        <f>IF(BC174=(1+1/4),+(1+3/8),IF(BC174=1,(1+1/8),IF(BC174=(7/8),1,IF(BC174=(3/4),+(7/8),IF(BC174=(5/8),+(3/4),IF(BC174=(1/2),(9/16),IF(BC174=(3/8),+(7/16),"no valido")))))))</f>
        <v>1.125</v>
      </c>
      <c r="AZ175" s="165" t="s">
        <v>526</v>
      </c>
      <c r="BA175" s="172" t="s">
        <v>531</v>
      </c>
      <c r="BB175" s="178" t="s">
        <v>529</v>
      </c>
      <c r="BC175" s="158">
        <f>+AY176+3</f>
        <v>12</v>
      </c>
      <c r="BD175" s="166" t="s">
        <v>526</v>
      </c>
      <c r="BE175" s="172" t="s">
        <v>531</v>
      </c>
      <c r="BG175" s="113"/>
      <c r="BH175" s="68"/>
      <c r="BI175" s="114"/>
      <c r="BJ175" s="45"/>
      <c r="BK175" s="63"/>
      <c r="BL175" s="63"/>
      <c r="BM175" s="63"/>
      <c r="BN175" s="70"/>
      <c r="BO175" s="70"/>
      <c r="BP175" s="44"/>
      <c r="BQ175" s="63"/>
      <c r="BR175" s="44"/>
      <c r="BS175" s="70"/>
      <c r="BT175" s="70"/>
      <c r="BU175" s="207"/>
      <c r="BV175" s="63"/>
    </row>
    <row r="176" spans="1:74" ht="15" hidden="1" x14ac:dyDescent="0.25">
      <c r="A176" s="216" t="s">
        <v>665</v>
      </c>
      <c r="B176" s="216" t="s">
        <v>355</v>
      </c>
      <c r="C176" s="216" t="s">
        <v>352</v>
      </c>
      <c r="D176" s="216">
        <v>-0.13919999999999999</v>
      </c>
      <c r="E176" s="216">
        <v>-2.5150000000000001</v>
      </c>
      <c r="F176" s="216">
        <v>2.7877999999999998</v>
      </c>
      <c r="G176" s="216">
        <v>4.6016300000000001</v>
      </c>
      <c r="H176" s="216">
        <v>-0.29497000000000001</v>
      </c>
      <c r="I176" s="216">
        <v>-9.7999999999999997E-3</v>
      </c>
      <c r="K176" s="33"/>
      <c r="L176" s="17" t="s">
        <v>377</v>
      </c>
      <c r="M176" s="34">
        <f t="shared" ref="M176:R176" si="221">D173+0.25*D174+D176</f>
        <v>-1.7657749999999999</v>
      </c>
      <c r="N176" s="34">
        <f t="shared" si="221"/>
        <v>-1.8039250000000002</v>
      </c>
      <c r="O176" s="34">
        <f t="shared" si="221"/>
        <v>7.2350500000000002</v>
      </c>
      <c r="P176" s="34">
        <f t="shared" si="221"/>
        <v>3.64506</v>
      </c>
      <c r="Q176" s="34">
        <f t="shared" si="221"/>
        <v>-1.9978974999999999</v>
      </c>
      <c r="R176" s="35">
        <f t="shared" si="221"/>
        <v>1.6632499999999998E-2</v>
      </c>
      <c r="S176" s="17"/>
      <c r="T176" s="29"/>
      <c r="U176" s="29" t="s">
        <v>377</v>
      </c>
      <c r="V176" s="23">
        <f t="shared" si="216"/>
        <v>7.2350500000000002</v>
      </c>
      <c r="W176" s="23">
        <f t="shared" si="216"/>
        <v>3.64506</v>
      </c>
      <c r="X176" s="23">
        <f t="shared" si="216"/>
        <v>-1.9978974999999999</v>
      </c>
      <c r="Y176" s="29"/>
      <c r="Z176" s="31">
        <f>ABS(V176)/AC176/AD176</f>
        <v>3.0146041666666665</v>
      </c>
      <c r="AA176" s="23">
        <f>ABS(+W176/V176)</f>
        <v>0.50380577881286237</v>
      </c>
      <c r="AB176" s="23">
        <f>ABS(X176/V176)</f>
        <v>0.27614149176577907</v>
      </c>
      <c r="AC176" s="36">
        <f t="shared" si="219"/>
        <v>0.8</v>
      </c>
      <c r="AD176" s="37">
        <f t="shared" si="219"/>
        <v>3</v>
      </c>
      <c r="AE176" s="22">
        <f t="shared" si="217"/>
        <v>-0.2076115576257247</v>
      </c>
      <c r="AF176" s="22">
        <f t="shared" si="217"/>
        <v>2.4477170164684416</v>
      </c>
      <c r="AG176" s="22">
        <f>AF176*AE176</f>
        <v>-0.50817434241600479</v>
      </c>
      <c r="AH176" s="38">
        <f>V176/AG176</f>
        <v>-14.237338244198876</v>
      </c>
      <c r="AI176" s="214"/>
      <c r="AJ176" s="147" t="s">
        <v>500</v>
      </c>
      <c r="AK176" s="24">
        <f>(MAX(V173:V177)+ABS(MAX(W173:W177))/(AL174/1000))*1000</f>
        <v>30016.674999999999</v>
      </c>
      <c r="AL176" s="150" t="s">
        <v>502</v>
      </c>
      <c r="AM176" s="24">
        <f>+ABS(MAX(AK176:AK177))/(+AK174*2/10+AL174*2/10)/(AP174/10)</f>
        <v>130.50728260869565</v>
      </c>
      <c r="AN176" s="151" t="str">
        <f>IF(AM176&lt;=AM177,"OK","REDIS")</f>
        <v>OK</v>
      </c>
      <c r="AO176" s="150" t="s">
        <v>508</v>
      </c>
      <c r="AP176" s="24">
        <f>((AO174/10/2-AL174/10/2)/2)*((MAX(ABS(MAX(W173:W177)),ABS(MIN(W173:W177)))*100000))/(AL174/10)</f>
        <v>78162.1875</v>
      </c>
      <c r="AQ176" s="150" t="s">
        <v>510</v>
      </c>
      <c r="AR176" s="24">
        <f>+AP176/(AK174*AP174*AP174/6/10/10/10)</f>
        <v>2501.19</v>
      </c>
      <c r="AS176" s="152" t="str">
        <f>IF(AR176&lt;=0.6*AR172*1.1,"OK","REDIS")</f>
        <v>REDIS</v>
      </c>
      <c r="AT176" s="24" t="s">
        <v>516</v>
      </c>
      <c r="AU176" s="174">
        <f>+AW174*(AP176/100000)/((AO174-AL174)/1000/4)/AT174</f>
        <v>11.579583333333334</v>
      </c>
      <c r="AV176" s="24" t="s">
        <v>519</v>
      </c>
      <c r="AW176" s="175">
        <f>+AW174*(ABS(MAX(M173:M177))+ABS(MIN(M173:M177)+ABS(MAX(N173:N177))+ABS(MIN(N173:N177))))/AV174</f>
        <v>0.43047500000000005</v>
      </c>
      <c r="AX176" s="155" t="s">
        <v>525</v>
      </c>
      <c r="AY176" s="182">
        <f>IF(BC174=(1+1/4),+(11-1/4),IF(BC174=1,(9),IF(BC174=(7/8),(7-7/8),IF(BC174=(3/4),+(6-3/4),IF(BC174=(5/8),+(5-5/8),IF(BC174=(1/2),(4-1/2),IF(BC174=(3-3/8),+(7/16),"no valido")))))))</f>
        <v>9</v>
      </c>
      <c r="AZ176" s="166" t="s">
        <v>526</v>
      </c>
      <c r="BA176" s="168" t="s">
        <v>533</v>
      </c>
      <c r="BB176" s="153" t="s">
        <v>521</v>
      </c>
      <c r="BC176" s="44">
        <f>+AV174</f>
        <v>8</v>
      </c>
      <c r="BD176" s="166" t="s">
        <v>527</v>
      </c>
      <c r="BE176" s="162" t="s">
        <v>534</v>
      </c>
      <c r="BG176" s="109"/>
      <c r="BH176" s="142"/>
      <c r="BJ176" s="109"/>
      <c r="BK176" s="142"/>
      <c r="BM176" s="110"/>
      <c r="BN176" s="110"/>
      <c r="BO176" s="110"/>
      <c r="BP176" s="110"/>
    </row>
    <row r="177" spans="1:74" ht="15" hidden="1" x14ac:dyDescent="0.25">
      <c r="A177" s="216" t="s">
        <v>665</v>
      </c>
      <c r="B177" s="216" t="s">
        <v>624</v>
      </c>
      <c r="C177" s="216" t="s">
        <v>389</v>
      </c>
      <c r="D177" s="216">
        <v>-1.9821</v>
      </c>
      <c r="E177" s="216">
        <v>0.86580000000000001</v>
      </c>
      <c r="F177" s="216">
        <v>5.4543999999999997</v>
      </c>
      <c r="G177" s="216">
        <v>-1.1652100000000001</v>
      </c>
      <c r="H177" s="216">
        <v>-2.07694</v>
      </c>
      <c r="I177" s="216">
        <v>3.1859999999999999E-2</v>
      </c>
      <c r="K177" s="39"/>
      <c r="L177" s="40" t="s">
        <v>378</v>
      </c>
      <c r="M177" s="41">
        <f t="shared" ref="M177:R177" si="222">D173+0.25*D174-D176</f>
        <v>-1.4873749999999999</v>
      </c>
      <c r="N177" s="41">
        <f t="shared" si="222"/>
        <v>3.2260749999999998</v>
      </c>
      <c r="O177" s="41">
        <f t="shared" si="222"/>
        <v>1.6594500000000005</v>
      </c>
      <c r="P177" s="41">
        <f t="shared" si="222"/>
        <v>-5.5582000000000003</v>
      </c>
      <c r="Q177" s="41">
        <f t="shared" si="222"/>
        <v>-1.4079575</v>
      </c>
      <c r="R177" s="42">
        <f t="shared" si="222"/>
        <v>3.6232500000000001E-2</v>
      </c>
      <c r="S177" s="17"/>
      <c r="T177" s="29"/>
      <c r="U177" s="29" t="s">
        <v>378</v>
      </c>
      <c r="V177" s="23">
        <f t="shared" si="216"/>
        <v>1.6594500000000005</v>
      </c>
      <c r="W177" s="23">
        <f t="shared" si="216"/>
        <v>-5.5582000000000003</v>
      </c>
      <c r="X177" s="23">
        <f t="shared" si="216"/>
        <v>-1.4079575</v>
      </c>
      <c r="Y177" s="29"/>
      <c r="Z177" s="31">
        <f>ABS(V177)/AC177/AD177</f>
        <v>0.69143750000000015</v>
      </c>
      <c r="AA177" s="23">
        <f>ABS(+W177/V177)</f>
        <v>3.3494230015969135</v>
      </c>
      <c r="AB177" s="23">
        <f>ABS(X177/V177)</f>
        <v>0.84844828105697645</v>
      </c>
      <c r="AC177" s="36">
        <f t="shared" si="219"/>
        <v>0.8</v>
      </c>
      <c r="AD177" s="37">
        <f t="shared" si="219"/>
        <v>3</v>
      </c>
      <c r="AE177" s="22">
        <f t="shared" si="217"/>
        <v>-5.8988460031938272</v>
      </c>
      <c r="AF177" s="22">
        <f t="shared" si="217"/>
        <v>1.3031034378860471</v>
      </c>
      <c r="AG177" s="22">
        <f>AF177*AE177</f>
        <v>-7.6868065063222444</v>
      </c>
      <c r="AH177" s="38">
        <f>V177/AG177</f>
        <v>-0.21588288955044416</v>
      </c>
      <c r="AI177" s="214"/>
      <c r="AJ177" s="147" t="s">
        <v>501</v>
      </c>
      <c r="AK177" s="24">
        <f>(MAX(V173:V177)+ABS(MAX(X173:X177))/(AK174/1000))*1000</f>
        <v>7368.3250000000007</v>
      </c>
      <c r="AL177" s="150" t="s">
        <v>505</v>
      </c>
      <c r="AM177" s="24">
        <f>+AR172*0.4/3</f>
        <v>466.66666666666669</v>
      </c>
      <c r="AN177" s="24"/>
      <c r="AO177" s="150" t="s">
        <v>509</v>
      </c>
      <c r="AP177" s="24">
        <f>((AN174/10/2-AK174/10/2)/2)*(MAX(+ABS(MAX(X173:X177)),ABS(MIN(X173:X177)))*100000/(AK174/10))</f>
        <v>57430.624999999993</v>
      </c>
      <c r="AQ177" s="150" t="s">
        <v>511</v>
      </c>
      <c r="AR177" s="24">
        <f>+AP177/(AL174*AP174*AP174/6/1000)</f>
        <v>3445.8374999999992</v>
      </c>
      <c r="AS177" s="152" t="str">
        <f>IF(AR177&lt;=0.6*AR172*1.1,"OK","REDIS")</f>
        <v>REDIS</v>
      </c>
      <c r="AT177" s="24" t="s">
        <v>517</v>
      </c>
      <c r="AU177" s="174">
        <f>+AW174*(AP177/100000)/((AN174-AK174)/1000/4)/(AU174-2)</f>
        <v>11.486124999999998</v>
      </c>
      <c r="AV177" s="24"/>
      <c r="AW177" s="161"/>
      <c r="AX177" s="156" t="s">
        <v>522</v>
      </c>
      <c r="AY177" s="181">
        <f>IF(AY175=(1+3/8),+AV174/3,IF(AY175=(1+1/8),+AV174/6,IF(AY175=1,+AV174/8,IF(AY175=(7/8),+AV174/11,IF(AY175=0.75,+AV174/18,IF(AY175=(9/16),+AV174/45,IF(AY175=(7/16),+AV174/84,"NO HAY DATO")))))))</f>
        <v>1.3333333333333333</v>
      </c>
      <c r="AZ177" s="167" t="s">
        <v>527</v>
      </c>
      <c r="BA177" s="176"/>
      <c r="BB177" s="164" t="s">
        <v>523</v>
      </c>
      <c r="BC177" s="129">
        <f>+BC176*BC175*2.54/100</f>
        <v>2.4384000000000001</v>
      </c>
      <c r="BD177" s="173" t="s">
        <v>528</v>
      </c>
      <c r="BE177" s="130"/>
      <c r="BG177" s="111"/>
      <c r="BH177" s="9"/>
      <c r="BI177" s="125"/>
      <c r="BJ177" s="125"/>
      <c r="BK177" s="44"/>
      <c r="BL177" s="44"/>
      <c r="BM177" s="126"/>
      <c r="BN177" s="44"/>
      <c r="BO177" s="44"/>
      <c r="BP177" s="44"/>
      <c r="BQ177" s="126"/>
      <c r="BR177" s="44"/>
      <c r="BS177" s="44"/>
      <c r="BT177" s="44"/>
      <c r="BU177" s="44"/>
      <c r="BV177" s="44"/>
    </row>
    <row r="178" spans="1:74" ht="15" hidden="1" x14ac:dyDescent="0.25">
      <c r="A178" s="216" t="s">
        <v>665</v>
      </c>
      <c r="B178" s="216" t="s">
        <v>625</v>
      </c>
      <c r="C178" s="216" t="s">
        <v>389</v>
      </c>
      <c r="D178" s="216">
        <v>-0.99350000000000005</v>
      </c>
      <c r="E178" s="216">
        <v>3.0097</v>
      </c>
      <c r="F178" s="216">
        <v>0.32900000000000001</v>
      </c>
      <c r="G178" s="216">
        <v>-5.2674599999999998</v>
      </c>
      <c r="H178" s="216">
        <v>-0.89185999999999999</v>
      </c>
      <c r="I178" s="216">
        <v>2.8000000000000001E-2</v>
      </c>
      <c r="K178" s="25" t="s">
        <v>357</v>
      </c>
      <c r="L178" s="26" t="s">
        <v>358</v>
      </c>
      <c r="M178" s="27" t="s">
        <v>359</v>
      </c>
      <c r="N178" s="27" t="s">
        <v>360</v>
      </c>
      <c r="O178" s="27" t="s">
        <v>361</v>
      </c>
      <c r="P178" s="27" t="s">
        <v>362</v>
      </c>
      <c r="Q178" s="27" t="s">
        <v>363</v>
      </c>
      <c r="R178" s="28" t="s">
        <v>364</v>
      </c>
      <c r="S178" s="17"/>
      <c r="T178" s="29" t="s">
        <v>365</v>
      </c>
      <c r="U178" s="29" t="s">
        <v>358</v>
      </c>
      <c r="V178" s="30" t="s">
        <v>361</v>
      </c>
      <c r="W178" s="30" t="s">
        <v>362</v>
      </c>
      <c r="X178" s="30" t="s">
        <v>363</v>
      </c>
      <c r="Y178" s="29" t="s">
        <v>366</v>
      </c>
      <c r="Z178" s="31" t="s">
        <v>367</v>
      </c>
      <c r="AA178" s="23" t="s">
        <v>368</v>
      </c>
      <c r="AB178" s="23" t="s">
        <v>369</v>
      </c>
      <c r="AC178" s="22" t="s">
        <v>0</v>
      </c>
      <c r="AD178" s="22" t="s">
        <v>1</v>
      </c>
      <c r="AE178" s="22" t="s">
        <v>370</v>
      </c>
      <c r="AF178" s="22" t="s">
        <v>371</v>
      </c>
      <c r="AG178" s="22" t="s">
        <v>372</v>
      </c>
      <c r="AH178" s="32" t="s">
        <v>373</v>
      </c>
      <c r="AJ178" s="143" t="s">
        <v>365</v>
      </c>
      <c r="AK178" s="144" t="s">
        <v>498</v>
      </c>
      <c r="AL178" s="145"/>
      <c r="AM178" s="139"/>
      <c r="AN178" s="146" t="s">
        <v>499</v>
      </c>
      <c r="AO178" s="145"/>
      <c r="AP178" s="139"/>
      <c r="AQ178" s="147" t="s">
        <v>506</v>
      </c>
      <c r="AR178" s="48">
        <v>3500</v>
      </c>
      <c r="AS178" s="147" t="s">
        <v>405</v>
      </c>
      <c r="AT178" s="146" t="s">
        <v>512</v>
      </c>
      <c r="AU178" s="145"/>
      <c r="AV178" s="145"/>
      <c r="AW178" s="145"/>
      <c r="AX178" s="163" t="s">
        <v>532</v>
      </c>
      <c r="AY178" s="157" t="s">
        <v>515</v>
      </c>
      <c r="AZ178" s="169">
        <v>6.9</v>
      </c>
      <c r="BA178" s="171" t="str">
        <f>IF(MAX(AU182:AU183)&lt;=AZ178,"OK","REDIS")</f>
        <v>REDIS</v>
      </c>
      <c r="BB178" s="163" t="s">
        <v>536</v>
      </c>
      <c r="BC178" s="170" t="s">
        <v>515</v>
      </c>
      <c r="BD178" s="169">
        <v>8.36</v>
      </c>
      <c r="BE178" s="171" t="str">
        <f>IF(MAX(AU182:AU183)&lt;=BD178,"OK","REDIS")</f>
        <v>REDIS</v>
      </c>
      <c r="BG178" s="9"/>
      <c r="BH178" s="16"/>
      <c r="BI178" s="208"/>
      <c r="BJ178" s="124"/>
      <c r="BK178" s="63"/>
      <c r="BL178" s="63"/>
      <c r="BM178" s="125"/>
      <c r="BN178" s="133"/>
      <c r="BO178" s="44"/>
      <c r="BP178" s="64"/>
      <c r="BQ178" s="125"/>
      <c r="BS178" s="63"/>
      <c r="BT178" s="63"/>
      <c r="BU178" s="63"/>
      <c r="BV178" s="63"/>
    </row>
    <row r="179" spans="1:74" ht="15" hidden="1" x14ac:dyDescent="0.25">
      <c r="A179" s="216" t="s">
        <v>666</v>
      </c>
      <c r="B179" s="216" t="s">
        <v>351</v>
      </c>
      <c r="C179" s="216" t="s">
        <v>352</v>
      </c>
      <c r="D179" s="216">
        <v>-0.45889999999999997</v>
      </c>
      <c r="E179" s="216">
        <v>-1.1065</v>
      </c>
      <c r="F179" s="216">
        <v>10.748200000000001</v>
      </c>
      <c r="G179" s="216">
        <v>0.72823000000000004</v>
      </c>
      <c r="H179" s="216">
        <v>-0.46203</v>
      </c>
      <c r="I179" s="216">
        <v>1.7000000000000001E-4</v>
      </c>
      <c r="K179" s="33" t="str">
        <f>+A179</f>
        <v>86</v>
      </c>
      <c r="L179" s="17" t="s">
        <v>374</v>
      </c>
      <c r="M179" s="34">
        <f t="shared" ref="M179:R179" si="223">D179+D180</f>
        <v>-0.73909999999999998</v>
      </c>
      <c r="N179" s="34">
        <f t="shared" si="223"/>
        <v>-1.7545000000000002</v>
      </c>
      <c r="O179" s="34">
        <f t="shared" si="223"/>
        <v>16.455200000000001</v>
      </c>
      <c r="P179" s="34">
        <f t="shared" si="223"/>
        <v>1.15289</v>
      </c>
      <c r="Q179" s="34">
        <f t="shared" si="223"/>
        <v>-0.74287999999999998</v>
      </c>
      <c r="R179" s="35">
        <f t="shared" si="223"/>
        <v>2.6958E-4</v>
      </c>
      <c r="S179" s="17"/>
      <c r="T179" s="29" t="str">
        <f>K179</f>
        <v>86</v>
      </c>
      <c r="U179" s="29" t="s">
        <v>374</v>
      </c>
      <c r="V179" s="23">
        <f t="shared" ref="V179:X183" si="224">O179</f>
        <v>16.455200000000001</v>
      </c>
      <c r="W179" s="23">
        <f t="shared" si="224"/>
        <v>1.15289</v>
      </c>
      <c r="X179" s="23">
        <f t="shared" si="224"/>
        <v>-0.74287999999999998</v>
      </c>
      <c r="Y179" s="29">
        <v>15</v>
      </c>
      <c r="Z179" s="31">
        <f>ABS(V179)/AC179/AD179</f>
        <v>17.140833333333337</v>
      </c>
      <c r="AA179" s="23">
        <f>ABS(+W179/V179)</f>
        <v>7.0062351110895024E-2</v>
      </c>
      <c r="AB179" s="23">
        <f>ABS(X179/V179)</f>
        <v>4.5145607467548247E-2</v>
      </c>
      <c r="AC179" s="36">
        <v>0.6</v>
      </c>
      <c r="AD179" s="37">
        <v>1.6</v>
      </c>
      <c r="AE179" s="22">
        <f t="shared" ref="AE179:AF183" si="225">AC179-2*AA179</f>
        <v>0.4598752977782099</v>
      </c>
      <c r="AF179" s="22">
        <f t="shared" si="225"/>
        <v>1.5097087850649036</v>
      </c>
      <c r="AG179" s="22">
        <f>AF179*AE179</f>
        <v>0.69427777709010208</v>
      </c>
      <c r="AH179" s="38">
        <f>V179/AG179</f>
        <v>23.701176305783552</v>
      </c>
      <c r="AJ179" s="48" t="str">
        <f>+K179</f>
        <v>86</v>
      </c>
      <c r="AK179" s="147" t="s">
        <v>0</v>
      </c>
      <c r="AL179" s="147" t="s">
        <v>1</v>
      </c>
      <c r="AM179" s="147" t="s">
        <v>438</v>
      </c>
      <c r="AN179" s="147" t="s">
        <v>503</v>
      </c>
      <c r="AO179" s="147" t="s">
        <v>504</v>
      </c>
      <c r="AP179" s="147" t="s">
        <v>323</v>
      </c>
      <c r="AQ179" s="48"/>
      <c r="AR179" s="48"/>
      <c r="AS179" s="48"/>
      <c r="AT179" s="147" t="s">
        <v>0</v>
      </c>
      <c r="AU179" s="147" t="s">
        <v>1</v>
      </c>
      <c r="AV179" s="147" t="s">
        <v>513</v>
      </c>
      <c r="AW179" s="159" t="s">
        <v>520</v>
      </c>
      <c r="AX179" s="141" t="s">
        <v>530</v>
      </c>
      <c r="AY179" s="157" t="s">
        <v>178</v>
      </c>
      <c r="AZ179" s="44">
        <v>12</v>
      </c>
      <c r="BA179" s="172" t="str">
        <f>IF(AW182&lt;=AZ179,"OK","REDIS")</f>
        <v>OK</v>
      </c>
      <c r="BB179" s="141" t="s">
        <v>535</v>
      </c>
      <c r="BC179" s="120" t="s">
        <v>178</v>
      </c>
      <c r="BD179" s="44">
        <v>4.3</v>
      </c>
      <c r="BE179" s="172" t="str">
        <f>IF(AW182&lt;=BD179,"OK","REDIS")</f>
        <v>OK</v>
      </c>
      <c r="BG179" s="113"/>
      <c r="BH179" s="68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126"/>
      <c r="BV179" s="63"/>
    </row>
    <row r="180" spans="1:74" ht="15" hidden="1" x14ac:dyDescent="0.25">
      <c r="A180" s="216" t="s">
        <v>666</v>
      </c>
      <c r="B180" s="216" t="s">
        <v>353</v>
      </c>
      <c r="C180" s="216" t="s">
        <v>352</v>
      </c>
      <c r="D180" s="216">
        <v>-0.2802</v>
      </c>
      <c r="E180" s="216">
        <v>-0.64800000000000002</v>
      </c>
      <c r="F180" s="216">
        <v>5.7069999999999999</v>
      </c>
      <c r="G180" s="216">
        <v>0.42465999999999998</v>
      </c>
      <c r="H180" s="216">
        <v>-0.28084999999999999</v>
      </c>
      <c r="I180" s="216">
        <v>9.9580000000000005E-5</v>
      </c>
      <c r="K180" s="33"/>
      <c r="L180" s="17" t="s">
        <v>375</v>
      </c>
      <c r="M180" s="34">
        <f t="shared" ref="M180:R180" si="226">D179+0.25*D180+D181</f>
        <v>-0.71455000000000002</v>
      </c>
      <c r="N180" s="34">
        <f t="shared" si="226"/>
        <v>-1.4156</v>
      </c>
      <c r="O180" s="34">
        <f t="shared" si="226"/>
        <v>12.15545</v>
      </c>
      <c r="P180" s="34">
        <f t="shared" si="226"/>
        <v>1.302845</v>
      </c>
      <c r="Q180" s="34">
        <f t="shared" si="226"/>
        <v>-0.87745249999999997</v>
      </c>
      <c r="R180" s="35">
        <f t="shared" si="226"/>
        <v>-6.5104999999999953E-5</v>
      </c>
      <c r="S180" s="17"/>
      <c r="T180" s="29"/>
      <c r="U180" s="29" t="s">
        <v>375</v>
      </c>
      <c r="V180" s="23">
        <f t="shared" si="224"/>
        <v>12.15545</v>
      </c>
      <c r="W180" s="23">
        <f t="shared" si="224"/>
        <v>1.302845</v>
      </c>
      <c r="X180" s="23">
        <f t="shared" si="224"/>
        <v>-0.87745249999999997</v>
      </c>
      <c r="Y180" s="29">
        <f>1.33*Y179</f>
        <v>19.950000000000003</v>
      </c>
      <c r="Z180" s="31">
        <f>ABS(V180)/AC180/AD180</f>
        <v>12.661927083333332</v>
      </c>
      <c r="AA180" s="23">
        <f>ABS(+W180/V180)</f>
        <v>0.1071819636459366</v>
      </c>
      <c r="AB180" s="23">
        <f>ABS(X180/V180)</f>
        <v>7.2185933058833696E-2</v>
      </c>
      <c r="AC180" s="36">
        <f t="shared" ref="AC180:AD183" si="227">AC179</f>
        <v>0.6</v>
      </c>
      <c r="AD180" s="37">
        <f t="shared" si="227"/>
        <v>1.6</v>
      </c>
      <c r="AE180" s="22">
        <f t="shared" si="225"/>
        <v>0.38563607270812678</v>
      </c>
      <c r="AF180" s="22">
        <f t="shared" si="225"/>
        <v>1.4556281338823327</v>
      </c>
      <c r="AG180" s="22">
        <f>AF180*AE180</f>
        <v>0.56134271687384218</v>
      </c>
      <c r="AH180" s="38">
        <f>V180/AG180</f>
        <v>21.654240154204853</v>
      </c>
      <c r="AJ180" s="147" t="s">
        <v>539</v>
      </c>
      <c r="AK180" s="148">
        <v>300</v>
      </c>
      <c r="AL180" s="148">
        <v>160</v>
      </c>
      <c r="AM180" s="148">
        <v>4</v>
      </c>
      <c r="AN180" s="149">
        <v>450</v>
      </c>
      <c r="AO180" s="149">
        <v>250</v>
      </c>
      <c r="AP180" s="149">
        <v>22</v>
      </c>
      <c r="AQ180" s="48"/>
      <c r="AR180" s="48"/>
      <c r="AS180" s="48"/>
      <c r="AT180" s="48">
        <v>3</v>
      </c>
      <c r="AU180" s="48">
        <v>3</v>
      </c>
      <c r="AV180" s="149">
        <f>+AT180*2+(AU180-2)*2</f>
        <v>8</v>
      </c>
      <c r="AW180" s="159">
        <v>1.2</v>
      </c>
      <c r="AX180" s="155" t="s">
        <v>538</v>
      </c>
      <c r="AY180" s="180">
        <f>+AV180</f>
        <v>8</v>
      </c>
      <c r="BA180" s="154"/>
      <c r="BB180" s="177" t="s">
        <v>537</v>
      </c>
      <c r="BC180" s="179">
        <v>1</v>
      </c>
      <c r="BD180" s="166" t="s">
        <v>526</v>
      </c>
      <c r="BE180" s="154"/>
      <c r="BG180" s="113"/>
      <c r="BH180" s="68"/>
      <c r="BI180" s="114"/>
      <c r="BJ180" s="45"/>
      <c r="BK180" s="63"/>
      <c r="BL180" s="63"/>
      <c r="BM180" s="63"/>
      <c r="BN180" s="70"/>
      <c r="BO180" s="70"/>
      <c r="BP180" s="44"/>
      <c r="BQ180" s="63"/>
      <c r="BR180" s="44"/>
      <c r="BS180" s="70"/>
      <c r="BT180" s="70"/>
      <c r="BU180" s="207"/>
      <c r="BV180" s="63"/>
    </row>
    <row r="181" spans="1:74" ht="15" hidden="1" x14ac:dyDescent="0.25">
      <c r="A181" s="216" t="s">
        <v>666</v>
      </c>
      <c r="B181" s="216" t="s">
        <v>354</v>
      </c>
      <c r="C181" s="216" t="s">
        <v>352</v>
      </c>
      <c r="D181" s="216">
        <v>-0.18559999999999999</v>
      </c>
      <c r="E181" s="216">
        <v>-0.14710000000000001</v>
      </c>
      <c r="F181" s="216">
        <v>-1.95E-2</v>
      </c>
      <c r="G181" s="216">
        <v>0.46844999999999998</v>
      </c>
      <c r="H181" s="216">
        <v>-0.34521000000000002</v>
      </c>
      <c r="I181" s="216">
        <v>-2.5999999999999998E-4</v>
      </c>
      <c r="K181" s="33"/>
      <c r="L181" s="17" t="s">
        <v>376</v>
      </c>
      <c r="M181" s="34">
        <f t="shared" ref="M181:R181" si="228">D179+0.25*D180-D181</f>
        <v>-0.34335000000000004</v>
      </c>
      <c r="N181" s="34">
        <f t="shared" si="228"/>
        <v>-1.1214</v>
      </c>
      <c r="O181" s="34">
        <f t="shared" si="228"/>
        <v>12.194450000000002</v>
      </c>
      <c r="P181" s="34">
        <f t="shared" si="228"/>
        <v>0.36594500000000002</v>
      </c>
      <c r="Q181" s="34">
        <f t="shared" si="228"/>
        <v>-0.18703249999999993</v>
      </c>
      <c r="R181" s="35">
        <f t="shared" si="228"/>
        <v>4.5489499999999997E-4</v>
      </c>
      <c r="S181" s="17"/>
      <c r="T181" s="29"/>
      <c r="U181" s="29" t="s">
        <v>376</v>
      </c>
      <c r="V181" s="23">
        <f t="shared" si="224"/>
        <v>12.194450000000002</v>
      </c>
      <c r="W181" s="23">
        <f t="shared" si="224"/>
        <v>0.36594500000000002</v>
      </c>
      <c r="X181" s="23">
        <f t="shared" si="224"/>
        <v>-0.18703249999999993</v>
      </c>
      <c r="Y181" s="29"/>
      <c r="Z181" s="31">
        <f>ABS(V181)/AC181/AD181</f>
        <v>12.702552083333336</v>
      </c>
      <c r="AA181" s="23">
        <f>ABS(+W181/V181)</f>
        <v>3.0009143503807057E-2</v>
      </c>
      <c r="AB181" s="23">
        <f>ABS(X181/V181)</f>
        <v>1.5337510096806327E-2</v>
      </c>
      <c r="AC181" s="36">
        <f t="shared" si="227"/>
        <v>0.6</v>
      </c>
      <c r="AD181" s="37">
        <f t="shared" si="227"/>
        <v>1.6</v>
      </c>
      <c r="AE181" s="22">
        <f t="shared" si="225"/>
        <v>0.53998171299238584</v>
      </c>
      <c r="AF181" s="22">
        <f t="shared" si="225"/>
        <v>1.5693249798063875</v>
      </c>
      <c r="AG181" s="22">
        <f>AF181*AE181</f>
        <v>0.8474067908375944</v>
      </c>
      <c r="AH181" s="38">
        <f>V181/AG181</f>
        <v>14.390314229069082</v>
      </c>
      <c r="AJ181" s="146" t="s">
        <v>514</v>
      </c>
      <c r="AK181" s="145"/>
      <c r="AL181" s="145"/>
      <c r="AM181" s="145"/>
      <c r="AN181" s="139"/>
      <c r="AO181" s="146" t="s">
        <v>507</v>
      </c>
      <c r="AP181" s="145" t="s">
        <v>626</v>
      </c>
      <c r="AQ181" s="145">
        <f>0.6*AR178</f>
        <v>2100</v>
      </c>
      <c r="AR181" s="212" t="s">
        <v>627</v>
      </c>
      <c r="AS181" s="211">
        <f>+AR182+AR183</f>
        <v>3884.8387461260336</v>
      </c>
      <c r="AT181" s="48" t="s">
        <v>515</v>
      </c>
      <c r="AU181" s="48"/>
      <c r="AV181" s="48" t="s">
        <v>518</v>
      </c>
      <c r="AW181" s="160"/>
      <c r="AX181" s="155" t="s">
        <v>524</v>
      </c>
      <c r="AY181" s="182">
        <f>IF(BC180=(1+1/4),+(1+3/8),IF(BC180=1,(1+1/8),IF(BC180=(7/8),1,IF(BC180=(3/4),+(7/8),IF(BC180=(5/8),+(3/4),IF(BC180=(1/2),(9/16),IF(BC180=(3/8),+(7/16),"no valido")))))))</f>
        <v>1.125</v>
      </c>
      <c r="AZ181" s="165" t="s">
        <v>526</v>
      </c>
      <c r="BA181" s="172" t="s">
        <v>531</v>
      </c>
      <c r="BB181" s="178" t="s">
        <v>529</v>
      </c>
      <c r="BC181" s="158">
        <f>+AY182+3</f>
        <v>12</v>
      </c>
      <c r="BD181" s="166" t="s">
        <v>526</v>
      </c>
      <c r="BE181" s="172" t="s">
        <v>531</v>
      </c>
      <c r="BG181" s="113"/>
      <c r="BH181" s="68"/>
      <c r="BI181" s="209"/>
      <c r="BJ181" s="134"/>
      <c r="BK181" s="135"/>
      <c r="BL181" s="63"/>
      <c r="BM181" s="125"/>
      <c r="BN181" s="133"/>
      <c r="BO181" s="44"/>
      <c r="BR181" s="135"/>
      <c r="BS181" s="63"/>
      <c r="BT181" s="125"/>
      <c r="BU181" s="133"/>
      <c r="BV181" s="44"/>
    </row>
    <row r="182" spans="1:74" ht="15" hidden="1" x14ac:dyDescent="0.25">
      <c r="A182" s="216" t="s">
        <v>666</v>
      </c>
      <c r="B182" s="216" t="s">
        <v>355</v>
      </c>
      <c r="C182" s="216" t="s">
        <v>352</v>
      </c>
      <c r="D182" s="216">
        <v>-4.2599999999999999E-2</v>
      </c>
      <c r="E182" s="216">
        <v>-1.5843</v>
      </c>
      <c r="F182" s="216">
        <v>-2.1093000000000002</v>
      </c>
      <c r="G182" s="216">
        <v>4.38856</v>
      </c>
      <c r="H182" s="216">
        <v>-9.5659999999999995E-2</v>
      </c>
      <c r="I182" s="216">
        <v>1.7989999999999999E-5</v>
      </c>
      <c r="K182" s="33"/>
      <c r="L182" s="17" t="s">
        <v>377</v>
      </c>
      <c r="M182" s="34">
        <f t="shared" ref="M182:R182" si="229">D179+0.25*D180+D182</f>
        <v>-0.57155</v>
      </c>
      <c r="N182" s="34">
        <f t="shared" si="229"/>
        <v>-2.8528000000000002</v>
      </c>
      <c r="O182" s="34">
        <f t="shared" si="229"/>
        <v>10.065650000000002</v>
      </c>
      <c r="P182" s="34">
        <f t="shared" si="229"/>
        <v>5.2229549999999998</v>
      </c>
      <c r="Q182" s="34">
        <f t="shared" si="229"/>
        <v>-0.62790249999999992</v>
      </c>
      <c r="R182" s="35">
        <f t="shared" si="229"/>
        <v>2.1288500000000003E-4</v>
      </c>
      <c r="S182" s="17"/>
      <c r="T182" s="29"/>
      <c r="U182" s="29" t="s">
        <v>377</v>
      </c>
      <c r="V182" s="23">
        <f t="shared" si="224"/>
        <v>10.065650000000002</v>
      </c>
      <c r="W182" s="23">
        <f t="shared" si="224"/>
        <v>5.2229549999999998</v>
      </c>
      <c r="X182" s="23">
        <f t="shared" si="224"/>
        <v>-0.62790249999999992</v>
      </c>
      <c r="Y182" s="29"/>
      <c r="Z182" s="31">
        <f>ABS(V182)/AC182/AD182</f>
        <v>10.485052083333334</v>
      </c>
      <c r="AA182" s="23">
        <f>ABS(+W182/V182)</f>
        <v>0.51888899375599185</v>
      </c>
      <c r="AB182" s="23">
        <f>ABS(X182/V182)</f>
        <v>6.2380720569461465E-2</v>
      </c>
      <c r="AC182" s="36">
        <f t="shared" si="227"/>
        <v>0.6</v>
      </c>
      <c r="AD182" s="37">
        <f t="shared" si="227"/>
        <v>1.6</v>
      </c>
      <c r="AE182" s="22">
        <f t="shared" si="225"/>
        <v>-0.43777798751198371</v>
      </c>
      <c r="AF182" s="22">
        <f t="shared" si="225"/>
        <v>1.4752385588610772</v>
      </c>
      <c r="AG182" s="22">
        <f>AF182*AE182</f>
        <v>-0.64582696739828149</v>
      </c>
      <c r="AH182" s="38">
        <f>V182/AG182</f>
        <v>-15.585676207590934</v>
      </c>
      <c r="AJ182" s="147" t="s">
        <v>500</v>
      </c>
      <c r="AK182" s="24">
        <f>(MAX(V179:V183)+ABS(MAX(W179:W183))/(AL180/1000))*1000</f>
        <v>49098.668750000004</v>
      </c>
      <c r="AL182" s="150" t="s">
        <v>502</v>
      </c>
      <c r="AM182" s="24">
        <f>+ABS(MAX(AK182:AK183))/(+AK180*2/10+AL180*2/10)/(AP180/10)</f>
        <v>242.58235548418972</v>
      </c>
      <c r="AN182" s="151" t="str">
        <f>IF(AM182&lt;=AM183,"OK","REDIS")</f>
        <v>OK</v>
      </c>
      <c r="AO182" s="150" t="s">
        <v>508</v>
      </c>
      <c r="AP182" s="24">
        <f>((AO180/10/2-AL180/10/2)/2)*((MAX(ABS(MAX(W179:W183)),ABS(MIN(W179:W183)))*100000))/(AL180/10)</f>
        <v>73447.8046875</v>
      </c>
      <c r="AQ182" s="150" t="s">
        <v>510</v>
      </c>
      <c r="AR182" s="24">
        <f>+AP182/(AK180*AP180*AP180/6/10/10/10)</f>
        <v>3035.033251549587</v>
      </c>
      <c r="AS182" s="152" t="str">
        <f>IF(AR182&lt;=0.6*AR178*1.1,"OK","REDIS")</f>
        <v>REDIS</v>
      </c>
      <c r="AT182" s="24" t="s">
        <v>516</v>
      </c>
      <c r="AU182" s="174">
        <f>+AW180*(AP182/100000)/((AO180-AL180)/1000/4)/(AT180-1)</f>
        <v>19.586081249999999</v>
      </c>
      <c r="AV182" s="24" t="s">
        <v>519</v>
      </c>
      <c r="AW182" s="175">
        <f>+AW180*(ABS(MAX(M179:M183))+ABS(MIN(M179:M183)+ABS(MAX(N179:N183))+ABS(MIN(N179:N183))))/AV180</f>
        <v>0.41592750000000006</v>
      </c>
      <c r="AX182" s="155" t="s">
        <v>525</v>
      </c>
      <c r="AY182" s="182">
        <f>IF(BC180=(1+1/4),+(11-1/4),IF(BC180=1,(9),IF(BC180=(7/8),(7-7/8),IF(BC180=(3/4),+(6-3/4),IF(BC180=(5/8),+(5-5/8),IF(BC180=(1/2),(4-1/2),IF(BC180=(3-3/8),+(7/16),"no valido")))))))</f>
        <v>9</v>
      </c>
      <c r="AZ182" s="166" t="s">
        <v>526</v>
      </c>
      <c r="BA182" s="168" t="s">
        <v>533</v>
      </c>
      <c r="BB182" s="153" t="s">
        <v>521</v>
      </c>
      <c r="BC182" s="44">
        <f>+AV180</f>
        <v>8</v>
      </c>
      <c r="BD182" s="166" t="s">
        <v>527</v>
      </c>
      <c r="BE182" s="162" t="s">
        <v>534</v>
      </c>
      <c r="BG182" s="113"/>
      <c r="BH182" s="68"/>
      <c r="BI182" s="136"/>
      <c r="BJ182" s="128"/>
      <c r="BK182" s="111"/>
      <c r="BL182" s="16"/>
      <c r="BM182" s="63"/>
      <c r="BN182" s="44"/>
      <c r="BO182" s="126"/>
      <c r="BR182" s="111"/>
      <c r="BS182" s="16"/>
      <c r="BT182" s="63"/>
      <c r="BU182" s="44"/>
      <c r="BV182" s="126"/>
    </row>
    <row r="183" spans="1:74" ht="15" hidden="1" x14ac:dyDescent="0.25">
      <c r="A183" s="216" t="s">
        <v>666</v>
      </c>
      <c r="B183" s="216" t="s">
        <v>624</v>
      </c>
      <c r="C183" s="216" t="s">
        <v>389</v>
      </c>
      <c r="D183" s="216">
        <v>-0.64249999999999996</v>
      </c>
      <c r="E183" s="216">
        <v>-1.5490999999999999</v>
      </c>
      <c r="F183" s="216">
        <v>15.047499999999999</v>
      </c>
      <c r="G183" s="216">
        <v>1.01952</v>
      </c>
      <c r="H183" s="216">
        <v>-0.64685000000000004</v>
      </c>
      <c r="I183" s="216">
        <v>2.4000000000000001E-4</v>
      </c>
      <c r="K183" s="39"/>
      <c r="L183" s="40" t="s">
        <v>378</v>
      </c>
      <c r="M183" s="41">
        <f t="shared" ref="M183:R183" si="230">D179+0.25*D180-D182</f>
        <v>-0.48635000000000006</v>
      </c>
      <c r="N183" s="41">
        <f t="shared" si="230"/>
        <v>0.31580000000000008</v>
      </c>
      <c r="O183" s="41">
        <f t="shared" si="230"/>
        <v>14.28425</v>
      </c>
      <c r="P183" s="41">
        <f t="shared" si="230"/>
        <v>-3.5541650000000002</v>
      </c>
      <c r="Q183" s="41">
        <f t="shared" si="230"/>
        <v>-0.43658249999999998</v>
      </c>
      <c r="R183" s="42">
        <f t="shared" si="230"/>
        <v>1.7690500000000001E-4</v>
      </c>
      <c r="S183" s="17"/>
      <c r="T183" s="29"/>
      <c r="U183" s="29" t="s">
        <v>378</v>
      </c>
      <c r="V183" s="23">
        <f t="shared" si="224"/>
        <v>14.28425</v>
      </c>
      <c r="W183" s="23">
        <f t="shared" si="224"/>
        <v>-3.5541650000000002</v>
      </c>
      <c r="X183" s="23">
        <f t="shared" si="224"/>
        <v>-0.43658249999999998</v>
      </c>
      <c r="Y183" s="29"/>
      <c r="Z183" s="31">
        <f>ABS(V183)/AC183/AD183</f>
        <v>14.879427083333333</v>
      </c>
      <c r="AA183" s="23">
        <f>ABS(+W183/V183)</f>
        <v>0.24881705374800919</v>
      </c>
      <c r="AB183" s="23">
        <f>ABS(X183/V183)</f>
        <v>3.0563907800549555E-2</v>
      </c>
      <c r="AC183" s="36">
        <f t="shared" si="227"/>
        <v>0.6</v>
      </c>
      <c r="AD183" s="37">
        <f t="shared" si="227"/>
        <v>1.6</v>
      </c>
      <c r="AE183" s="22">
        <f t="shared" si="225"/>
        <v>0.10236589250398159</v>
      </c>
      <c r="AF183" s="22">
        <f t="shared" si="225"/>
        <v>1.5388721843989011</v>
      </c>
      <c r="AG183" s="22">
        <f>AF183*AE183</f>
        <v>0.15752802460554524</v>
      </c>
      <c r="AH183" s="38">
        <f>V183/AG183</f>
        <v>90.677516180172873</v>
      </c>
      <c r="AJ183" s="147" t="s">
        <v>501</v>
      </c>
      <c r="AK183" s="24">
        <f>(MAX(V179:V183)+ABS(MAX(X179:X183))/(AK180/1000))*1000</f>
        <v>17078.64166666667</v>
      </c>
      <c r="AL183" s="150" t="s">
        <v>505</v>
      </c>
      <c r="AM183" s="24">
        <f>+AR178*0.4/3</f>
        <v>466.66666666666669</v>
      </c>
      <c r="AN183" s="24"/>
      <c r="AO183" s="150" t="s">
        <v>509</v>
      </c>
      <c r="AP183" s="24">
        <f>((AN180/10/2-AK180/10/2)/2)*(MAX(+ABS(MAX(X179:X183)),ABS(MIN(X179:X183)))*100000/(AK180/10))</f>
        <v>10968.15625</v>
      </c>
      <c r="AQ183" s="150" t="s">
        <v>511</v>
      </c>
      <c r="AR183" s="24">
        <f>+AP183/(AL180*AP180*AP180/6/1000)</f>
        <v>849.80549457644634</v>
      </c>
      <c r="AS183" s="152" t="str">
        <f>IF(AR183&lt;=0.6*AR178*1.1,"OK","REDIS")</f>
        <v>OK</v>
      </c>
      <c r="AT183" s="24" t="s">
        <v>517</v>
      </c>
      <c r="AU183" s="174">
        <f>+AW180*(AP183/100000)/((AN180-AK180)/1000/4)/(AU180-1)</f>
        <v>1.7549049999999999</v>
      </c>
      <c r="AV183" s="24"/>
      <c r="AW183" s="161"/>
      <c r="AX183" s="156" t="s">
        <v>522</v>
      </c>
      <c r="AY183" s="181">
        <f>IF(AY181=(1+3/8),+AV180/3,IF(AY181=(1+1/8),+AV180/6,IF(AY181=1,+AV180/8,IF(AY181=(7/8),+AV180/11,IF(AY181=0.75,+AV180/18,IF(AY181=(9/16),+AV180/45,IF(AY181=(7/16),+AV180/84,"NO HAY DATO")))))))</f>
        <v>1.3333333333333333</v>
      </c>
      <c r="AZ183" s="167" t="s">
        <v>527</v>
      </c>
      <c r="BA183" s="176"/>
      <c r="BB183" s="164" t="s">
        <v>523</v>
      </c>
      <c r="BC183" s="129">
        <f>+BC182*BC181*2.54/100</f>
        <v>2.4384000000000001</v>
      </c>
      <c r="BD183" s="173" t="s">
        <v>528</v>
      </c>
      <c r="BE183" s="130"/>
      <c r="BG183" s="113"/>
      <c r="BH183" s="68"/>
      <c r="BI183" s="136"/>
      <c r="BJ183" s="128"/>
      <c r="BM183" s="137"/>
      <c r="BN183" s="63"/>
      <c r="BO183" s="125"/>
      <c r="BT183" s="137"/>
      <c r="BU183" s="63"/>
      <c r="BV183" s="125"/>
    </row>
    <row r="184" spans="1:74" ht="15" hidden="1" x14ac:dyDescent="0.25">
      <c r="A184" s="216" t="s">
        <v>666</v>
      </c>
      <c r="B184" s="216" t="s">
        <v>625</v>
      </c>
      <c r="C184" s="216" t="s">
        <v>389</v>
      </c>
      <c r="D184" s="216">
        <v>-0.3246</v>
      </c>
      <c r="E184" s="216">
        <v>0.69910000000000005</v>
      </c>
      <c r="F184" s="216">
        <v>10.7079</v>
      </c>
      <c r="G184" s="216">
        <v>-3.8059799999999999</v>
      </c>
      <c r="H184" s="216">
        <v>-0.27396999999999999</v>
      </c>
      <c r="I184" s="216">
        <v>1.2E-4</v>
      </c>
      <c r="K184" s="25" t="s">
        <v>357</v>
      </c>
      <c r="L184" s="26" t="s">
        <v>358</v>
      </c>
      <c r="M184" s="27" t="s">
        <v>359</v>
      </c>
      <c r="N184" s="27" t="s">
        <v>360</v>
      </c>
      <c r="O184" s="27" t="s">
        <v>361</v>
      </c>
      <c r="P184" s="27" t="s">
        <v>362</v>
      </c>
      <c r="Q184" s="27" t="s">
        <v>363</v>
      </c>
      <c r="R184" s="28" t="s">
        <v>364</v>
      </c>
      <c r="S184" s="17"/>
      <c r="T184" s="29" t="s">
        <v>365</v>
      </c>
      <c r="U184" s="29" t="s">
        <v>358</v>
      </c>
      <c r="V184" s="30" t="s">
        <v>361</v>
      </c>
      <c r="W184" s="30" t="s">
        <v>362</v>
      </c>
      <c r="X184" s="30" t="s">
        <v>363</v>
      </c>
      <c r="Y184" s="29" t="s">
        <v>366</v>
      </c>
      <c r="Z184" s="31" t="s">
        <v>367</v>
      </c>
      <c r="AA184" s="23" t="s">
        <v>368</v>
      </c>
      <c r="AB184" s="23" t="s">
        <v>369</v>
      </c>
      <c r="AC184" s="22" t="s">
        <v>0</v>
      </c>
      <c r="AD184" s="22" t="s">
        <v>1</v>
      </c>
      <c r="AE184" s="22" t="s">
        <v>370</v>
      </c>
      <c r="AF184" s="22" t="s">
        <v>371</v>
      </c>
      <c r="AG184" s="22" t="s">
        <v>372</v>
      </c>
      <c r="AH184" s="32" t="s">
        <v>373</v>
      </c>
      <c r="AJ184" s="143" t="s">
        <v>365</v>
      </c>
      <c r="AK184" s="144" t="s">
        <v>498</v>
      </c>
      <c r="AL184" s="145"/>
      <c r="AM184" s="139"/>
      <c r="AN184" s="146" t="s">
        <v>499</v>
      </c>
      <c r="AO184" s="145"/>
      <c r="AP184" s="139"/>
      <c r="AQ184" s="147" t="s">
        <v>506</v>
      </c>
      <c r="AR184" s="48">
        <v>3500</v>
      </c>
      <c r="AS184" s="147" t="s">
        <v>405</v>
      </c>
      <c r="AT184" s="146" t="s">
        <v>512</v>
      </c>
      <c r="AU184" s="145"/>
      <c r="AV184" s="145"/>
      <c r="AW184" s="145"/>
      <c r="AX184" s="163" t="s">
        <v>532</v>
      </c>
      <c r="AY184" s="157" t="s">
        <v>515</v>
      </c>
      <c r="AZ184" s="169">
        <v>6.9</v>
      </c>
      <c r="BA184" s="171" t="str">
        <f>IF(MAX(AU188:AU189)&lt;=AZ184,"OK","REDIS")</f>
        <v>OK</v>
      </c>
      <c r="BB184" s="163" t="s">
        <v>536</v>
      </c>
      <c r="BC184" s="170" t="s">
        <v>515</v>
      </c>
      <c r="BD184" s="169">
        <v>8.36</v>
      </c>
      <c r="BE184" s="171" t="str">
        <f>IF(MAX(AU188:AU189)&lt;=BD184,"OK","REDIS")</f>
        <v>OK</v>
      </c>
      <c r="BG184" s="113"/>
      <c r="BH184" s="68"/>
      <c r="BI184" s="136"/>
      <c r="BJ184" s="138"/>
      <c r="BM184" s="125"/>
      <c r="BN184" s="133"/>
      <c r="BO184" s="44"/>
      <c r="BT184" s="125"/>
      <c r="BU184" s="133"/>
      <c r="BV184" s="44"/>
    </row>
    <row r="185" spans="1:74" ht="15" hidden="1" x14ac:dyDescent="0.25">
      <c r="A185" s="216" t="s">
        <v>667</v>
      </c>
      <c r="B185" s="216" t="s">
        <v>351</v>
      </c>
      <c r="C185" s="216" t="s">
        <v>352</v>
      </c>
      <c r="D185" s="216">
        <v>-0.92330000000000001</v>
      </c>
      <c r="E185" s="216">
        <v>0.32819999999999999</v>
      </c>
      <c r="F185" s="216">
        <v>7.4726999999999997</v>
      </c>
      <c r="G185" s="216">
        <v>-0.34863</v>
      </c>
      <c r="H185" s="216">
        <v>-0.44144</v>
      </c>
      <c r="I185" s="216">
        <v>-1.4970000000000001E-5</v>
      </c>
      <c r="K185" s="33" t="str">
        <f>+A185</f>
        <v>87</v>
      </c>
      <c r="L185" s="17" t="s">
        <v>374</v>
      </c>
      <c r="M185" s="34">
        <f t="shared" ref="M185:R185" si="231">D185+D186</f>
        <v>-1.4828999999999999</v>
      </c>
      <c r="N185" s="34">
        <f t="shared" si="231"/>
        <v>0.52439999999999998</v>
      </c>
      <c r="O185" s="34">
        <f t="shared" si="231"/>
        <v>11.5947</v>
      </c>
      <c r="P185" s="34">
        <f t="shared" si="231"/>
        <v>-0.55713000000000001</v>
      </c>
      <c r="Q185" s="34">
        <f t="shared" si="231"/>
        <v>-0.70987</v>
      </c>
      <c r="R185" s="35">
        <f t="shared" si="231"/>
        <v>-2.1341000000000001E-5</v>
      </c>
      <c r="S185" s="17"/>
      <c r="T185" s="29" t="str">
        <f>K185</f>
        <v>87</v>
      </c>
      <c r="U185" s="29" t="s">
        <v>374</v>
      </c>
      <c r="V185" s="23">
        <f t="shared" ref="V185:X189" si="232">O185</f>
        <v>11.5947</v>
      </c>
      <c r="W185" s="23">
        <f t="shared" si="232"/>
        <v>-0.55713000000000001</v>
      </c>
      <c r="X185" s="23">
        <f t="shared" si="232"/>
        <v>-0.70987</v>
      </c>
      <c r="Y185" s="29">
        <v>15</v>
      </c>
      <c r="Z185" s="31">
        <f>ABS(V185)/AC185/AD185</f>
        <v>5.6836764705882352</v>
      </c>
      <c r="AA185" s="23">
        <f>ABS(+W185/V185)</f>
        <v>4.8050402338999716E-2</v>
      </c>
      <c r="AB185" s="23">
        <f>ABS(X185/V185)</f>
        <v>6.1223662535468792E-2</v>
      </c>
      <c r="AC185" s="36">
        <v>0.6</v>
      </c>
      <c r="AD185" s="37">
        <v>3.4</v>
      </c>
      <c r="AE185" s="22">
        <f t="shared" ref="AE185:AF189" si="233">AC185-2*AA185</f>
        <v>0.50389919532200056</v>
      </c>
      <c r="AF185" s="22">
        <f t="shared" si="233"/>
        <v>3.2775526749290624</v>
      </c>
      <c r="AG185" s="22">
        <f>AF185*AE185</f>
        <v>1.6515561555222251</v>
      </c>
      <c r="AH185" s="38">
        <f>V185/AG185</f>
        <v>7.0204697316717848</v>
      </c>
      <c r="AJ185" s="48" t="str">
        <f>+K185</f>
        <v>87</v>
      </c>
      <c r="AK185" s="147" t="s">
        <v>0</v>
      </c>
      <c r="AL185" s="147" t="s">
        <v>1</v>
      </c>
      <c r="AM185" s="147" t="s">
        <v>438</v>
      </c>
      <c r="AN185" s="147" t="s">
        <v>503</v>
      </c>
      <c r="AO185" s="147" t="s">
        <v>504</v>
      </c>
      <c r="AP185" s="147" t="s">
        <v>323</v>
      </c>
      <c r="AQ185" s="48"/>
      <c r="AR185" s="48"/>
      <c r="AS185" s="48"/>
      <c r="AT185" s="147" t="s">
        <v>0</v>
      </c>
      <c r="AU185" s="147" t="s">
        <v>1</v>
      </c>
      <c r="AV185" s="147" t="s">
        <v>513</v>
      </c>
      <c r="AW185" s="159" t="s">
        <v>520</v>
      </c>
      <c r="AX185" s="141" t="s">
        <v>530</v>
      </c>
      <c r="AY185" s="157" t="s">
        <v>178</v>
      </c>
      <c r="AZ185" s="44">
        <v>12</v>
      </c>
      <c r="BA185" s="172" t="str">
        <f>IF(AW188&lt;=AZ185,"OK","REDIS")</f>
        <v>OK</v>
      </c>
      <c r="BB185" s="141" t="s">
        <v>535</v>
      </c>
      <c r="BC185" s="120" t="s">
        <v>178</v>
      </c>
      <c r="BD185" s="44">
        <v>4.3</v>
      </c>
      <c r="BE185" s="172" t="str">
        <f>IF(AW188&lt;=BD185,"OK","REDIS")</f>
        <v>OK</v>
      </c>
      <c r="BG185" s="113"/>
      <c r="BH185" s="68"/>
      <c r="BI185" s="114"/>
      <c r="BJ185" s="45"/>
      <c r="BK185" s="63"/>
      <c r="BL185" s="63"/>
      <c r="BM185" s="63"/>
      <c r="BN185" s="70"/>
      <c r="BO185" s="70"/>
      <c r="BP185" s="44"/>
      <c r="BQ185" s="63"/>
      <c r="BR185" s="44"/>
      <c r="BS185" s="70"/>
      <c r="BT185" s="70"/>
      <c r="BU185" s="207"/>
      <c r="BV185" s="63"/>
    </row>
    <row r="186" spans="1:74" ht="15" hidden="1" x14ac:dyDescent="0.25">
      <c r="A186" s="216" t="s">
        <v>667</v>
      </c>
      <c r="B186" s="216" t="s">
        <v>353</v>
      </c>
      <c r="C186" s="216" t="s">
        <v>352</v>
      </c>
      <c r="D186" s="216">
        <v>-0.55959999999999999</v>
      </c>
      <c r="E186" s="216">
        <v>0.19620000000000001</v>
      </c>
      <c r="F186" s="216">
        <v>4.1219999999999999</v>
      </c>
      <c r="G186" s="216">
        <v>-0.20849999999999999</v>
      </c>
      <c r="H186" s="216">
        <v>-0.26843</v>
      </c>
      <c r="I186" s="216">
        <v>-6.3709999999999996E-6</v>
      </c>
      <c r="K186" s="33"/>
      <c r="L186" s="17" t="s">
        <v>375</v>
      </c>
      <c r="M186" s="34">
        <f t="shared" ref="M186:R186" si="234">D185+0.25*D186+D187</f>
        <v>-1.9533</v>
      </c>
      <c r="N186" s="34">
        <f t="shared" si="234"/>
        <v>0.34724999999999995</v>
      </c>
      <c r="O186" s="34">
        <f t="shared" si="234"/>
        <v>8.7774000000000001</v>
      </c>
      <c r="P186" s="34">
        <f t="shared" si="234"/>
        <v>-0.35309499999999999</v>
      </c>
      <c r="Q186" s="34">
        <f t="shared" si="234"/>
        <v>-2.8094875000000004</v>
      </c>
      <c r="R186" s="35">
        <f t="shared" si="234"/>
        <v>-1.7656275000000002E-4</v>
      </c>
      <c r="S186" s="17"/>
      <c r="T186" s="29"/>
      <c r="U186" s="29" t="s">
        <v>375</v>
      </c>
      <c r="V186" s="23">
        <f t="shared" si="232"/>
        <v>8.7774000000000001</v>
      </c>
      <c r="W186" s="23">
        <f t="shared" si="232"/>
        <v>-0.35309499999999999</v>
      </c>
      <c r="X186" s="23">
        <f t="shared" si="232"/>
        <v>-2.8094875000000004</v>
      </c>
      <c r="Y186" s="29">
        <f>1.33*Y185</f>
        <v>19.950000000000003</v>
      </c>
      <c r="Z186" s="31">
        <f>ABS(V186)/AC186/AD186</f>
        <v>4.3026470588235295</v>
      </c>
      <c r="AA186" s="23">
        <f>ABS(+W186/V186)</f>
        <v>4.0227743978854785E-2</v>
      </c>
      <c r="AB186" s="23">
        <f>ABS(X186/V186)</f>
        <v>0.32008197188233423</v>
      </c>
      <c r="AC186" s="36">
        <f t="shared" ref="AC186:AD189" si="235">AC185</f>
        <v>0.6</v>
      </c>
      <c r="AD186" s="37">
        <f t="shared" si="235"/>
        <v>3.4</v>
      </c>
      <c r="AE186" s="22">
        <f t="shared" si="233"/>
        <v>0.51954451204229035</v>
      </c>
      <c r="AF186" s="22">
        <f t="shared" si="233"/>
        <v>2.7598360562353315</v>
      </c>
      <c r="AG186" s="22">
        <f>AF186*AE186</f>
        <v>1.4338576771535043</v>
      </c>
      <c r="AH186" s="38">
        <f>V186/AG186</f>
        <v>6.1215280566931183</v>
      </c>
      <c r="AJ186" s="147" t="s">
        <v>539</v>
      </c>
      <c r="AK186" s="148">
        <v>300</v>
      </c>
      <c r="AL186" s="148">
        <v>160</v>
      </c>
      <c r="AM186" s="148">
        <v>4</v>
      </c>
      <c r="AN186" s="149">
        <v>450</v>
      </c>
      <c r="AO186" s="149">
        <v>250</v>
      </c>
      <c r="AP186" s="149">
        <v>22</v>
      </c>
      <c r="AQ186" s="48"/>
      <c r="AR186" s="48"/>
      <c r="AS186" s="48"/>
      <c r="AT186" s="48">
        <v>3</v>
      </c>
      <c r="AU186" s="48">
        <v>3</v>
      </c>
      <c r="AV186" s="149">
        <f>+AT186*2+(AU186-2)*2</f>
        <v>8</v>
      </c>
      <c r="AW186" s="159">
        <v>1.2</v>
      </c>
      <c r="AX186" s="155" t="s">
        <v>538</v>
      </c>
      <c r="AY186" s="180">
        <f>+AV186</f>
        <v>8</v>
      </c>
      <c r="BA186" s="154"/>
      <c r="BB186" s="177" t="s">
        <v>537</v>
      </c>
      <c r="BC186" s="179">
        <v>1</v>
      </c>
      <c r="BD186" s="166" t="s">
        <v>526</v>
      </c>
      <c r="BE186" s="154"/>
      <c r="BG186" s="109"/>
      <c r="BH186" s="142"/>
      <c r="BJ186" s="109"/>
      <c r="BK186" s="142"/>
      <c r="BM186" s="110"/>
      <c r="BN186" s="110"/>
      <c r="BO186" s="110"/>
      <c r="BP186" s="110"/>
    </row>
    <row r="187" spans="1:74" ht="15" hidden="1" x14ac:dyDescent="0.25">
      <c r="A187" s="216" t="s">
        <v>667</v>
      </c>
      <c r="B187" s="216" t="s">
        <v>354</v>
      </c>
      <c r="C187" s="216" t="s">
        <v>352</v>
      </c>
      <c r="D187" s="216">
        <v>-0.8901</v>
      </c>
      <c r="E187" s="216">
        <v>-0.03</v>
      </c>
      <c r="F187" s="216">
        <v>0.2742</v>
      </c>
      <c r="G187" s="216">
        <v>4.7660000000000001E-2</v>
      </c>
      <c r="H187" s="216">
        <v>-2.3009400000000002</v>
      </c>
      <c r="I187" s="216">
        <v>-1.6000000000000001E-4</v>
      </c>
      <c r="K187" s="33"/>
      <c r="L187" s="17" t="s">
        <v>376</v>
      </c>
      <c r="M187" s="34">
        <f t="shared" ref="M187:R187" si="236">D185+0.25*D186-D187</f>
        <v>-0.17309999999999992</v>
      </c>
      <c r="N187" s="34">
        <f t="shared" si="236"/>
        <v>0.40725</v>
      </c>
      <c r="O187" s="34">
        <f t="shared" si="236"/>
        <v>8.2289999999999992</v>
      </c>
      <c r="P187" s="34">
        <f t="shared" si="236"/>
        <v>-0.44841499999999995</v>
      </c>
      <c r="Q187" s="34">
        <f t="shared" si="236"/>
        <v>1.7923925000000001</v>
      </c>
      <c r="R187" s="35">
        <f t="shared" si="236"/>
        <v>1.4343725000000001E-4</v>
      </c>
      <c r="S187" s="17"/>
      <c r="T187" s="29"/>
      <c r="U187" s="29" t="s">
        <v>376</v>
      </c>
      <c r="V187" s="23">
        <f t="shared" si="232"/>
        <v>8.2289999999999992</v>
      </c>
      <c r="W187" s="23">
        <f t="shared" si="232"/>
        <v>-0.44841499999999995</v>
      </c>
      <c r="X187" s="23">
        <f t="shared" si="232"/>
        <v>1.7923925000000001</v>
      </c>
      <c r="Y187" s="29"/>
      <c r="Z187" s="31">
        <f>ABS(V187)/AC187/AD187</f>
        <v>4.033823529411765</v>
      </c>
      <c r="AA187" s="23">
        <f>ABS(+W187/V187)</f>
        <v>5.4492040345120916E-2</v>
      </c>
      <c r="AB187" s="23">
        <f>ABS(X187/V187)</f>
        <v>0.21781413294446472</v>
      </c>
      <c r="AC187" s="36">
        <f t="shared" si="235"/>
        <v>0.6</v>
      </c>
      <c r="AD187" s="37">
        <f t="shared" si="235"/>
        <v>3.4</v>
      </c>
      <c r="AE187" s="22">
        <f t="shared" si="233"/>
        <v>0.49101591930975813</v>
      </c>
      <c r="AF187" s="22">
        <f t="shared" si="233"/>
        <v>2.9643717341110705</v>
      </c>
      <c r="AG187" s="22">
        <f>AF187*AE187</f>
        <v>1.4555537122004092</v>
      </c>
      <c r="AH187" s="38">
        <f>V187/AG187</f>
        <v>5.653518610151421</v>
      </c>
      <c r="AJ187" s="146" t="s">
        <v>514</v>
      </c>
      <c r="AK187" s="145"/>
      <c r="AL187" s="145"/>
      <c r="AM187" s="145"/>
      <c r="AN187" s="139"/>
      <c r="AO187" s="146" t="s">
        <v>507</v>
      </c>
      <c r="AP187" s="145" t="s">
        <v>626</v>
      </c>
      <c r="AQ187" s="145">
        <f>0.6*AR184</f>
        <v>2100</v>
      </c>
      <c r="AR187" s="212" t="s">
        <v>627</v>
      </c>
      <c r="AS187" s="211">
        <f>+AR188+AR189</f>
        <v>3215.8869770144634</v>
      </c>
      <c r="AT187" s="48" t="s">
        <v>515</v>
      </c>
      <c r="AU187" s="48"/>
      <c r="AV187" s="48" t="s">
        <v>518</v>
      </c>
      <c r="AW187" s="160"/>
      <c r="AX187" s="155" t="s">
        <v>524</v>
      </c>
      <c r="AY187" s="182">
        <f>IF(BC186=(1+1/4),+(1+3/8),IF(BC186=1,(1+1/8),IF(BC186=(7/8),1,IF(BC186=(3/4),+(7/8),IF(BC186=(5/8),+(3/4),IF(BC186=(1/2),(9/16),IF(BC186=(3/8),+(7/16),"no valido")))))))</f>
        <v>1.125</v>
      </c>
      <c r="AZ187" s="165" t="s">
        <v>526</v>
      </c>
      <c r="BA187" s="172" t="s">
        <v>531</v>
      </c>
      <c r="BB187" s="178" t="s">
        <v>529</v>
      </c>
      <c r="BC187" s="158">
        <f>+AY188+3</f>
        <v>12</v>
      </c>
      <c r="BD187" s="166" t="s">
        <v>526</v>
      </c>
      <c r="BE187" s="172" t="s">
        <v>531</v>
      </c>
      <c r="BG187" s="111"/>
      <c r="BH187" s="9"/>
      <c r="BI187" s="125"/>
      <c r="BJ187" s="125"/>
      <c r="BK187" s="44"/>
      <c r="BL187" s="44"/>
      <c r="BM187" s="126"/>
      <c r="BN187" s="44"/>
      <c r="BO187" s="44"/>
      <c r="BP187" s="44"/>
      <c r="BQ187" s="126"/>
      <c r="BR187" s="44"/>
      <c r="BS187" s="44"/>
      <c r="BT187" s="44"/>
      <c r="BU187" s="44"/>
      <c r="BV187" s="44"/>
    </row>
    <row r="188" spans="1:74" ht="15" hidden="1" x14ac:dyDescent="0.25">
      <c r="A188" s="216" t="s">
        <v>667</v>
      </c>
      <c r="B188" s="216" t="s">
        <v>355</v>
      </c>
      <c r="C188" s="216" t="s">
        <v>352</v>
      </c>
      <c r="D188" s="216">
        <v>2.2200000000000001E-2</v>
      </c>
      <c r="E188" s="216">
        <v>-0.2949</v>
      </c>
      <c r="F188" s="216">
        <v>-0.36130000000000001</v>
      </c>
      <c r="G188" s="216">
        <v>0.45095000000000002</v>
      </c>
      <c r="H188" s="216">
        <v>5.7000000000000002E-2</v>
      </c>
      <c r="I188" s="216">
        <v>1.1E-4</v>
      </c>
      <c r="K188" s="33"/>
      <c r="L188" s="17" t="s">
        <v>377</v>
      </c>
      <c r="M188" s="34">
        <f t="shared" ref="M188:R188" si="237">D185+0.25*D186+D188</f>
        <v>-1.0409999999999999</v>
      </c>
      <c r="N188" s="34">
        <f t="shared" si="237"/>
        <v>8.2349999999999979E-2</v>
      </c>
      <c r="O188" s="34">
        <f t="shared" si="237"/>
        <v>8.1418999999999997</v>
      </c>
      <c r="P188" s="34">
        <f t="shared" si="237"/>
        <v>5.0195000000000045E-2</v>
      </c>
      <c r="Q188" s="34">
        <f t="shared" si="237"/>
        <v>-0.45154750000000005</v>
      </c>
      <c r="R188" s="35">
        <f t="shared" si="237"/>
        <v>9.3437250000000011E-5</v>
      </c>
      <c r="S188" s="17"/>
      <c r="T188" s="29"/>
      <c r="U188" s="29" t="s">
        <v>377</v>
      </c>
      <c r="V188" s="23">
        <f t="shared" si="232"/>
        <v>8.1418999999999997</v>
      </c>
      <c r="W188" s="23">
        <f t="shared" si="232"/>
        <v>5.0195000000000045E-2</v>
      </c>
      <c r="X188" s="23">
        <f t="shared" si="232"/>
        <v>-0.45154750000000005</v>
      </c>
      <c r="Y188" s="29"/>
      <c r="Z188" s="31">
        <f>ABS(V188)/AC188/AD188</f>
        <v>3.9911274509803922</v>
      </c>
      <c r="AA188" s="23">
        <f>ABS(+W188/V188)</f>
        <v>6.1650229062012608E-3</v>
      </c>
      <c r="AB188" s="23">
        <f>ABS(X188/V188)</f>
        <v>5.5459720704012581E-2</v>
      </c>
      <c r="AC188" s="36">
        <f t="shared" si="235"/>
        <v>0.6</v>
      </c>
      <c r="AD188" s="37">
        <f t="shared" si="235"/>
        <v>3.4</v>
      </c>
      <c r="AE188" s="22">
        <f t="shared" si="233"/>
        <v>0.58766995418759749</v>
      </c>
      <c r="AF188" s="22">
        <f t="shared" si="233"/>
        <v>3.2890805585919747</v>
      </c>
      <c r="AG188" s="22">
        <f>AF188*AE188</f>
        <v>1.9328938211870632</v>
      </c>
      <c r="AH188" s="38">
        <f>V188/AG188</f>
        <v>4.2122851812934821</v>
      </c>
      <c r="AJ188" s="147" t="s">
        <v>500</v>
      </c>
      <c r="AK188" s="24">
        <f>(MAX(V185:V189)+ABS(MAX(W185:W189))/(AL186/1000))*1000</f>
        <v>11908.418749999999</v>
      </c>
      <c r="AL188" s="150" t="s">
        <v>502</v>
      </c>
      <c r="AM188" s="24">
        <f>+ABS(MAX(AK188:AK189))/(+AK186*2/10+AL186*2/10)/(AP186/10)</f>
        <v>86.805047760210812</v>
      </c>
      <c r="AN188" s="151" t="str">
        <f>IF(AM188&lt;=AM189,"OK","REDIS")</f>
        <v>OK</v>
      </c>
      <c r="AO188" s="150" t="s">
        <v>508</v>
      </c>
      <c r="AP188" s="24">
        <f>((AO186/10/2-AL186/10/2)/2)*((MAX(ABS(MAX(W185:W189)),ABS(MIN(W185:W189)))*100000))/(AL186/10)</f>
        <v>11977.1015625</v>
      </c>
      <c r="AQ188" s="150" t="s">
        <v>510</v>
      </c>
      <c r="AR188" s="24">
        <f>+AP188/(AK186*AP186*AP186/6/10/10/10)</f>
        <v>494.92155216942149</v>
      </c>
      <c r="AS188" s="152" t="str">
        <f>IF(AR188&lt;=0.6*AR184*1.1,"OK","REDIS")</f>
        <v>OK</v>
      </c>
      <c r="AT188" s="24" t="s">
        <v>516</v>
      </c>
      <c r="AU188" s="174">
        <f>+AW186*(AP188/100000)/((AO186-AL186)/1000/4)/(AT186-1)</f>
        <v>3.19389375</v>
      </c>
      <c r="AV188" s="24" t="s">
        <v>519</v>
      </c>
      <c r="AW188" s="175">
        <f>+AW186*(ABS(MAX(M185:M189))+ABS(MIN(M185:M189)+ABS(MAX(N185:N189))+ABS(MIN(N185:N189))))/AV186</f>
        <v>0.20578500000000002</v>
      </c>
      <c r="AX188" s="155" t="s">
        <v>525</v>
      </c>
      <c r="AY188" s="182">
        <f>IF(BC186=(1+1/4),+(11-1/4),IF(BC186=1,(9),IF(BC186=(7/8),(7-7/8),IF(BC186=(3/4),+(6-3/4),IF(BC186=(5/8),+(5-5/8),IF(BC186=(1/2),(4-1/2),IF(BC186=(3-3/8),+(7/16),"no valido")))))))</f>
        <v>9</v>
      </c>
      <c r="AZ188" s="166" t="s">
        <v>526</v>
      </c>
      <c r="BA188" s="168" t="s">
        <v>533</v>
      </c>
      <c r="BB188" s="153" t="s">
        <v>521</v>
      </c>
      <c r="BC188" s="44">
        <f>+AV186</f>
        <v>8</v>
      </c>
      <c r="BD188" s="166" t="s">
        <v>527</v>
      </c>
      <c r="BE188" s="162" t="s">
        <v>534</v>
      </c>
      <c r="BG188" s="9"/>
      <c r="BH188" s="16"/>
      <c r="BI188" s="208"/>
      <c r="BJ188" s="124"/>
      <c r="BK188" s="63"/>
      <c r="BL188" s="63"/>
      <c r="BM188" s="125"/>
      <c r="BN188" s="133"/>
      <c r="BO188" s="44"/>
      <c r="BP188" s="64"/>
      <c r="BQ188" s="125"/>
      <c r="BS188" s="63"/>
      <c r="BT188" s="63"/>
      <c r="BU188" s="63"/>
      <c r="BV188" s="63"/>
    </row>
    <row r="189" spans="1:74" ht="15" hidden="1" x14ac:dyDescent="0.25">
      <c r="A189" s="216" t="s">
        <v>667</v>
      </c>
      <c r="B189" s="216" t="s">
        <v>624</v>
      </c>
      <c r="C189" s="216" t="s">
        <v>389</v>
      </c>
      <c r="D189" s="216">
        <v>-1.2926</v>
      </c>
      <c r="E189" s="216">
        <v>0.45950000000000002</v>
      </c>
      <c r="F189" s="216">
        <v>10.4618</v>
      </c>
      <c r="G189" s="216">
        <v>-0.48808000000000001</v>
      </c>
      <c r="H189" s="216">
        <v>-0.61802000000000001</v>
      </c>
      <c r="I189" s="216">
        <v>-2.0950000000000001E-5</v>
      </c>
      <c r="K189" s="39"/>
      <c r="L189" s="40" t="s">
        <v>378</v>
      </c>
      <c r="M189" s="41">
        <f t="shared" ref="M189:R189" si="238">D185+0.25*D186-D188</f>
        <v>-1.0853999999999999</v>
      </c>
      <c r="N189" s="41">
        <f t="shared" si="238"/>
        <v>0.67215000000000003</v>
      </c>
      <c r="O189" s="41">
        <f t="shared" si="238"/>
        <v>8.8644999999999996</v>
      </c>
      <c r="P189" s="41">
        <f t="shared" si="238"/>
        <v>-0.85170499999999993</v>
      </c>
      <c r="Q189" s="41">
        <f t="shared" si="238"/>
        <v>-0.56554750000000009</v>
      </c>
      <c r="R189" s="42">
        <f t="shared" si="238"/>
        <v>-1.2656275E-4</v>
      </c>
      <c r="S189" s="17"/>
      <c r="T189" s="29"/>
      <c r="U189" s="29" t="s">
        <v>378</v>
      </c>
      <c r="V189" s="23">
        <f t="shared" si="232"/>
        <v>8.8644999999999996</v>
      </c>
      <c r="W189" s="23">
        <f t="shared" si="232"/>
        <v>-0.85170499999999993</v>
      </c>
      <c r="X189" s="23">
        <f t="shared" si="232"/>
        <v>-0.56554750000000009</v>
      </c>
      <c r="Y189" s="29"/>
      <c r="Z189" s="31">
        <f>ABS(V189)/AC189/AD189</f>
        <v>4.3453431372549023</v>
      </c>
      <c r="AA189" s="23">
        <f>ABS(+W189/V189)</f>
        <v>9.6080433188561118E-2</v>
      </c>
      <c r="AB189" s="23">
        <f>ABS(X189/V189)</f>
        <v>6.3799142647639473E-2</v>
      </c>
      <c r="AC189" s="36">
        <f t="shared" si="235"/>
        <v>0.6</v>
      </c>
      <c r="AD189" s="37">
        <f t="shared" si="235"/>
        <v>3.4</v>
      </c>
      <c r="AE189" s="22">
        <f t="shared" si="233"/>
        <v>0.40783913362287771</v>
      </c>
      <c r="AF189" s="22">
        <f t="shared" si="233"/>
        <v>3.2724017147047211</v>
      </c>
      <c r="AG189" s="22">
        <f>AF189*AE189</f>
        <v>1.3346134801911929</v>
      </c>
      <c r="AH189" s="38">
        <f>V189/AG189</f>
        <v>6.6419979503954183</v>
      </c>
      <c r="AJ189" s="147" t="s">
        <v>501</v>
      </c>
      <c r="AK189" s="24">
        <f>(MAX(V185:V189)+ABS(MAX(X185:X189))/(AK186/1000))*1000</f>
        <v>17569.341666666667</v>
      </c>
      <c r="AL189" s="150" t="s">
        <v>505</v>
      </c>
      <c r="AM189" s="24">
        <f>+AR184*0.4/3</f>
        <v>466.66666666666669</v>
      </c>
      <c r="AN189" s="24"/>
      <c r="AO189" s="150" t="s">
        <v>509</v>
      </c>
      <c r="AP189" s="24">
        <f>((AN186/10/2-AK186/10/2)/2)*(MAX(+ABS(MAX(X185:X189)),ABS(MIN(X185:X189)))*100000/(AK186/10))</f>
        <v>35118.593750000007</v>
      </c>
      <c r="AQ189" s="150" t="s">
        <v>511</v>
      </c>
      <c r="AR189" s="24">
        <f>+AP189/(AL186*AP186*AP186/6/1000)</f>
        <v>2720.965424845042</v>
      </c>
      <c r="AS189" s="152" t="str">
        <f>IF(AR189&lt;=0.6*AR184*1.1,"OK","REDIS")</f>
        <v>REDIS</v>
      </c>
      <c r="AT189" s="24" t="s">
        <v>517</v>
      </c>
      <c r="AU189" s="174">
        <f>+AW186*(AP189/100000)/((AN186-AK186)/1000/4)/(AU186-1)</f>
        <v>5.6189750000000016</v>
      </c>
      <c r="AV189" s="24"/>
      <c r="AW189" s="161"/>
      <c r="AX189" s="156" t="s">
        <v>522</v>
      </c>
      <c r="AY189" s="181">
        <f>IF(AY187=(1+3/8),+AV186/3,IF(AY187=(1+1/8),+AV186/6,IF(AY187=1,+AV186/8,IF(AY187=(7/8),+AV186/11,IF(AY187=0.75,+AV186/18,IF(AY187=(9/16),+AV186/45,IF(AY187=(7/16),+AV186/84,"NO HAY DATO")))))))</f>
        <v>1.3333333333333333</v>
      </c>
      <c r="AZ189" s="167" t="s">
        <v>527</v>
      </c>
      <c r="BA189" s="176"/>
      <c r="BB189" s="164" t="s">
        <v>523</v>
      </c>
      <c r="BC189" s="129">
        <f>+BC188*BC187*2.54/100</f>
        <v>2.4384000000000001</v>
      </c>
      <c r="BD189" s="173" t="s">
        <v>528</v>
      </c>
      <c r="BE189" s="130"/>
      <c r="BG189" s="113"/>
      <c r="BH189" s="68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126"/>
      <c r="BV189" s="63"/>
    </row>
    <row r="190" spans="1:74" ht="15" hidden="1" x14ac:dyDescent="0.25">
      <c r="A190" s="216" t="s">
        <v>667</v>
      </c>
      <c r="B190" s="216" t="s">
        <v>625</v>
      </c>
      <c r="C190" s="216" t="s">
        <v>389</v>
      </c>
      <c r="D190" s="216">
        <v>-0.76080000000000003</v>
      </c>
      <c r="E190" s="216">
        <v>0.55740000000000001</v>
      </c>
      <c r="F190" s="216">
        <v>6.3395000000000001</v>
      </c>
      <c r="G190" s="216">
        <v>-0.72985999999999995</v>
      </c>
      <c r="H190" s="216">
        <v>-0.41015000000000001</v>
      </c>
      <c r="I190" s="216">
        <v>-1.2E-4</v>
      </c>
      <c r="K190" s="25" t="s">
        <v>357</v>
      </c>
      <c r="L190" s="26" t="s">
        <v>358</v>
      </c>
      <c r="M190" s="27" t="s">
        <v>359</v>
      </c>
      <c r="N190" s="27" t="s">
        <v>360</v>
      </c>
      <c r="O190" s="27" t="s">
        <v>361</v>
      </c>
      <c r="P190" s="27" t="s">
        <v>362</v>
      </c>
      <c r="Q190" s="27" t="s">
        <v>363</v>
      </c>
      <c r="R190" s="28" t="s">
        <v>364</v>
      </c>
      <c r="S190" s="17"/>
      <c r="T190" s="29" t="s">
        <v>365</v>
      </c>
      <c r="U190" s="29" t="s">
        <v>358</v>
      </c>
      <c r="V190" s="30" t="s">
        <v>361</v>
      </c>
      <c r="W190" s="30" t="s">
        <v>362</v>
      </c>
      <c r="X190" s="30" t="s">
        <v>363</v>
      </c>
      <c r="Y190" s="29" t="s">
        <v>366</v>
      </c>
      <c r="Z190" s="31" t="s">
        <v>367</v>
      </c>
      <c r="AA190" s="23" t="s">
        <v>368</v>
      </c>
      <c r="AB190" s="23" t="s">
        <v>369</v>
      </c>
      <c r="AC190" s="22" t="s">
        <v>0</v>
      </c>
      <c r="AD190" s="22" t="s">
        <v>1</v>
      </c>
      <c r="AE190" s="22" t="s">
        <v>370</v>
      </c>
      <c r="AF190" s="22" t="s">
        <v>371</v>
      </c>
      <c r="AG190" s="22" t="s">
        <v>372</v>
      </c>
      <c r="AH190" s="32" t="s">
        <v>373</v>
      </c>
      <c r="AJ190" s="143" t="s">
        <v>365</v>
      </c>
      <c r="AK190" s="144" t="s">
        <v>498</v>
      </c>
      <c r="AL190" s="145"/>
      <c r="AM190" s="139"/>
      <c r="AN190" s="146" t="s">
        <v>499</v>
      </c>
      <c r="AO190" s="145"/>
      <c r="AP190" s="139"/>
      <c r="AQ190" s="147" t="s">
        <v>506</v>
      </c>
      <c r="AR190" s="48">
        <v>3500</v>
      </c>
      <c r="AS190" s="147" t="s">
        <v>405</v>
      </c>
      <c r="AT190" s="146" t="s">
        <v>512</v>
      </c>
      <c r="AU190" s="145"/>
      <c r="AV190" s="145"/>
      <c r="AW190" s="145"/>
      <c r="AX190" s="163" t="s">
        <v>532</v>
      </c>
      <c r="AY190" s="157" t="s">
        <v>515</v>
      </c>
      <c r="AZ190" s="169">
        <v>6.9</v>
      </c>
      <c r="BA190" s="171" t="str">
        <f>IF(MAX(AU194:AU195)&lt;=AZ190,"OK","REDIS")</f>
        <v>OK</v>
      </c>
      <c r="BB190" s="163" t="s">
        <v>536</v>
      </c>
      <c r="BC190" s="170" t="s">
        <v>515</v>
      </c>
      <c r="BD190" s="169">
        <v>8.36</v>
      </c>
      <c r="BE190" s="171" t="str">
        <f>IF(MAX(AU194:AU195)&lt;=BD190,"OK","REDIS")</f>
        <v>OK</v>
      </c>
      <c r="BG190" s="113"/>
      <c r="BH190" s="68"/>
      <c r="BI190" s="114"/>
      <c r="BJ190" s="45"/>
      <c r="BK190" s="63"/>
      <c r="BL190" s="63"/>
      <c r="BM190" s="63"/>
      <c r="BN190" s="70"/>
      <c r="BO190" s="70"/>
      <c r="BP190" s="44"/>
      <c r="BQ190" s="63"/>
      <c r="BR190" s="44"/>
      <c r="BS190" s="70"/>
      <c r="BT190" s="70"/>
      <c r="BU190" s="207"/>
      <c r="BV190" s="63"/>
    </row>
    <row r="191" spans="1:74" ht="15" hidden="1" x14ac:dyDescent="0.25">
      <c r="A191" s="216" t="s">
        <v>668</v>
      </c>
      <c r="B191" s="216" t="s">
        <v>351</v>
      </c>
      <c r="C191" s="216" t="s">
        <v>352</v>
      </c>
      <c r="D191" s="216">
        <v>-0.1991</v>
      </c>
      <c r="E191" s="216">
        <v>-1.24E-2</v>
      </c>
      <c r="F191" s="216">
        <v>2.8778000000000001</v>
      </c>
      <c r="G191" s="216">
        <v>9.1299999999999992E-3</v>
      </c>
      <c r="H191" s="216">
        <v>-0.16913</v>
      </c>
      <c r="I191" s="216">
        <v>-6.4170000000000004E-5</v>
      </c>
      <c r="K191" s="33" t="str">
        <f>+A191</f>
        <v>88</v>
      </c>
      <c r="L191" s="17" t="s">
        <v>374</v>
      </c>
      <c r="M191" s="34">
        <f t="shared" ref="M191:R191" si="239">D191+D192</f>
        <v>-0.31769999999999998</v>
      </c>
      <c r="N191" s="34">
        <f t="shared" si="239"/>
        <v>-1.95E-2</v>
      </c>
      <c r="O191" s="34">
        <f t="shared" si="239"/>
        <v>4.2711000000000006</v>
      </c>
      <c r="P191" s="34">
        <f t="shared" si="239"/>
        <v>1.4199999999999999E-2</v>
      </c>
      <c r="Q191" s="34">
        <f t="shared" si="239"/>
        <v>-0.26967000000000002</v>
      </c>
      <c r="R191" s="35">
        <f t="shared" si="239"/>
        <v>-1.0162000000000001E-4</v>
      </c>
      <c r="S191" s="17"/>
      <c r="T191" s="29" t="str">
        <f>K191</f>
        <v>88</v>
      </c>
      <c r="U191" s="29" t="s">
        <v>374</v>
      </c>
      <c r="V191" s="23">
        <f t="shared" ref="V191:X195" si="240">O191</f>
        <v>4.2711000000000006</v>
      </c>
      <c r="W191" s="23">
        <f t="shared" si="240"/>
        <v>1.4199999999999999E-2</v>
      </c>
      <c r="X191" s="23">
        <f t="shared" si="240"/>
        <v>-0.26967000000000002</v>
      </c>
      <c r="Y191" s="29">
        <v>15</v>
      </c>
      <c r="Z191" s="31">
        <f>ABS(V191)/AC191/AD191</f>
        <v>2.6364814814814816</v>
      </c>
      <c r="AA191" s="23">
        <f>ABS(+W191/V191)</f>
        <v>3.3246704596005708E-3</v>
      </c>
      <c r="AB191" s="23">
        <f>ABS(X191/V191)</f>
        <v>6.3138301608484937E-2</v>
      </c>
      <c r="AC191" s="36">
        <v>0.6</v>
      </c>
      <c r="AD191" s="37">
        <v>2.7</v>
      </c>
      <c r="AE191" s="22">
        <f t="shared" ref="AE191:AF195" si="241">AC191-2*AA191</f>
        <v>0.59335065908079887</v>
      </c>
      <c r="AF191" s="22">
        <f t="shared" si="241"/>
        <v>2.5737233967830302</v>
      </c>
      <c r="AG191" s="22">
        <f>AF191*AE191</f>
        <v>1.5271204737728834</v>
      </c>
      <c r="AH191" s="38">
        <f>V191/AG191</f>
        <v>2.7968323870662792</v>
      </c>
      <c r="AJ191" s="48" t="str">
        <f>+K191</f>
        <v>88</v>
      </c>
      <c r="AK191" s="147" t="s">
        <v>0</v>
      </c>
      <c r="AL191" s="147" t="s">
        <v>1</v>
      </c>
      <c r="AM191" s="147" t="s">
        <v>438</v>
      </c>
      <c r="AN191" s="147" t="s">
        <v>503</v>
      </c>
      <c r="AO191" s="147" t="s">
        <v>504</v>
      </c>
      <c r="AP191" s="147" t="s">
        <v>323</v>
      </c>
      <c r="AQ191" s="48"/>
      <c r="AR191" s="48"/>
      <c r="AS191" s="48"/>
      <c r="AT191" s="147" t="s">
        <v>0</v>
      </c>
      <c r="AU191" s="147" t="s">
        <v>1</v>
      </c>
      <c r="AV191" s="147" t="s">
        <v>513</v>
      </c>
      <c r="AW191" s="159" t="s">
        <v>520</v>
      </c>
      <c r="AX191" s="141" t="s">
        <v>530</v>
      </c>
      <c r="AY191" s="157" t="s">
        <v>178</v>
      </c>
      <c r="AZ191" s="44">
        <v>12</v>
      </c>
      <c r="BA191" s="172" t="str">
        <f>IF(AW194&lt;=AZ191,"OK","REDIS")</f>
        <v>OK</v>
      </c>
      <c r="BB191" s="141" t="s">
        <v>535</v>
      </c>
      <c r="BC191" s="120" t="s">
        <v>178</v>
      </c>
      <c r="BD191" s="44">
        <v>4.3</v>
      </c>
      <c r="BE191" s="172" t="str">
        <f>IF(AW194&lt;=BD191,"OK","REDIS")</f>
        <v>OK</v>
      </c>
      <c r="BG191" s="113"/>
      <c r="BH191" s="68"/>
      <c r="BI191" s="209"/>
      <c r="BJ191" s="134"/>
      <c r="BK191" s="135"/>
      <c r="BL191" s="63"/>
      <c r="BM191" s="125"/>
      <c r="BN191" s="133"/>
      <c r="BO191" s="44"/>
      <c r="BR191" s="135"/>
      <c r="BS191" s="63"/>
      <c r="BT191" s="125"/>
      <c r="BU191" s="133"/>
      <c r="BV191" s="44"/>
    </row>
    <row r="192" spans="1:74" ht="15" hidden="1" x14ac:dyDescent="0.25">
      <c r="A192" s="216" t="s">
        <v>668</v>
      </c>
      <c r="B192" s="216" t="s">
        <v>353</v>
      </c>
      <c r="C192" s="216" t="s">
        <v>352</v>
      </c>
      <c r="D192" s="216">
        <v>-0.1186</v>
      </c>
      <c r="E192" s="216">
        <v>-7.1000000000000004E-3</v>
      </c>
      <c r="F192" s="216">
        <v>1.3933</v>
      </c>
      <c r="G192" s="216">
        <v>5.0699999999999999E-3</v>
      </c>
      <c r="H192" s="216">
        <v>-0.10054</v>
      </c>
      <c r="I192" s="216">
        <v>-3.7450000000000002E-5</v>
      </c>
      <c r="K192" s="33"/>
      <c r="L192" s="17" t="s">
        <v>375</v>
      </c>
      <c r="M192" s="34">
        <f t="shared" ref="M192:R192" si="242">D191+0.25*D192+D193</f>
        <v>-0.60065000000000002</v>
      </c>
      <c r="N192" s="34">
        <f t="shared" si="242"/>
        <v>-2.1975000000000001E-2</v>
      </c>
      <c r="O192" s="34">
        <f t="shared" si="242"/>
        <v>3.6811250000000002</v>
      </c>
      <c r="P192" s="34">
        <f t="shared" si="242"/>
        <v>2.2377499999999998E-2</v>
      </c>
      <c r="Q192" s="34">
        <f t="shared" si="242"/>
        <v>-0.99369499999999999</v>
      </c>
      <c r="R192" s="35">
        <f t="shared" si="242"/>
        <v>-4.7262500000000004E-5</v>
      </c>
      <c r="S192" s="17"/>
      <c r="T192" s="29"/>
      <c r="U192" s="29" t="s">
        <v>375</v>
      </c>
      <c r="V192" s="23">
        <f t="shared" si="240"/>
        <v>3.6811250000000002</v>
      </c>
      <c r="W192" s="23">
        <f t="shared" si="240"/>
        <v>2.2377499999999998E-2</v>
      </c>
      <c r="X192" s="23">
        <f t="shared" si="240"/>
        <v>-0.99369499999999999</v>
      </c>
      <c r="Y192" s="29">
        <f>1.33*Y191</f>
        <v>19.950000000000003</v>
      </c>
      <c r="Z192" s="31">
        <f>ABS(V192)/AC192/AD192</f>
        <v>2.2722993827160494</v>
      </c>
      <c r="AA192" s="23">
        <f>ABS(+W192/V192)</f>
        <v>6.0789840062480888E-3</v>
      </c>
      <c r="AB192" s="23">
        <f>ABS(X192/V192)</f>
        <v>0.26994329179259058</v>
      </c>
      <c r="AC192" s="36">
        <f t="shared" ref="AC192:AD195" si="243">AC191</f>
        <v>0.6</v>
      </c>
      <c r="AD192" s="37">
        <f t="shared" si="243"/>
        <v>2.7</v>
      </c>
      <c r="AE192" s="22">
        <f t="shared" si="241"/>
        <v>0.58784203198750384</v>
      </c>
      <c r="AF192" s="22">
        <f t="shared" si="241"/>
        <v>2.160113416414819</v>
      </c>
      <c r="AG192" s="22">
        <f>AF192*AE192</f>
        <v>1.2698054600287563</v>
      </c>
      <c r="AH192" s="38">
        <f>V192/AG192</f>
        <v>2.8989676890479243</v>
      </c>
      <c r="AJ192" s="147" t="s">
        <v>539</v>
      </c>
      <c r="AK192" s="148">
        <v>300</v>
      </c>
      <c r="AL192" s="148">
        <v>160</v>
      </c>
      <c r="AM192" s="148">
        <v>4</v>
      </c>
      <c r="AN192" s="149">
        <v>450</v>
      </c>
      <c r="AO192" s="149">
        <v>250</v>
      </c>
      <c r="AP192" s="149">
        <v>22</v>
      </c>
      <c r="AQ192" s="48"/>
      <c r="AR192" s="48"/>
      <c r="AS192" s="48"/>
      <c r="AT192" s="48">
        <v>3</v>
      </c>
      <c r="AU192" s="48">
        <v>3</v>
      </c>
      <c r="AV192" s="149">
        <f>+AT192*2+(AU192-2)*2</f>
        <v>8</v>
      </c>
      <c r="AW192" s="159">
        <v>1.2</v>
      </c>
      <c r="AX192" s="155" t="s">
        <v>538</v>
      </c>
      <c r="AY192" s="180">
        <f>+AV192</f>
        <v>8</v>
      </c>
      <c r="BA192" s="154"/>
      <c r="BB192" s="177" t="s">
        <v>537</v>
      </c>
      <c r="BC192" s="179">
        <v>1</v>
      </c>
      <c r="BD192" s="166" t="s">
        <v>526</v>
      </c>
      <c r="BE192" s="154"/>
      <c r="BG192" s="113"/>
      <c r="BH192" s="68"/>
      <c r="BI192" s="136"/>
      <c r="BJ192" s="128"/>
      <c r="BK192" s="111"/>
      <c r="BL192" s="16"/>
      <c r="BM192" s="63"/>
      <c r="BN192" s="44"/>
      <c r="BO192" s="126"/>
      <c r="BR192" s="111"/>
      <c r="BS192" s="16"/>
      <c r="BT192" s="63"/>
      <c r="BU192" s="44"/>
      <c r="BV192" s="126"/>
    </row>
    <row r="193" spans="1:74" ht="15" hidden="1" x14ac:dyDescent="0.25">
      <c r="A193" s="216" t="s">
        <v>668</v>
      </c>
      <c r="B193" s="216" t="s">
        <v>354</v>
      </c>
      <c r="C193" s="216" t="s">
        <v>352</v>
      </c>
      <c r="D193" s="216">
        <v>-0.37190000000000001</v>
      </c>
      <c r="E193" s="216">
        <v>-7.7999999999999996E-3</v>
      </c>
      <c r="F193" s="216">
        <v>0.45500000000000002</v>
      </c>
      <c r="G193" s="216">
        <v>1.1979999999999999E-2</v>
      </c>
      <c r="H193" s="216">
        <v>-0.79942999999999997</v>
      </c>
      <c r="I193" s="216">
        <v>2.6270000000000001E-5</v>
      </c>
      <c r="K193" s="33"/>
      <c r="L193" s="17" t="s">
        <v>376</v>
      </c>
      <c r="M193" s="34">
        <f t="shared" ref="M193:R193" si="244">D191+0.25*D192-D193</f>
        <v>0.14315</v>
      </c>
      <c r="N193" s="34">
        <f t="shared" si="244"/>
        <v>-6.3750000000000005E-3</v>
      </c>
      <c r="O193" s="34">
        <f t="shared" si="244"/>
        <v>2.7711250000000001</v>
      </c>
      <c r="P193" s="34">
        <f t="shared" si="244"/>
        <v>-1.5825000000000006E-3</v>
      </c>
      <c r="Q193" s="34">
        <f t="shared" si="244"/>
        <v>0.60516499999999995</v>
      </c>
      <c r="R193" s="35">
        <f t="shared" si="244"/>
        <v>-9.9802500000000012E-5</v>
      </c>
      <c r="S193" s="17"/>
      <c r="T193" s="29"/>
      <c r="U193" s="29" t="s">
        <v>376</v>
      </c>
      <c r="V193" s="23">
        <f t="shared" si="240"/>
        <v>2.7711250000000001</v>
      </c>
      <c r="W193" s="23">
        <f t="shared" si="240"/>
        <v>-1.5825000000000006E-3</v>
      </c>
      <c r="X193" s="23">
        <f t="shared" si="240"/>
        <v>0.60516499999999995</v>
      </c>
      <c r="Y193" s="29"/>
      <c r="Z193" s="31">
        <f>ABS(V193)/AC193/AD193</f>
        <v>1.7105709876543211</v>
      </c>
      <c r="AA193" s="23">
        <f>ABS(+W193/V193)</f>
        <v>5.710677071586452E-4</v>
      </c>
      <c r="AB193" s="23">
        <f>ABS(X193/V193)</f>
        <v>0.21838242591005455</v>
      </c>
      <c r="AC193" s="36">
        <f t="shared" si="243"/>
        <v>0.6</v>
      </c>
      <c r="AD193" s="37">
        <f t="shared" si="243"/>
        <v>2.7</v>
      </c>
      <c r="AE193" s="22">
        <f t="shared" si="241"/>
        <v>0.59885786458568269</v>
      </c>
      <c r="AF193" s="22">
        <f t="shared" si="241"/>
        <v>2.2632351481798909</v>
      </c>
      <c r="AG193" s="22">
        <f>AF193*AE193</f>
        <v>1.3553561678942705</v>
      </c>
      <c r="AH193" s="38">
        <f>V193/AG193</f>
        <v>2.0445732757503281</v>
      </c>
      <c r="AJ193" s="146" t="s">
        <v>514</v>
      </c>
      <c r="AK193" s="145"/>
      <c r="AL193" s="145"/>
      <c r="AM193" s="145"/>
      <c r="AN193" s="139"/>
      <c r="AO193" s="146" t="s">
        <v>507</v>
      </c>
      <c r="AP193" s="145" t="s">
        <v>626</v>
      </c>
      <c r="AQ193" s="145">
        <f>0.6*AR190</f>
        <v>2100</v>
      </c>
      <c r="AR193" s="212" t="s">
        <v>627</v>
      </c>
      <c r="AS193" s="211">
        <f>+AR194+AR195</f>
        <v>1028.8089165805786</v>
      </c>
      <c r="AT193" s="48" t="s">
        <v>515</v>
      </c>
      <c r="AU193" s="48"/>
      <c r="AV193" s="48" t="s">
        <v>518</v>
      </c>
      <c r="AW193" s="160"/>
      <c r="AX193" s="155" t="s">
        <v>524</v>
      </c>
      <c r="AY193" s="182">
        <f>IF(BC192=(1+1/4),+(1+3/8),IF(BC192=1,(1+1/8),IF(BC192=(7/8),1,IF(BC192=(3/4),+(7/8),IF(BC192=(5/8),+(3/4),IF(BC192=(1/2),(9/16),IF(BC192=(3/8),+(7/16),"no valido")))))))</f>
        <v>1.125</v>
      </c>
      <c r="AZ193" s="165" t="s">
        <v>526</v>
      </c>
      <c r="BA193" s="172" t="s">
        <v>531</v>
      </c>
      <c r="BB193" s="178" t="s">
        <v>529</v>
      </c>
      <c r="BC193" s="158">
        <f>+AY194+3</f>
        <v>12</v>
      </c>
      <c r="BD193" s="166" t="s">
        <v>526</v>
      </c>
      <c r="BE193" s="172" t="s">
        <v>531</v>
      </c>
      <c r="BG193" s="113"/>
      <c r="BH193" s="68"/>
      <c r="BI193" s="136"/>
      <c r="BJ193" s="128"/>
      <c r="BM193" s="137"/>
      <c r="BN193" s="63"/>
      <c r="BO193" s="125"/>
      <c r="BT193" s="137"/>
      <c r="BU193" s="63"/>
      <c r="BV193" s="125"/>
    </row>
    <row r="194" spans="1:74" ht="15" hidden="1" x14ac:dyDescent="0.25">
      <c r="A194" s="216" t="s">
        <v>668</v>
      </c>
      <c r="B194" s="216" t="s">
        <v>355</v>
      </c>
      <c r="C194" s="216" t="s">
        <v>352</v>
      </c>
      <c r="D194" s="216">
        <v>3.8999999999999998E-3</v>
      </c>
      <c r="E194" s="216">
        <v>-6.6799999999999998E-2</v>
      </c>
      <c r="F194" s="216">
        <v>0.31580000000000003</v>
      </c>
      <c r="G194" s="216">
        <v>0.10391</v>
      </c>
      <c r="H194" s="216">
        <v>2.1350000000000001E-2</v>
      </c>
      <c r="I194" s="216">
        <v>7.8869999999999995E-5</v>
      </c>
      <c r="K194" s="33"/>
      <c r="L194" s="17" t="s">
        <v>377</v>
      </c>
      <c r="M194" s="34">
        <f t="shared" ref="M194:R194" si="245">D191+0.25*D192+D194</f>
        <v>-0.22485000000000002</v>
      </c>
      <c r="N194" s="34">
        <f t="shared" si="245"/>
        <v>-8.0974999999999991E-2</v>
      </c>
      <c r="O194" s="34">
        <f t="shared" si="245"/>
        <v>3.541925</v>
      </c>
      <c r="P194" s="34">
        <f t="shared" si="245"/>
        <v>0.11430750000000001</v>
      </c>
      <c r="Q194" s="34">
        <f t="shared" si="245"/>
        <v>-0.17291499999999999</v>
      </c>
      <c r="R194" s="35">
        <f t="shared" si="245"/>
        <v>5.3374999999999874E-6</v>
      </c>
      <c r="S194" s="17"/>
      <c r="T194" s="29"/>
      <c r="U194" s="29" t="s">
        <v>377</v>
      </c>
      <c r="V194" s="23">
        <f t="shared" si="240"/>
        <v>3.541925</v>
      </c>
      <c r="W194" s="23">
        <f t="shared" si="240"/>
        <v>0.11430750000000001</v>
      </c>
      <c r="X194" s="23">
        <f t="shared" si="240"/>
        <v>-0.17291499999999999</v>
      </c>
      <c r="Y194" s="29"/>
      <c r="Z194" s="31">
        <f>ABS(V194)/AC194/AD194</f>
        <v>2.1863734567901236</v>
      </c>
      <c r="AA194" s="23">
        <f>ABS(+W194/V194)</f>
        <v>3.2272704814472357E-2</v>
      </c>
      <c r="AB194" s="23">
        <f>ABS(X194/V194)</f>
        <v>4.8819497871919929E-2</v>
      </c>
      <c r="AC194" s="36">
        <f t="shared" si="243"/>
        <v>0.6</v>
      </c>
      <c r="AD194" s="37">
        <f t="shared" si="243"/>
        <v>2.7</v>
      </c>
      <c r="AE194" s="22">
        <f t="shared" si="241"/>
        <v>0.53545459037105525</v>
      </c>
      <c r="AF194" s="22">
        <f t="shared" si="241"/>
        <v>2.6023610042561605</v>
      </c>
      <c r="AG194" s="22">
        <f>AF194*AE194</f>
        <v>1.3934461455315903</v>
      </c>
      <c r="AH194" s="38">
        <f>V194/AG194</f>
        <v>2.5418456331147117</v>
      </c>
      <c r="AJ194" s="147" t="s">
        <v>500</v>
      </c>
      <c r="AK194" s="24">
        <f>(MAX(V191:V195)+ABS(MAX(W191:W195))/(AL192/1000))*1000</f>
        <v>4985.5218750000004</v>
      </c>
      <c r="AL194" s="150" t="s">
        <v>502</v>
      </c>
      <c r="AM194" s="24">
        <f>+ABS(MAX(AK194:AK195))/(+AK192*2/10+AL192*2/10)/(AP192/10)</f>
        <v>31.068758234519105</v>
      </c>
      <c r="AN194" s="151" t="str">
        <f>IF(AM194&lt;=AM195,"OK","REDIS")</f>
        <v>OK</v>
      </c>
      <c r="AO194" s="150" t="s">
        <v>508</v>
      </c>
      <c r="AP194" s="24">
        <f>((AO192/10/2-AL192/10/2)/2)*((MAX(ABS(MAX(W191:W195)),ABS(MIN(W191:W195)))*100000))/(AL192/10)</f>
        <v>1607.44921875</v>
      </c>
      <c r="AQ194" s="150" t="s">
        <v>510</v>
      </c>
      <c r="AR194" s="24">
        <f>+AP194/(AK192*AP192*AP192/6/10/10/10)</f>
        <v>66.42352143595042</v>
      </c>
      <c r="AS194" s="152" t="str">
        <f>IF(AR194&lt;=0.6*AR190*1.1,"OK","REDIS")</f>
        <v>OK</v>
      </c>
      <c r="AT194" s="24" t="s">
        <v>516</v>
      </c>
      <c r="AU194" s="174">
        <f>+AW192*(AP194/100000)/((AO192-AL192)/1000/4)/(AT192-1)</f>
        <v>0.42865312500000002</v>
      </c>
      <c r="AV194" s="24" t="s">
        <v>519</v>
      </c>
      <c r="AW194" s="175">
        <f>+AW192*(ABS(MAX(M191:M195))+ABS(MIN(M191:M195)+ABS(MAX(N191:N195))+ABS(MIN(N191:N195))))/AV192</f>
        <v>9.1529999999999986E-2</v>
      </c>
      <c r="AX194" s="155" t="s">
        <v>525</v>
      </c>
      <c r="AY194" s="182">
        <f>IF(BC192=(1+1/4),+(11-1/4),IF(BC192=1,(9),IF(BC192=(7/8),(7-7/8),IF(BC192=(3/4),+(6-3/4),IF(BC192=(5/8),+(5-5/8),IF(BC192=(1/2),(4-1/2),IF(BC192=(3-3/8),+(7/16),"no valido")))))))</f>
        <v>9</v>
      </c>
      <c r="AZ194" s="166" t="s">
        <v>526</v>
      </c>
      <c r="BA194" s="168" t="s">
        <v>533</v>
      </c>
      <c r="BB194" s="153" t="s">
        <v>521</v>
      </c>
      <c r="BC194" s="44">
        <f>+AV192</f>
        <v>8</v>
      </c>
      <c r="BD194" s="166" t="s">
        <v>527</v>
      </c>
      <c r="BE194" s="162" t="s">
        <v>534</v>
      </c>
      <c r="BG194" s="113"/>
      <c r="BH194" s="68"/>
      <c r="BI194" s="136"/>
      <c r="BJ194" s="138"/>
      <c r="BM194" s="125"/>
      <c r="BN194" s="133"/>
      <c r="BO194" s="44"/>
      <c r="BT194" s="125"/>
      <c r="BU194" s="133"/>
      <c r="BV194" s="44"/>
    </row>
    <row r="195" spans="1:74" ht="15" hidden="1" x14ac:dyDescent="0.25">
      <c r="A195" s="216" t="s">
        <v>668</v>
      </c>
      <c r="B195" s="216" t="s">
        <v>624</v>
      </c>
      <c r="C195" s="216" t="s">
        <v>389</v>
      </c>
      <c r="D195" s="216">
        <v>-0.2787</v>
      </c>
      <c r="E195" s="216">
        <v>-1.7399999999999999E-2</v>
      </c>
      <c r="F195" s="216">
        <v>4.0289000000000001</v>
      </c>
      <c r="G195" s="216">
        <v>1.278E-2</v>
      </c>
      <c r="H195" s="216">
        <v>-0.23679</v>
      </c>
      <c r="I195" s="216">
        <v>-8.9839999999999994E-5</v>
      </c>
      <c r="K195" s="39"/>
      <c r="L195" s="40" t="s">
        <v>378</v>
      </c>
      <c r="M195" s="41">
        <f t="shared" ref="M195:R195" si="246">D191+0.25*D192-D194</f>
        <v>-0.23265</v>
      </c>
      <c r="N195" s="41">
        <f t="shared" si="246"/>
        <v>5.2624999999999998E-2</v>
      </c>
      <c r="O195" s="41">
        <f t="shared" si="246"/>
        <v>2.9103250000000003</v>
      </c>
      <c r="P195" s="41">
        <f t="shared" si="246"/>
        <v>-9.3512499999999998E-2</v>
      </c>
      <c r="Q195" s="41">
        <f t="shared" si="246"/>
        <v>-0.215615</v>
      </c>
      <c r="R195" s="42">
        <f t="shared" si="246"/>
        <v>-1.524025E-4</v>
      </c>
      <c r="S195" s="17"/>
      <c r="T195" s="29"/>
      <c r="U195" s="29" t="s">
        <v>378</v>
      </c>
      <c r="V195" s="23">
        <f t="shared" si="240"/>
        <v>2.9103250000000003</v>
      </c>
      <c r="W195" s="23">
        <f t="shared" si="240"/>
        <v>-9.3512499999999998E-2</v>
      </c>
      <c r="X195" s="23">
        <f t="shared" si="240"/>
        <v>-0.215615</v>
      </c>
      <c r="Y195" s="29"/>
      <c r="Z195" s="31">
        <f>ABS(V195)/AC195/AD195</f>
        <v>1.7964969135802471</v>
      </c>
      <c r="AA195" s="23">
        <f>ABS(+W195/V195)</f>
        <v>3.2131291178820229E-2</v>
      </c>
      <c r="AB195" s="23">
        <f>ABS(X195/V195)</f>
        <v>7.4086227483184858E-2</v>
      </c>
      <c r="AC195" s="36">
        <f t="shared" si="243"/>
        <v>0.6</v>
      </c>
      <c r="AD195" s="37">
        <f t="shared" si="243"/>
        <v>2.7</v>
      </c>
      <c r="AE195" s="22">
        <f t="shared" si="241"/>
        <v>0.53573741764235949</v>
      </c>
      <c r="AF195" s="22">
        <f t="shared" si="241"/>
        <v>2.5518275450336305</v>
      </c>
      <c r="AG195" s="22">
        <f>AF195*AE195</f>
        <v>1.3671094992449591</v>
      </c>
      <c r="AH195" s="38">
        <f>V195/AG195</f>
        <v>2.1288163103301847</v>
      </c>
      <c r="AJ195" s="147" t="s">
        <v>501</v>
      </c>
      <c r="AK195" s="24">
        <f>(MAX(V191:V195)+ABS(MAX(X191:X195))/(AK192/1000))*1000</f>
        <v>6288.3166666666666</v>
      </c>
      <c r="AL195" s="150" t="s">
        <v>505</v>
      </c>
      <c r="AM195" s="24">
        <f>+AR190*0.4/3</f>
        <v>466.66666666666669</v>
      </c>
      <c r="AN195" s="24"/>
      <c r="AO195" s="150" t="s">
        <v>509</v>
      </c>
      <c r="AP195" s="24">
        <f>((AN192/10/2-AK192/10/2)/2)*(MAX(+ABS(MAX(X191:X195)),ABS(MIN(X191:X195)))*100000/(AK192/10))</f>
        <v>12421.1875</v>
      </c>
      <c r="AQ195" s="150" t="s">
        <v>511</v>
      </c>
      <c r="AR195" s="24">
        <f>+AP195/(AL192*AP192*AP192/6/1000)</f>
        <v>962.38539514462809</v>
      </c>
      <c r="AS195" s="152" t="str">
        <f>IF(AR195&lt;=0.6*AR190*1.1,"OK","REDIS")</f>
        <v>OK</v>
      </c>
      <c r="AT195" s="24" t="s">
        <v>517</v>
      </c>
      <c r="AU195" s="174">
        <f>+AW192*(AP195/100000)/((AN192-AK192)/1000/4)/(AU192-1)</f>
        <v>1.98739</v>
      </c>
      <c r="AV195" s="24"/>
      <c r="AW195" s="161"/>
      <c r="AX195" s="156" t="s">
        <v>522</v>
      </c>
      <c r="AY195" s="181">
        <f>IF(AY193=(1+3/8),+AV192/3,IF(AY193=(1+1/8),+AV192/6,IF(AY193=1,+AV192/8,IF(AY193=(7/8),+AV192/11,IF(AY193=0.75,+AV192/18,IF(AY193=(9/16),+AV192/45,IF(AY193=(7/16),+AV192/84,"NO HAY DATO")))))))</f>
        <v>1.3333333333333333</v>
      </c>
      <c r="AZ195" s="167" t="s">
        <v>527</v>
      </c>
      <c r="BA195" s="176"/>
      <c r="BB195" s="164" t="s">
        <v>523</v>
      </c>
      <c r="BC195" s="129">
        <f>+BC194*BC193*2.54/100</f>
        <v>2.4384000000000001</v>
      </c>
      <c r="BD195" s="173" t="s">
        <v>528</v>
      </c>
      <c r="BE195" s="130"/>
      <c r="BG195" s="9"/>
    </row>
    <row r="196" spans="1:74" ht="15" hidden="1" x14ac:dyDescent="0.25">
      <c r="A196" s="216" t="s">
        <v>668</v>
      </c>
      <c r="B196" s="216" t="s">
        <v>625</v>
      </c>
      <c r="C196" s="216" t="s">
        <v>389</v>
      </c>
      <c r="D196" s="216">
        <v>-0.16320000000000001</v>
      </c>
      <c r="E196" s="216">
        <v>5.6899999999999999E-2</v>
      </c>
      <c r="F196" s="216">
        <v>1.9863999999999999</v>
      </c>
      <c r="G196" s="216">
        <v>-9.6600000000000005E-2</v>
      </c>
      <c r="H196" s="216">
        <v>-0.15665000000000001</v>
      </c>
      <c r="I196" s="216">
        <v>-1.2999999999999999E-4</v>
      </c>
      <c r="K196" s="25" t="s">
        <v>357</v>
      </c>
      <c r="L196" s="26" t="s">
        <v>358</v>
      </c>
      <c r="M196" s="27" t="s">
        <v>359</v>
      </c>
      <c r="N196" s="27" t="s">
        <v>360</v>
      </c>
      <c r="O196" s="27" t="s">
        <v>361</v>
      </c>
      <c r="P196" s="27" t="s">
        <v>362</v>
      </c>
      <c r="Q196" s="27" t="s">
        <v>363</v>
      </c>
      <c r="R196" s="28" t="s">
        <v>364</v>
      </c>
      <c r="S196" s="17"/>
      <c r="T196" s="29" t="s">
        <v>365</v>
      </c>
      <c r="U196" s="29" t="s">
        <v>358</v>
      </c>
      <c r="V196" s="30" t="s">
        <v>361</v>
      </c>
      <c r="W196" s="30" t="s">
        <v>362</v>
      </c>
      <c r="X196" s="30" t="s">
        <v>363</v>
      </c>
      <c r="Y196" s="29" t="s">
        <v>366</v>
      </c>
      <c r="Z196" s="31" t="s">
        <v>367</v>
      </c>
      <c r="AA196" s="23" t="s">
        <v>368</v>
      </c>
      <c r="AB196" s="23" t="s">
        <v>369</v>
      </c>
      <c r="AC196" s="22" t="s">
        <v>0</v>
      </c>
      <c r="AD196" s="22" t="s">
        <v>1</v>
      </c>
      <c r="AE196" s="22" t="s">
        <v>370</v>
      </c>
      <c r="AF196" s="22" t="s">
        <v>371</v>
      </c>
      <c r="AG196" s="22" t="s">
        <v>372</v>
      </c>
      <c r="AH196" s="32" t="s">
        <v>373</v>
      </c>
      <c r="AJ196" s="143" t="s">
        <v>365</v>
      </c>
      <c r="AK196" s="144" t="s">
        <v>498</v>
      </c>
      <c r="AL196" s="145"/>
      <c r="AM196" s="139"/>
      <c r="AN196" s="146" t="s">
        <v>499</v>
      </c>
      <c r="AO196" s="145"/>
      <c r="AP196" s="139"/>
      <c r="AQ196" s="147" t="s">
        <v>506</v>
      </c>
      <c r="AR196" s="48">
        <v>3500</v>
      </c>
      <c r="AS196" s="147" t="s">
        <v>405</v>
      </c>
      <c r="AT196" s="146" t="s">
        <v>512</v>
      </c>
      <c r="AU196" s="145"/>
      <c r="AV196" s="145"/>
      <c r="AW196" s="145"/>
      <c r="AX196" s="163" t="s">
        <v>532</v>
      </c>
      <c r="AY196" s="157" t="s">
        <v>515</v>
      </c>
      <c r="AZ196" s="169">
        <v>6.9</v>
      </c>
      <c r="BA196" s="171" t="str">
        <f>IF(MAX(AU200:AU201)&lt;=AZ196,"OK","REDIS")</f>
        <v>OK</v>
      </c>
      <c r="BB196" s="163" t="s">
        <v>536</v>
      </c>
      <c r="BC196" s="170" t="s">
        <v>515</v>
      </c>
      <c r="BD196" s="169">
        <v>8.36</v>
      </c>
      <c r="BE196" s="171" t="str">
        <f>IF(MAX(AU200:AU201)&lt;=BD196,"OK","REDIS")</f>
        <v>OK</v>
      </c>
      <c r="BG196" s="113"/>
      <c r="BH196" s="68"/>
      <c r="BI196" s="114"/>
      <c r="BJ196" s="109"/>
      <c r="BK196" s="142"/>
      <c r="BM196" s="110"/>
      <c r="BN196" s="110"/>
      <c r="BO196" s="110"/>
      <c r="BP196" s="110"/>
    </row>
    <row r="197" spans="1:74" ht="15" hidden="1" x14ac:dyDescent="0.25">
      <c r="A197" s="216" t="s">
        <v>669</v>
      </c>
      <c r="B197" s="216" t="s">
        <v>351</v>
      </c>
      <c r="C197" s="216" t="s">
        <v>352</v>
      </c>
      <c r="D197" s="216">
        <v>-6.3399999999999998E-2</v>
      </c>
      <c r="E197" s="216">
        <v>-0.22589999999999999</v>
      </c>
      <c r="F197" s="216">
        <v>5.1351000000000004</v>
      </c>
      <c r="G197" s="216">
        <v>0.17674999999999999</v>
      </c>
      <c r="H197" s="216">
        <v>-6.497E-2</v>
      </c>
      <c r="I197" s="216">
        <v>7.0149999999999998E-5</v>
      </c>
      <c r="K197" s="33" t="str">
        <f>+A197</f>
        <v>89</v>
      </c>
      <c r="L197" s="17" t="s">
        <v>374</v>
      </c>
      <c r="M197" s="34">
        <f t="shared" ref="M197:R197" si="247">D197+D198</f>
        <v>-0.10150000000000001</v>
      </c>
      <c r="N197" s="34">
        <f t="shared" si="247"/>
        <v>-0.36929999999999996</v>
      </c>
      <c r="O197" s="34">
        <f t="shared" si="247"/>
        <v>7.7809000000000008</v>
      </c>
      <c r="P197" s="34">
        <f t="shared" si="247"/>
        <v>0.28994999999999999</v>
      </c>
      <c r="Q197" s="34">
        <f t="shared" si="247"/>
        <v>-0.10389000000000001</v>
      </c>
      <c r="R197" s="35">
        <f t="shared" si="247"/>
        <v>1.0465999999999999E-4</v>
      </c>
      <c r="S197" s="17"/>
      <c r="T197" s="29" t="str">
        <f>K197</f>
        <v>89</v>
      </c>
      <c r="U197" s="29" t="s">
        <v>374</v>
      </c>
      <c r="V197" s="23">
        <f t="shared" ref="V197:X201" si="248">O197</f>
        <v>7.7809000000000008</v>
      </c>
      <c r="W197" s="23">
        <f t="shared" si="248"/>
        <v>0.28994999999999999</v>
      </c>
      <c r="X197" s="23">
        <f t="shared" si="248"/>
        <v>-0.10389000000000001</v>
      </c>
      <c r="Y197" s="29">
        <v>15</v>
      </c>
      <c r="Z197" s="31">
        <f>ABS(V197)/AC197/AD197</f>
        <v>5.8946212121212129</v>
      </c>
      <c r="AA197" s="23">
        <f>ABS(+W197/V197)</f>
        <v>3.7264326748833676E-2</v>
      </c>
      <c r="AB197" s="23">
        <f>ABS(X197/V197)</f>
        <v>1.3351925869757997E-2</v>
      </c>
      <c r="AC197" s="36">
        <v>0.6</v>
      </c>
      <c r="AD197" s="37">
        <v>2.2000000000000002</v>
      </c>
      <c r="AE197" s="22">
        <f t="shared" ref="AE197:AF201" si="249">AC197-2*AA197</f>
        <v>0.52547134650233263</v>
      </c>
      <c r="AF197" s="22">
        <f t="shared" si="249"/>
        <v>2.173296148260484</v>
      </c>
      <c r="AG197" s="22">
        <f>AF197*AE197</f>
        <v>1.1420048533747698</v>
      </c>
      <c r="AH197" s="38">
        <f>V197/AG197</f>
        <v>6.8133685920917504</v>
      </c>
      <c r="AJ197" s="48" t="str">
        <f>+K197</f>
        <v>89</v>
      </c>
      <c r="AK197" s="147" t="s">
        <v>0</v>
      </c>
      <c r="AL197" s="147" t="s">
        <v>1</v>
      </c>
      <c r="AM197" s="147" t="s">
        <v>438</v>
      </c>
      <c r="AN197" s="147" t="s">
        <v>503</v>
      </c>
      <c r="AO197" s="147" t="s">
        <v>504</v>
      </c>
      <c r="AP197" s="147" t="s">
        <v>323</v>
      </c>
      <c r="AQ197" s="48"/>
      <c r="AR197" s="48"/>
      <c r="AS197" s="48"/>
      <c r="AT197" s="147" t="s">
        <v>0</v>
      </c>
      <c r="AU197" s="147" t="s">
        <v>1</v>
      </c>
      <c r="AV197" s="147" t="s">
        <v>513</v>
      </c>
      <c r="AW197" s="159" t="s">
        <v>520</v>
      </c>
      <c r="AX197" s="141" t="s">
        <v>530</v>
      </c>
      <c r="AY197" s="157" t="s">
        <v>178</v>
      </c>
      <c r="AZ197" s="44">
        <v>12</v>
      </c>
      <c r="BA197" s="172" t="str">
        <f>IF(AW200&lt;=AZ197,"OK","REDIS")</f>
        <v>OK</v>
      </c>
      <c r="BB197" s="141" t="s">
        <v>535</v>
      </c>
      <c r="BC197" s="120" t="s">
        <v>178</v>
      </c>
      <c r="BD197" s="44">
        <v>4.3</v>
      </c>
      <c r="BE197" s="172" t="str">
        <f>IF(AW200&lt;=BD197,"OK","REDIS")</f>
        <v>OK</v>
      </c>
      <c r="BG197" s="113"/>
      <c r="BH197" s="68"/>
      <c r="BI197" s="209"/>
      <c r="BJ197" s="125"/>
      <c r="BK197" s="44"/>
      <c r="BL197" s="44"/>
      <c r="BM197" s="126"/>
      <c r="BN197" s="44"/>
      <c r="BO197" s="44"/>
      <c r="BP197" s="44"/>
      <c r="BQ197" s="126"/>
      <c r="BR197" s="44"/>
      <c r="BS197" s="44"/>
      <c r="BT197" s="44"/>
      <c r="BU197" s="44"/>
      <c r="BV197" s="44"/>
    </row>
    <row r="198" spans="1:74" ht="15" hidden="1" x14ac:dyDescent="0.25">
      <c r="A198" s="216" t="s">
        <v>669</v>
      </c>
      <c r="B198" s="216" t="s">
        <v>353</v>
      </c>
      <c r="C198" s="216" t="s">
        <v>352</v>
      </c>
      <c r="D198" s="216">
        <v>-3.8100000000000002E-2</v>
      </c>
      <c r="E198" s="216">
        <v>-0.1434</v>
      </c>
      <c r="F198" s="216">
        <v>2.6457999999999999</v>
      </c>
      <c r="G198" s="216">
        <v>0.1132</v>
      </c>
      <c r="H198" s="216">
        <v>-3.8920000000000003E-2</v>
      </c>
      <c r="I198" s="216">
        <v>3.451E-5</v>
      </c>
      <c r="K198" s="33"/>
      <c r="L198" s="17" t="s">
        <v>375</v>
      </c>
      <c r="M198" s="34">
        <f t="shared" ref="M198:R198" si="250">D197+0.25*D198+D199</f>
        <v>-0.113525</v>
      </c>
      <c r="N198" s="34">
        <f t="shared" si="250"/>
        <v>-0.28734999999999999</v>
      </c>
      <c r="O198" s="34">
        <f t="shared" si="250"/>
        <v>5.858950000000001</v>
      </c>
      <c r="P198" s="34">
        <f t="shared" si="250"/>
        <v>0.28691</v>
      </c>
      <c r="Q198" s="34">
        <f t="shared" si="250"/>
        <v>-0.14212</v>
      </c>
      <c r="R198" s="35">
        <f t="shared" si="250"/>
        <v>-4.5122249999999999E-4</v>
      </c>
      <c r="S198" s="17"/>
      <c r="T198" s="29"/>
      <c r="U198" s="29" t="s">
        <v>375</v>
      </c>
      <c r="V198" s="23">
        <f t="shared" si="248"/>
        <v>5.858950000000001</v>
      </c>
      <c r="W198" s="23">
        <f t="shared" si="248"/>
        <v>0.28691</v>
      </c>
      <c r="X198" s="23">
        <f t="shared" si="248"/>
        <v>-0.14212</v>
      </c>
      <c r="Y198" s="29">
        <f>1.33*Y197</f>
        <v>19.950000000000003</v>
      </c>
      <c r="Z198" s="31">
        <f>ABS(V198)/AC198/AD198</f>
        <v>4.4385984848484847</v>
      </c>
      <c r="AA198" s="23">
        <f>ABS(+W198/V198)</f>
        <v>4.8969525256231911E-2</v>
      </c>
      <c r="AB198" s="23">
        <f>ABS(X198/V198)</f>
        <v>2.4256906100922515E-2</v>
      </c>
      <c r="AC198" s="36">
        <f t="shared" ref="AC198:AD201" si="251">AC197</f>
        <v>0.6</v>
      </c>
      <c r="AD198" s="37">
        <f t="shared" si="251"/>
        <v>2.2000000000000002</v>
      </c>
      <c r="AE198" s="22">
        <f t="shared" si="249"/>
        <v>0.5020609494875361</v>
      </c>
      <c r="AF198" s="22">
        <f t="shared" si="249"/>
        <v>2.151486187798155</v>
      </c>
      <c r="AG198" s="22">
        <f>AF198*AE198</f>
        <v>1.080177198255261</v>
      </c>
      <c r="AH198" s="38">
        <f>V198/AG198</f>
        <v>5.4240637642264407</v>
      </c>
      <c r="AJ198" s="147" t="s">
        <v>539</v>
      </c>
      <c r="AK198" s="148">
        <v>300</v>
      </c>
      <c r="AL198" s="148">
        <v>160</v>
      </c>
      <c r="AM198" s="148">
        <v>4</v>
      </c>
      <c r="AN198" s="149">
        <v>450</v>
      </c>
      <c r="AO198" s="149">
        <v>250</v>
      </c>
      <c r="AP198" s="149">
        <v>22</v>
      </c>
      <c r="AQ198" s="48"/>
      <c r="AR198" s="48"/>
      <c r="AS198" s="48"/>
      <c r="AT198" s="48">
        <v>3</v>
      </c>
      <c r="AU198" s="48">
        <v>3</v>
      </c>
      <c r="AV198" s="149">
        <f>+AT198*2+(AU198-2)*2</f>
        <v>8</v>
      </c>
      <c r="AW198" s="159">
        <v>1.2</v>
      </c>
      <c r="AX198" s="155" t="s">
        <v>538</v>
      </c>
      <c r="AY198" s="180">
        <f>+AV198</f>
        <v>8</v>
      </c>
      <c r="BA198" s="154"/>
      <c r="BB198" s="177" t="s">
        <v>537</v>
      </c>
      <c r="BC198" s="179">
        <v>1</v>
      </c>
      <c r="BD198" s="166" t="s">
        <v>526</v>
      </c>
      <c r="BE198" s="154"/>
      <c r="BG198" s="113"/>
      <c r="BH198" s="68"/>
      <c r="BI198" s="136"/>
      <c r="BJ198" s="124"/>
      <c r="BK198" s="63"/>
      <c r="BL198" s="63"/>
      <c r="BM198" s="125"/>
      <c r="BN198" s="133"/>
      <c r="BO198" s="44"/>
      <c r="BP198" s="64"/>
      <c r="BQ198" s="125"/>
      <c r="BS198" s="63"/>
      <c r="BT198" s="63"/>
      <c r="BU198" s="63"/>
      <c r="BV198" s="63"/>
    </row>
    <row r="199" spans="1:74" ht="15" hidden="1" x14ac:dyDescent="0.25">
      <c r="A199" s="216" t="s">
        <v>669</v>
      </c>
      <c r="B199" s="216" t="s">
        <v>354</v>
      </c>
      <c r="C199" s="216" t="s">
        <v>352</v>
      </c>
      <c r="D199" s="216">
        <v>-4.0599999999999997E-2</v>
      </c>
      <c r="E199" s="216">
        <v>-2.5600000000000001E-2</v>
      </c>
      <c r="F199" s="216">
        <v>6.2399999999999997E-2</v>
      </c>
      <c r="G199" s="216">
        <v>8.1860000000000002E-2</v>
      </c>
      <c r="H199" s="216">
        <v>-6.7419999999999994E-2</v>
      </c>
      <c r="I199" s="216">
        <v>-5.2999999999999998E-4</v>
      </c>
      <c r="K199" s="33"/>
      <c r="L199" s="17" t="s">
        <v>376</v>
      </c>
      <c r="M199" s="34">
        <f t="shared" ref="M199:R199" si="252">D197+0.25*D198-D199</f>
        <v>-3.2325000000000007E-2</v>
      </c>
      <c r="N199" s="34">
        <f t="shared" si="252"/>
        <v>-0.23614999999999997</v>
      </c>
      <c r="O199" s="34">
        <f t="shared" si="252"/>
        <v>5.7341500000000005</v>
      </c>
      <c r="P199" s="34">
        <f t="shared" si="252"/>
        <v>0.12318999999999998</v>
      </c>
      <c r="Q199" s="34">
        <f t="shared" si="252"/>
        <v>-7.2800000000000087E-3</v>
      </c>
      <c r="R199" s="35">
        <f t="shared" si="252"/>
        <v>6.0877749999999997E-4</v>
      </c>
      <c r="S199" s="17"/>
      <c r="T199" s="29"/>
      <c r="U199" s="29" t="s">
        <v>376</v>
      </c>
      <c r="V199" s="23">
        <f t="shared" si="248"/>
        <v>5.7341500000000005</v>
      </c>
      <c r="W199" s="23">
        <f t="shared" si="248"/>
        <v>0.12318999999999998</v>
      </c>
      <c r="X199" s="23">
        <f t="shared" si="248"/>
        <v>-7.2800000000000087E-3</v>
      </c>
      <c r="Y199" s="29"/>
      <c r="Z199" s="31">
        <f>ABS(V199)/AC199/AD199</f>
        <v>4.3440530303030309</v>
      </c>
      <c r="AA199" s="23">
        <f>ABS(+W199/V199)</f>
        <v>2.1483567747617338E-2</v>
      </c>
      <c r="AB199" s="23">
        <f>ABS(X199/V199)</f>
        <v>1.2695865995832002E-3</v>
      </c>
      <c r="AC199" s="36">
        <f t="shared" si="251"/>
        <v>0.6</v>
      </c>
      <c r="AD199" s="37">
        <f t="shared" si="251"/>
        <v>2.2000000000000002</v>
      </c>
      <c r="AE199" s="22">
        <f t="shared" si="249"/>
        <v>0.5570328645047653</v>
      </c>
      <c r="AF199" s="22">
        <f t="shared" si="249"/>
        <v>2.197460826800834</v>
      </c>
      <c r="AG199" s="22">
        <f>AF199*AE199</f>
        <v>1.2240578989898785</v>
      </c>
      <c r="AH199" s="38">
        <f>V199/AG199</f>
        <v>4.6845414785787147</v>
      </c>
      <c r="AJ199" s="146" t="s">
        <v>514</v>
      </c>
      <c r="AK199" s="145"/>
      <c r="AL199" s="145"/>
      <c r="AM199" s="145"/>
      <c r="AN199" s="139"/>
      <c r="AO199" s="146" t="s">
        <v>507</v>
      </c>
      <c r="AP199" s="145" t="s">
        <v>626</v>
      </c>
      <c r="AQ199" s="145">
        <f>0.6*AR196</f>
        <v>2100</v>
      </c>
      <c r="AR199" s="212" t="s">
        <v>627</v>
      </c>
      <c r="AS199" s="211">
        <f>+AR200+AR201</f>
        <v>637.73824896694214</v>
      </c>
      <c r="AT199" s="48" t="s">
        <v>515</v>
      </c>
      <c r="AU199" s="48"/>
      <c r="AV199" s="48" t="s">
        <v>518</v>
      </c>
      <c r="AW199" s="160"/>
      <c r="AX199" s="155" t="s">
        <v>524</v>
      </c>
      <c r="AY199" s="182">
        <f>IF(BC198=(1+1/4),+(1+3/8),IF(BC198=1,(1+1/8),IF(BC198=(7/8),1,IF(BC198=(3/4),+(7/8),IF(BC198=(5/8),+(3/4),IF(BC198=(1/2),(9/16),IF(BC198=(3/8),+(7/16),"no valido")))))))</f>
        <v>1.125</v>
      </c>
      <c r="AZ199" s="165" t="s">
        <v>526</v>
      </c>
      <c r="BA199" s="172" t="s">
        <v>531</v>
      </c>
      <c r="BB199" s="178" t="s">
        <v>529</v>
      </c>
      <c r="BC199" s="158">
        <f>+AY200+3</f>
        <v>12</v>
      </c>
      <c r="BD199" s="166" t="s">
        <v>526</v>
      </c>
      <c r="BE199" s="172" t="s">
        <v>531</v>
      </c>
      <c r="BG199" s="113"/>
      <c r="BH199" s="68"/>
      <c r="BI199" s="136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126"/>
      <c r="BV199" s="63"/>
    </row>
    <row r="200" spans="1:74" ht="15" hidden="1" x14ac:dyDescent="0.25">
      <c r="A200" s="216" t="s">
        <v>669</v>
      </c>
      <c r="B200" s="216" t="s">
        <v>355</v>
      </c>
      <c r="C200" s="216" t="s">
        <v>352</v>
      </c>
      <c r="D200" s="216">
        <v>5.5999999999999999E-3</v>
      </c>
      <c r="E200" s="216">
        <v>-0.16189999999999999</v>
      </c>
      <c r="F200" s="216">
        <v>-0.6129</v>
      </c>
      <c r="G200" s="216">
        <v>0.65556000000000003</v>
      </c>
      <c r="H200" s="216">
        <v>9.0200000000000002E-3</v>
      </c>
      <c r="I200" s="216">
        <v>7.9690000000000004E-5</v>
      </c>
      <c r="K200" s="33"/>
      <c r="L200" s="17" t="s">
        <v>377</v>
      </c>
      <c r="M200" s="34">
        <f t="shared" ref="M200:R200" si="253">D197+0.25*D198+D200</f>
        <v>-6.732500000000001E-2</v>
      </c>
      <c r="N200" s="34">
        <f t="shared" si="253"/>
        <v>-0.42364999999999997</v>
      </c>
      <c r="O200" s="34">
        <f t="shared" si="253"/>
        <v>5.183650000000001</v>
      </c>
      <c r="P200" s="34">
        <f t="shared" si="253"/>
        <v>0.86060999999999999</v>
      </c>
      <c r="Q200" s="34">
        <f t="shared" si="253"/>
        <v>-6.5680000000000002E-2</v>
      </c>
      <c r="R200" s="35">
        <f t="shared" si="253"/>
        <v>1.5846750000000001E-4</v>
      </c>
      <c r="S200" s="17"/>
      <c r="T200" s="29"/>
      <c r="U200" s="29" t="s">
        <v>377</v>
      </c>
      <c r="V200" s="23">
        <f t="shared" si="248"/>
        <v>5.183650000000001</v>
      </c>
      <c r="W200" s="23">
        <f t="shared" si="248"/>
        <v>0.86060999999999999</v>
      </c>
      <c r="X200" s="23">
        <f t="shared" si="248"/>
        <v>-6.5680000000000002E-2</v>
      </c>
      <c r="Y200" s="29"/>
      <c r="Z200" s="31">
        <f>ABS(V200)/AC200/AD200</f>
        <v>3.9270075757575764</v>
      </c>
      <c r="AA200" s="23">
        <f>ABS(+W200/V200)</f>
        <v>0.16602394065957382</v>
      </c>
      <c r="AB200" s="23">
        <f>ABS(X200/V200)</f>
        <v>1.2670608548030825E-2</v>
      </c>
      <c r="AC200" s="36">
        <f t="shared" si="251"/>
        <v>0.6</v>
      </c>
      <c r="AD200" s="37">
        <f t="shared" si="251"/>
        <v>2.2000000000000002</v>
      </c>
      <c r="AE200" s="22">
        <f t="shared" si="249"/>
        <v>0.26795211868085234</v>
      </c>
      <c r="AF200" s="22">
        <f t="shared" si="249"/>
        <v>2.1746587829039385</v>
      </c>
      <c r="AG200" s="22">
        <f>AF200*AE200</f>
        <v>0.58270442828703406</v>
      </c>
      <c r="AH200" s="38">
        <f>V200/AG200</f>
        <v>8.8958479605831826</v>
      </c>
      <c r="AJ200" s="147" t="s">
        <v>500</v>
      </c>
      <c r="AK200" s="24">
        <f>(MAX(V197:V201)+ABS(MAX(W197:W201))/(AL198/1000))*1000</f>
        <v>13159.712500000001</v>
      </c>
      <c r="AL200" s="150" t="s">
        <v>502</v>
      </c>
      <c r="AM200" s="24">
        <f>+ABS(MAX(AK200:AK201))/(+AK198*2/10+AL198*2/10)/(AP198/10)</f>
        <v>65.018342391304344</v>
      </c>
      <c r="AN200" s="151" t="str">
        <f>IF(AM200&lt;=AM201,"OK","REDIS")</f>
        <v>OK</v>
      </c>
      <c r="AO200" s="150" t="s">
        <v>508</v>
      </c>
      <c r="AP200" s="24">
        <f>((AO198/10/2-AL198/10/2)/2)*((MAX(ABS(MAX(W197:W201)),ABS(MIN(W197:W201)))*100000))/(AL198/10)</f>
        <v>12102.328125</v>
      </c>
      <c r="AQ200" s="150" t="s">
        <v>510</v>
      </c>
      <c r="AR200" s="24">
        <f>+AP200/(AK198*AP198*AP198/6/10/10/10)</f>
        <v>500.0962035123967</v>
      </c>
      <c r="AS200" s="152" t="str">
        <f>IF(AR200&lt;=0.6*AR196*1.1,"OK","REDIS")</f>
        <v>OK</v>
      </c>
      <c r="AT200" s="24" t="s">
        <v>516</v>
      </c>
      <c r="AU200" s="174">
        <f>+AW198*(AP200/100000)/((AO198-AL198)/1000/4)/(AT198-1)</f>
        <v>3.2272874999999996</v>
      </c>
      <c r="AV200" s="24" t="s">
        <v>519</v>
      </c>
      <c r="AW200" s="175">
        <f>+AW198*(ABS(MAX(M197:M201))+ABS(MIN(M197:M201)+ABS(MAX(N197:N201))+ABS(MIN(N197:N201))))/AV198</f>
        <v>6.6344999999999987E-2</v>
      </c>
      <c r="AX200" s="155" t="s">
        <v>525</v>
      </c>
      <c r="AY200" s="182">
        <f>IF(BC198=(1+1/4),+(11-1/4),IF(BC198=1,(9),IF(BC198=(7/8),(7-7/8),IF(BC198=(3/4),+(6-3/4),IF(BC198=(5/8),+(5-5/8),IF(BC198=(1/2),(4-1/2),IF(BC198=(3-3/8),+(7/16),"no valido")))))))</f>
        <v>9</v>
      </c>
      <c r="AZ200" s="166" t="s">
        <v>526</v>
      </c>
      <c r="BA200" s="168" t="s">
        <v>533</v>
      </c>
      <c r="BB200" s="153" t="s">
        <v>521</v>
      </c>
      <c r="BC200" s="44">
        <f>+AV198</f>
        <v>8</v>
      </c>
      <c r="BD200" s="166" t="s">
        <v>527</v>
      </c>
      <c r="BE200" s="162" t="s">
        <v>534</v>
      </c>
      <c r="BG200" s="113"/>
      <c r="BH200" s="68"/>
      <c r="BI200" s="136"/>
      <c r="BJ200" s="45"/>
      <c r="BK200" s="63"/>
      <c r="BL200" s="63"/>
      <c r="BM200" s="63"/>
      <c r="BN200" s="70"/>
      <c r="BO200" s="70"/>
      <c r="BP200" s="44"/>
      <c r="BQ200" s="63"/>
      <c r="BR200" s="44"/>
      <c r="BS200" s="70"/>
      <c r="BT200" s="70"/>
      <c r="BU200" s="207"/>
      <c r="BV200" s="63"/>
    </row>
    <row r="201" spans="1:74" ht="15" hidden="1" x14ac:dyDescent="0.25">
      <c r="A201" s="216" t="s">
        <v>669</v>
      </c>
      <c r="B201" s="216" t="s">
        <v>624</v>
      </c>
      <c r="C201" s="216" t="s">
        <v>389</v>
      </c>
      <c r="D201" s="216">
        <v>-8.8700000000000001E-2</v>
      </c>
      <c r="E201" s="216">
        <v>-0.31619999999999998</v>
      </c>
      <c r="F201" s="216">
        <v>7.1891999999999996</v>
      </c>
      <c r="G201" s="216">
        <v>0.24745</v>
      </c>
      <c r="H201" s="216">
        <v>-9.0950000000000003E-2</v>
      </c>
      <c r="I201" s="216">
        <v>9.8209999999999997E-5</v>
      </c>
      <c r="K201" s="39"/>
      <c r="L201" s="40" t="s">
        <v>378</v>
      </c>
      <c r="M201" s="41">
        <f t="shared" ref="M201:R201" si="254">D197+0.25*D198-D200</f>
        <v>-7.8524999999999998E-2</v>
      </c>
      <c r="N201" s="41">
        <f t="shared" si="254"/>
        <v>-9.9849999999999994E-2</v>
      </c>
      <c r="O201" s="41">
        <f t="shared" si="254"/>
        <v>6.4094500000000005</v>
      </c>
      <c r="P201" s="41">
        <f t="shared" si="254"/>
        <v>-0.45051000000000008</v>
      </c>
      <c r="Q201" s="41">
        <f t="shared" si="254"/>
        <v>-8.3720000000000003E-2</v>
      </c>
      <c r="R201" s="42">
        <f t="shared" si="254"/>
        <v>-9.1250000000000185E-7</v>
      </c>
      <c r="S201" s="17"/>
      <c r="T201" s="29"/>
      <c r="U201" s="29" t="s">
        <v>378</v>
      </c>
      <c r="V201" s="23">
        <f t="shared" si="248"/>
        <v>6.4094500000000005</v>
      </c>
      <c r="W201" s="23">
        <f t="shared" si="248"/>
        <v>-0.45051000000000008</v>
      </c>
      <c r="X201" s="23">
        <f t="shared" si="248"/>
        <v>-8.3720000000000003E-2</v>
      </c>
      <c r="Y201" s="29"/>
      <c r="Z201" s="31">
        <f>ABS(V201)/AC201/AD201</f>
        <v>4.8556439393939401</v>
      </c>
      <c r="AA201" s="23">
        <f>ABS(+W201/V201)</f>
        <v>7.0288402281006954E-2</v>
      </c>
      <c r="AB201" s="23">
        <f>ABS(X201/V201)</f>
        <v>1.3061963194969927E-2</v>
      </c>
      <c r="AC201" s="36">
        <f t="shared" si="251"/>
        <v>0.6</v>
      </c>
      <c r="AD201" s="37">
        <f t="shared" si="251"/>
        <v>2.2000000000000002</v>
      </c>
      <c r="AE201" s="22">
        <f t="shared" si="249"/>
        <v>0.45942319543798604</v>
      </c>
      <c r="AF201" s="22">
        <f t="shared" si="249"/>
        <v>2.1738760736100602</v>
      </c>
      <c r="AG201" s="22">
        <f>AF201*AE201</f>
        <v>0.99872909222411643</v>
      </c>
      <c r="AH201" s="38">
        <f>V201/AG201</f>
        <v>6.4176061856038427</v>
      </c>
      <c r="AJ201" s="147" t="s">
        <v>501</v>
      </c>
      <c r="AK201" s="24">
        <f>(MAX(V197:V201)+ABS(MAX(X197:X201))/(AK198/1000))*1000</f>
        <v>7805.1666666666679</v>
      </c>
      <c r="AL201" s="150" t="s">
        <v>505</v>
      </c>
      <c r="AM201" s="24">
        <f>+AR196*0.4/3</f>
        <v>466.66666666666669</v>
      </c>
      <c r="AN201" s="24"/>
      <c r="AO201" s="150" t="s">
        <v>509</v>
      </c>
      <c r="AP201" s="24">
        <f>((AN198/10/2-AK198/10/2)/2)*(MAX(+ABS(MAX(X197:X201)),ABS(MIN(X197:X201)))*100000/(AK198/10))</f>
        <v>1776.5</v>
      </c>
      <c r="AQ201" s="150" t="s">
        <v>511</v>
      </c>
      <c r="AR201" s="24">
        <f>+AP201/(AL198*AP198*AP198/6/1000)</f>
        <v>137.64204545454547</v>
      </c>
      <c r="AS201" s="152" t="str">
        <f>IF(AR201&lt;=0.6*AR196*1.1,"OK","REDIS")</f>
        <v>OK</v>
      </c>
      <c r="AT201" s="24" t="s">
        <v>517</v>
      </c>
      <c r="AU201" s="174">
        <f>+AW198*(AP201/100000)/((AN198-AK198)/1000/4)/(AU198-1)</f>
        <v>0.28423999999999999</v>
      </c>
      <c r="AV201" s="24"/>
      <c r="AW201" s="161"/>
      <c r="AX201" s="156" t="s">
        <v>522</v>
      </c>
      <c r="AY201" s="181">
        <f>IF(AY199=(1+3/8),+AV198/3,IF(AY199=(1+1/8),+AV198/6,IF(AY199=1,+AV198/8,IF(AY199=(7/8),+AV198/11,IF(AY199=0.75,+AV198/18,IF(AY199=(9/16),+AV198/45,IF(AY199=(7/16),+AV198/84,"NO HAY DATO")))))))</f>
        <v>1.3333333333333333</v>
      </c>
      <c r="AZ201" s="167" t="s">
        <v>527</v>
      </c>
      <c r="BA201" s="176"/>
      <c r="BB201" s="164" t="s">
        <v>523</v>
      </c>
      <c r="BC201" s="129">
        <f>+BC200*BC199*2.54/100</f>
        <v>2.4384000000000001</v>
      </c>
      <c r="BD201" s="173" t="s">
        <v>528</v>
      </c>
      <c r="BE201" s="130"/>
      <c r="BG201" s="9"/>
      <c r="BJ201" s="134"/>
      <c r="BK201" s="135"/>
      <c r="BL201" s="63"/>
      <c r="BM201" s="125"/>
      <c r="BN201" s="133"/>
      <c r="BO201" s="44"/>
      <c r="BR201" s="135"/>
      <c r="BS201" s="63"/>
      <c r="BT201" s="125"/>
      <c r="BU201" s="133"/>
      <c r="BV201" s="44"/>
    </row>
    <row r="202" spans="1:74" ht="15" hidden="1" x14ac:dyDescent="0.25">
      <c r="A202" s="216" t="s">
        <v>669</v>
      </c>
      <c r="B202" s="216" t="s">
        <v>625</v>
      </c>
      <c r="C202" s="216" t="s">
        <v>389</v>
      </c>
      <c r="D202" s="216">
        <v>-5.6300000000000003E-2</v>
      </c>
      <c r="E202" s="216">
        <v>-1.8800000000000001E-2</v>
      </c>
      <c r="F202" s="216">
        <v>4.7210999999999999</v>
      </c>
      <c r="G202" s="216">
        <v>-0.51415999999999995</v>
      </c>
      <c r="H202" s="216">
        <v>-6.0990000000000003E-2</v>
      </c>
      <c r="I202" s="216">
        <v>-2.357E-5</v>
      </c>
      <c r="K202" s="25" t="s">
        <v>357</v>
      </c>
      <c r="L202" s="26" t="s">
        <v>358</v>
      </c>
      <c r="M202" s="27" t="s">
        <v>359</v>
      </c>
      <c r="N202" s="27" t="s">
        <v>360</v>
      </c>
      <c r="O202" s="27" t="s">
        <v>361</v>
      </c>
      <c r="P202" s="27" t="s">
        <v>362</v>
      </c>
      <c r="Q202" s="27" t="s">
        <v>363</v>
      </c>
      <c r="R202" s="28" t="s">
        <v>364</v>
      </c>
      <c r="S202" s="17"/>
      <c r="T202" s="29" t="s">
        <v>365</v>
      </c>
      <c r="U202" s="29" t="s">
        <v>358</v>
      </c>
      <c r="V202" s="30" t="s">
        <v>361</v>
      </c>
      <c r="W202" s="30" t="s">
        <v>362</v>
      </c>
      <c r="X202" s="30" t="s">
        <v>363</v>
      </c>
      <c r="Y202" s="29" t="s">
        <v>366</v>
      </c>
      <c r="Z202" s="31" t="s">
        <v>367</v>
      </c>
      <c r="AA202" s="23" t="s">
        <v>368</v>
      </c>
      <c r="AB202" s="23" t="s">
        <v>369</v>
      </c>
      <c r="AC202" s="22" t="s">
        <v>0</v>
      </c>
      <c r="AD202" s="22" t="s">
        <v>1</v>
      </c>
      <c r="AE202" s="22" t="s">
        <v>370</v>
      </c>
      <c r="AF202" s="22" t="s">
        <v>371</v>
      </c>
      <c r="AG202" s="22" t="s">
        <v>372</v>
      </c>
      <c r="AH202" s="32" t="s">
        <v>373</v>
      </c>
      <c r="AJ202" s="143" t="s">
        <v>365</v>
      </c>
      <c r="AK202" s="144" t="s">
        <v>498</v>
      </c>
      <c r="AL202" s="145"/>
      <c r="AM202" s="139"/>
      <c r="AN202" s="146" t="s">
        <v>499</v>
      </c>
      <c r="AO202" s="145"/>
      <c r="AP202" s="139"/>
      <c r="AQ202" s="147" t="s">
        <v>506</v>
      </c>
      <c r="AR202" s="48">
        <v>3500</v>
      </c>
      <c r="AS202" s="147" t="s">
        <v>405</v>
      </c>
      <c r="AT202" s="146" t="s">
        <v>512</v>
      </c>
      <c r="AU202" s="145"/>
      <c r="AV202" s="145"/>
      <c r="AW202" s="145"/>
      <c r="AX202" s="163" t="s">
        <v>532</v>
      </c>
      <c r="AY202" s="157" t="s">
        <v>515</v>
      </c>
      <c r="AZ202" s="169">
        <v>6.9</v>
      </c>
      <c r="BA202" s="171" t="str">
        <f>IF(MAX(AU206:AU207)&lt;=AZ202,"OK","REDIS")</f>
        <v>OK</v>
      </c>
      <c r="BB202" s="163" t="s">
        <v>536</v>
      </c>
      <c r="BC202" s="170" t="s">
        <v>515</v>
      </c>
      <c r="BD202" s="169">
        <v>8.36</v>
      </c>
      <c r="BE202" s="171" t="str">
        <f>IF(MAX(AU206:AU207)&lt;=BD202,"OK","REDIS")</f>
        <v>OK</v>
      </c>
      <c r="BG202" s="113"/>
      <c r="BH202" s="68"/>
      <c r="BI202" s="136"/>
      <c r="BJ202" s="128"/>
      <c r="BK202" s="111"/>
      <c r="BL202" s="16"/>
      <c r="BM202" s="63"/>
      <c r="BN202" s="44"/>
      <c r="BO202" s="126"/>
      <c r="BR202" s="111"/>
      <c r="BS202" s="16"/>
      <c r="BT202" s="63"/>
      <c r="BU202" s="44"/>
      <c r="BV202" s="126"/>
    </row>
    <row r="203" spans="1:74" ht="15" hidden="1" x14ac:dyDescent="0.25">
      <c r="A203" s="216" t="s">
        <v>670</v>
      </c>
      <c r="B203" s="216" t="s">
        <v>351</v>
      </c>
      <c r="C203" s="216" t="s">
        <v>352</v>
      </c>
      <c r="D203" s="216">
        <v>7.7399999999999997E-2</v>
      </c>
      <c r="E203" s="216">
        <v>-4.4999999999999997E-3</v>
      </c>
      <c r="F203" s="216">
        <v>2.3784000000000001</v>
      </c>
      <c r="G203" s="216">
        <v>-1.6709999999999999E-2</v>
      </c>
      <c r="H203" s="216">
        <v>8.5580000000000003E-2</v>
      </c>
      <c r="I203" s="216">
        <v>1.808E-5</v>
      </c>
      <c r="K203" s="33" t="str">
        <f>+A203</f>
        <v>114</v>
      </c>
      <c r="L203" s="17" t="s">
        <v>374</v>
      </c>
      <c r="M203" s="34">
        <f t="shared" ref="M203:R203" si="255">D203+D204</f>
        <v>0.12259999999999999</v>
      </c>
      <c r="N203" s="34">
        <f t="shared" si="255"/>
        <v>-8.5000000000000006E-3</v>
      </c>
      <c r="O203" s="34">
        <f t="shared" si="255"/>
        <v>3.4948000000000001</v>
      </c>
      <c r="P203" s="34">
        <f t="shared" si="255"/>
        <v>-2.4680000000000001E-2</v>
      </c>
      <c r="Q203" s="34">
        <f t="shared" si="255"/>
        <v>0.13502</v>
      </c>
      <c r="R203" s="35">
        <f t="shared" si="255"/>
        <v>2.8309999999999998E-5</v>
      </c>
      <c r="S203" s="17"/>
      <c r="T203" s="29" t="str">
        <f>K203</f>
        <v>114</v>
      </c>
      <c r="U203" s="29" t="s">
        <v>374</v>
      </c>
      <c r="V203" s="23">
        <f t="shared" ref="V203:X207" si="256">O203</f>
        <v>3.4948000000000001</v>
      </c>
      <c r="W203" s="23">
        <f t="shared" si="256"/>
        <v>-2.4680000000000001E-2</v>
      </c>
      <c r="X203" s="23">
        <f t="shared" si="256"/>
        <v>0.13502</v>
      </c>
      <c r="Y203" s="29">
        <v>15</v>
      </c>
      <c r="Z203" s="31">
        <f>ABS(V203)/AC203/AD203</f>
        <v>2.6475757575757575</v>
      </c>
      <c r="AA203" s="23">
        <f>ABS(+W203/V203)</f>
        <v>7.0619205677005838E-3</v>
      </c>
      <c r="AB203" s="23">
        <f>ABS(X203/V203)</f>
        <v>3.8634542749227424E-2</v>
      </c>
      <c r="AC203" s="36">
        <v>0.6</v>
      </c>
      <c r="AD203" s="37">
        <v>2.2000000000000002</v>
      </c>
      <c r="AE203" s="22">
        <f t="shared" ref="AE203:AF207" si="257">AC203-2*AA203</f>
        <v>0.58587615886459876</v>
      </c>
      <c r="AF203" s="22">
        <f t="shared" si="257"/>
        <v>2.1227309145015454</v>
      </c>
      <c r="AG203" s="22">
        <f>AF203*AE203</f>
        <v>1.2436574344913025</v>
      </c>
      <c r="AH203" s="38">
        <f>V203/AG203</f>
        <v>2.8100985875017024</v>
      </c>
      <c r="AJ203" s="48" t="str">
        <f>+K203</f>
        <v>114</v>
      </c>
      <c r="AK203" s="147" t="s">
        <v>0</v>
      </c>
      <c r="AL203" s="147" t="s">
        <v>1</v>
      </c>
      <c r="AM203" s="147" t="s">
        <v>438</v>
      </c>
      <c r="AN203" s="147" t="s">
        <v>503</v>
      </c>
      <c r="AO203" s="147" t="s">
        <v>504</v>
      </c>
      <c r="AP203" s="147" t="s">
        <v>323</v>
      </c>
      <c r="AQ203" s="48"/>
      <c r="AR203" s="48"/>
      <c r="AS203" s="48"/>
      <c r="AT203" s="147" t="s">
        <v>0</v>
      </c>
      <c r="AU203" s="147" t="s">
        <v>1</v>
      </c>
      <c r="AV203" s="147" t="s">
        <v>513</v>
      </c>
      <c r="AW203" s="159" t="s">
        <v>520</v>
      </c>
      <c r="AX203" s="141" t="s">
        <v>530</v>
      </c>
      <c r="AY203" s="157" t="s">
        <v>178</v>
      </c>
      <c r="AZ203" s="44">
        <v>12</v>
      </c>
      <c r="BA203" s="172" t="str">
        <f>IF(AW206&lt;=AZ203,"OK","REDIS")</f>
        <v>OK</v>
      </c>
      <c r="BB203" s="141" t="s">
        <v>535</v>
      </c>
      <c r="BC203" s="120" t="s">
        <v>178</v>
      </c>
      <c r="BD203" s="44">
        <v>4.3</v>
      </c>
      <c r="BE203" s="172" t="str">
        <f>IF(AW206&lt;=BD203,"OK","REDIS")</f>
        <v>OK</v>
      </c>
      <c r="BG203" s="113"/>
      <c r="BH203" s="68"/>
      <c r="BI203" s="136"/>
      <c r="BJ203" s="128"/>
      <c r="BM203" s="137"/>
      <c r="BN203" s="63"/>
      <c r="BO203" s="125"/>
      <c r="BT203" s="137"/>
      <c r="BU203" s="63"/>
      <c r="BV203" s="125"/>
    </row>
    <row r="204" spans="1:74" ht="15" hidden="1" x14ac:dyDescent="0.25">
      <c r="A204" s="216" t="s">
        <v>670</v>
      </c>
      <c r="B204" s="216" t="s">
        <v>353</v>
      </c>
      <c r="C204" s="216" t="s">
        <v>352</v>
      </c>
      <c r="D204" s="216">
        <v>4.5199999999999997E-2</v>
      </c>
      <c r="E204" s="216">
        <v>-4.0000000000000001E-3</v>
      </c>
      <c r="F204" s="216">
        <v>1.1164000000000001</v>
      </c>
      <c r="G204" s="216">
        <v>-7.9699999999999997E-3</v>
      </c>
      <c r="H204" s="216">
        <v>4.9439999999999998E-2</v>
      </c>
      <c r="I204" s="216">
        <v>1.023E-5</v>
      </c>
      <c r="K204" s="33"/>
      <c r="L204" s="17" t="s">
        <v>375</v>
      </c>
      <c r="M204" s="34">
        <f t="shared" ref="M204:R204" si="258">D203+0.25*D204+D205</f>
        <v>-5.0300000000000011E-2</v>
      </c>
      <c r="N204" s="34">
        <f t="shared" si="258"/>
        <v>-4.4999999999999997E-3</v>
      </c>
      <c r="O204" s="34">
        <f t="shared" si="258"/>
        <v>2.6234000000000002</v>
      </c>
      <c r="P204" s="34">
        <f t="shared" si="258"/>
        <v>-7.524999999999997E-4</v>
      </c>
      <c r="Q204" s="34">
        <f t="shared" si="258"/>
        <v>-0.12247</v>
      </c>
      <c r="R204" s="35">
        <f t="shared" si="258"/>
        <v>-7.5692499999999987E-5</v>
      </c>
      <c r="S204" s="17"/>
      <c r="T204" s="29"/>
      <c r="U204" s="29" t="s">
        <v>375</v>
      </c>
      <c r="V204" s="23">
        <f t="shared" si="256"/>
        <v>2.6234000000000002</v>
      </c>
      <c r="W204" s="23">
        <f t="shared" si="256"/>
        <v>-7.524999999999997E-4</v>
      </c>
      <c r="X204" s="23">
        <f t="shared" si="256"/>
        <v>-0.12247</v>
      </c>
      <c r="Y204" s="29">
        <f>1.33*Y203</f>
        <v>19.950000000000003</v>
      </c>
      <c r="Z204" s="31">
        <f>ABS(V204)/AC204/AD204</f>
        <v>1.9874242424242423</v>
      </c>
      <c r="AA204" s="23">
        <f>ABS(+W204/V204)</f>
        <v>2.8684150339254388E-4</v>
      </c>
      <c r="AB204" s="23">
        <f>ABS(X204/V204)</f>
        <v>4.6683692917587859E-2</v>
      </c>
      <c r="AC204" s="36">
        <f t="shared" ref="AC204:AD207" si="259">AC203</f>
        <v>0.6</v>
      </c>
      <c r="AD204" s="37">
        <f t="shared" si="259"/>
        <v>2.2000000000000002</v>
      </c>
      <c r="AE204" s="22">
        <f t="shared" si="257"/>
        <v>0.59942631699321491</v>
      </c>
      <c r="AF204" s="22">
        <f t="shared" si="257"/>
        <v>2.1066326141648246</v>
      </c>
      <c r="AG204" s="22">
        <f>AF204*AE204</f>
        <v>1.2627710291666092</v>
      </c>
      <c r="AH204" s="38">
        <f>V204/AG204</f>
        <v>2.0774946046484493</v>
      </c>
      <c r="AJ204" s="147" t="s">
        <v>539</v>
      </c>
      <c r="AK204" s="148">
        <v>160</v>
      </c>
      <c r="AL204" s="148">
        <v>300</v>
      </c>
      <c r="AM204" s="148">
        <v>4</v>
      </c>
      <c r="AN204" s="149">
        <v>250</v>
      </c>
      <c r="AO204" s="149">
        <v>450</v>
      </c>
      <c r="AP204" s="149">
        <v>22</v>
      </c>
      <c r="AQ204" s="48"/>
      <c r="AR204" s="48"/>
      <c r="AS204" s="48"/>
      <c r="AT204" s="48">
        <v>3</v>
      </c>
      <c r="AU204" s="48">
        <v>3</v>
      </c>
      <c r="AV204" s="149">
        <f>+AT204*2+(AU204-2)*2</f>
        <v>8</v>
      </c>
      <c r="AW204" s="159">
        <v>1.2</v>
      </c>
      <c r="AX204" s="155" t="s">
        <v>538</v>
      </c>
      <c r="AY204" s="180">
        <f>+AV204</f>
        <v>8</v>
      </c>
      <c r="BA204" s="154"/>
      <c r="BB204" s="177" t="s">
        <v>537</v>
      </c>
      <c r="BC204" s="179">
        <v>1</v>
      </c>
      <c r="BD204" s="166" t="s">
        <v>526</v>
      </c>
      <c r="BE204" s="154"/>
      <c r="BG204" s="113"/>
      <c r="BH204" s="68"/>
      <c r="BI204" s="136"/>
      <c r="BJ204" s="138"/>
      <c r="BM204" s="125"/>
      <c r="BN204" s="133"/>
      <c r="BO204" s="44"/>
      <c r="BT204" s="125"/>
      <c r="BU204" s="133"/>
      <c r="BV204" s="44"/>
    </row>
    <row r="205" spans="1:74" ht="15" hidden="1" x14ac:dyDescent="0.25">
      <c r="A205" s="216" t="s">
        <v>670</v>
      </c>
      <c r="B205" s="216" t="s">
        <v>354</v>
      </c>
      <c r="C205" s="216" t="s">
        <v>352</v>
      </c>
      <c r="D205" s="216">
        <v>-0.13900000000000001</v>
      </c>
      <c r="E205" s="216">
        <v>1E-3</v>
      </c>
      <c r="F205" s="216">
        <v>-3.4099999999999998E-2</v>
      </c>
      <c r="G205" s="216">
        <v>1.7950000000000001E-2</v>
      </c>
      <c r="H205" s="216">
        <v>-0.22040999999999999</v>
      </c>
      <c r="I205" s="216">
        <v>-9.6329999999999994E-5</v>
      </c>
      <c r="K205" s="33"/>
      <c r="L205" s="17" t="s">
        <v>376</v>
      </c>
      <c r="M205" s="34">
        <f t="shared" ref="M205:R205" si="260">D203+0.25*D204-D205</f>
        <v>0.22770000000000001</v>
      </c>
      <c r="N205" s="34">
        <f t="shared" si="260"/>
        <v>-6.4999999999999997E-3</v>
      </c>
      <c r="O205" s="34">
        <f t="shared" si="260"/>
        <v>2.6916000000000002</v>
      </c>
      <c r="P205" s="34">
        <f t="shared" si="260"/>
        <v>-3.6652500000000005E-2</v>
      </c>
      <c r="Q205" s="34">
        <f t="shared" si="260"/>
        <v>0.31835000000000002</v>
      </c>
      <c r="R205" s="35">
        <f t="shared" si="260"/>
        <v>1.169675E-4</v>
      </c>
      <c r="S205" s="17"/>
      <c r="T205" s="29"/>
      <c r="U205" s="29" t="s">
        <v>376</v>
      </c>
      <c r="V205" s="23">
        <f t="shared" si="256"/>
        <v>2.6916000000000002</v>
      </c>
      <c r="W205" s="23">
        <f t="shared" si="256"/>
        <v>-3.6652500000000005E-2</v>
      </c>
      <c r="X205" s="23">
        <f t="shared" si="256"/>
        <v>0.31835000000000002</v>
      </c>
      <c r="Y205" s="29"/>
      <c r="Z205" s="31">
        <f>ABS(V205)/AC205/AD205</f>
        <v>2.0390909090909091</v>
      </c>
      <c r="AA205" s="23">
        <f>ABS(+W205/V205)</f>
        <v>1.3617365135978601E-2</v>
      </c>
      <c r="AB205" s="23">
        <f>ABS(X205/V205)</f>
        <v>0.11827537524149205</v>
      </c>
      <c r="AC205" s="36">
        <f t="shared" si="259"/>
        <v>0.6</v>
      </c>
      <c r="AD205" s="37">
        <f t="shared" si="259"/>
        <v>2.2000000000000002</v>
      </c>
      <c r="AE205" s="22">
        <f t="shared" si="257"/>
        <v>0.57276526972804276</v>
      </c>
      <c r="AF205" s="22">
        <f t="shared" si="257"/>
        <v>1.9634492495170162</v>
      </c>
      <c r="AG205" s="22">
        <f>AF205*AE205</f>
        <v>1.1245955389969369</v>
      </c>
      <c r="AH205" s="38">
        <f>V205/AG205</f>
        <v>2.3933938084093107</v>
      </c>
      <c r="AJ205" s="146" t="s">
        <v>514</v>
      </c>
      <c r="AK205" s="145"/>
      <c r="AL205" s="145"/>
      <c r="AM205" s="145"/>
      <c r="AN205" s="139"/>
      <c r="AO205" s="146" t="s">
        <v>507</v>
      </c>
      <c r="AP205" s="145" t="s">
        <v>626</v>
      </c>
      <c r="AQ205" s="145">
        <f>0.6*AR202</f>
        <v>2100</v>
      </c>
      <c r="AR205" s="212" t="s">
        <v>627</v>
      </c>
      <c r="AS205" s="211">
        <f>+AR206+AR207</f>
        <v>1417.8258974690084</v>
      </c>
      <c r="AT205" s="48" t="s">
        <v>515</v>
      </c>
      <c r="AU205" s="48"/>
      <c r="AV205" s="48" t="s">
        <v>518</v>
      </c>
      <c r="AW205" s="160"/>
      <c r="AX205" s="155" t="s">
        <v>524</v>
      </c>
      <c r="AY205" s="182">
        <f>IF(BC204=(1+1/4),+(1+3/8),IF(BC204=1,(1+1/8),IF(BC204=(7/8),1,IF(BC204=(3/4),+(7/8),IF(BC204=(5/8),+(3/4),IF(BC204=(1/2),(9/16),IF(BC204=(3/8),+(7/16),"no valido")))))))</f>
        <v>1.125</v>
      </c>
      <c r="AZ205" s="165" t="s">
        <v>526</v>
      </c>
      <c r="BA205" s="172" t="s">
        <v>531</v>
      </c>
      <c r="BB205" s="178" t="s">
        <v>529</v>
      </c>
      <c r="BC205" s="158">
        <f>+AY206+3</f>
        <v>12</v>
      </c>
      <c r="BD205" s="166" t="s">
        <v>526</v>
      </c>
      <c r="BE205" s="172" t="s">
        <v>531</v>
      </c>
    </row>
    <row r="206" spans="1:74" ht="15" hidden="1" x14ac:dyDescent="0.25">
      <c r="A206" s="216" t="s">
        <v>670</v>
      </c>
      <c r="B206" s="216" t="s">
        <v>355</v>
      </c>
      <c r="C206" s="216" t="s">
        <v>352</v>
      </c>
      <c r="D206" s="216">
        <v>-7.4000000000000003E-3</v>
      </c>
      <c r="E206" s="216">
        <v>-0.50249999999999995</v>
      </c>
      <c r="F206" s="216">
        <v>-0.94620000000000004</v>
      </c>
      <c r="G206" s="216">
        <v>1.25424</v>
      </c>
      <c r="H206" s="216">
        <v>-1E-3</v>
      </c>
      <c r="I206" s="216">
        <v>1.4999999999999999E-4</v>
      </c>
      <c r="K206" s="33"/>
      <c r="L206" s="17" t="s">
        <v>377</v>
      </c>
      <c r="M206" s="34">
        <f t="shared" ref="M206:R206" si="261">D203+0.25*D204+D206</f>
        <v>8.1299999999999997E-2</v>
      </c>
      <c r="N206" s="34">
        <f t="shared" si="261"/>
        <v>-0.5079999999999999</v>
      </c>
      <c r="O206" s="34">
        <f t="shared" si="261"/>
        <v>1.7113</v>
      </c>
      <c r="P206" s="34">
        <f t="shared" si="261"/>
        <v>1.2355375</v>
      </c>
      <c r="Q206" s="34">
        <f t="shared" si="261"/>
        <v>9.6939999999999998E-2</v>
      </c>
      <c r="R206" s="35">
        <f t="shared" si="261"/>
        <v>1.7063749999999999E-4</v>
      </c>
      <c r="S206" s="17"/>
      <c r="T206" s="29"/>
      <c r="U206" s="29" t="s">
        <v>377</v>
      </c>
      <c r="V206" s="23">
        <f t="shared" si="256"/>
        <v>1.7113</v>
      </c>
      <c r="W206" s="23">
        <f t="shared" si="256"/>
        <v>1.2355375</v>
      </c>
      <c r="X206" s="23">
        <f t="shared" si="256"/>
        <v>9.6939999999999998E-2</v>
      </c>
      <c r="Y206" s="29"/>
      <c r="Z206" s="31">
        <f>ABS(V206)/AC206/AD206</f>
        <v>1.2964393939393939</v>
      </c>
      <c r="AA206" s="23">
        <f>ABS(+W206/V206)</f>
        <v>0.72198767019225141</v>
      </c>
      <c r="AB206" s="23">
        <f>ABS(X206/V206)</f>
        <v>5.6646993513703031E-2</v>
      </c>
      <c r="AC206" s="36">
        <f t="shared" si="259"/>
        <v>0.6</v>
      </c>
      <c r="AD206" s="37">
        <f t="shared" si="259"/>
        <v>2.2000000000000002</v>
      </c>
      <c r="AE206" s="22">
        <f t="shared" si="257"/>
        <v>-0.84397534038450284</v>
      </c>
      <c r="AF206" s="22">
        <f t="shared" si="257"/>
        <v>2.0867060129725941</v>
      </c>
      <c r="AG206" s="22">
        <f>AF206*AE206</f>
        <v>-1.7611284175809339</v>
      </c>
      <c r="AH206" s="38">
        <f>V206/AG206</f>
        <v>-0.9717065393508455</v>
      </c>
      <c r="AJ206" s="147" t="s">
        <v>500</v>
      </c>
      <c r="AK206" s="24">
        <f>(MAX(V203:V207)+ABS(MAX(W203:W207))/(AL204/1000))*1000</f>
        <v>7722.1583333333347</v>
      </c>
      <c r="AL206" s="150" t="s">
        <v>502</v>
      </c>
      <c r="AM206" s="24">
        <f>+ABS(MAX(AK206:AK207))/(+AK204*2/10+AL204*2/10)/(AP204/10)</f>
        <v>38.152956192358367</v>
      </c>
      <c r="AN206" s="151" t="str">
        <f>IF(AM206&lt;=AM207,"OK","REDIS")</f>
        <v>OK</v>
      </c>
      <c r="AO206" s="150" t="s">
        <v>508</v>
      </c>
      <c r="AP206" s="24">
        <f>((AO204/10/2-AL204/10/2)/2)*((MAX(ABS(MAX(W203:W207)),ABS(MIN(W203:W207)))*100000))/(AL204/10)</f>
        <v>15911.781250000002</v>
      </c>
      <c r="AQ206" s="150" t="s">
        <v>510</v>
      </c>
      <c r="AR206" s="24">
        <f>+AP206/(AK204*AP204*AP204/6/10/10/10)</f>
        <v>1232.8342910640497</v>
      </c>
      <c r="AS206" s="152" t="str">
        <f>IF(AR206&lt;=0.6*AR202*1.1,"OK","REDIS")</f>
        <v>OK</v>
      </c>
      <c r="AT206" s="24" t="s">
        <v>516</v>
      </c>
      <c r="AU206" s="174">
        <f>+AW204*(AP206/100000)/((AO204-AL204)/1000/4)/(AT204-1)</f>
        <v>2.5458850000000002</v>
      </c>
      <c r="AV206" s="24" t="s">
        <v>519</v>
      </c>
      <c r="AW206" s="175">
        <f>+AW204*(ABS(MAX(M203:M207))+ABS(MIN(M203:M207)+ABS(MAX(N203:N207))+ABS(MIN(N203:N207))))/AV204</f>
        <v>0.17735999999999999</v>
      </c>
      <c r="AX206" s="155" t="s">
        <v>525</v>
      </c>
      <c r="AY206" s="182">
        <f>IF(BC204=(1+1/4),+(11-1/4),IF(BC204=1,(9),IF(BC204=(7/8),(7-7/8),IF(BC204=(3/4),+(6-3/4),IF(BC204=(5/8),+(5-5/8),IF(BC204=(1/2),(4-1/2),IF(BC204=(3-3/8),+(7/16),"no valido")))))))</f>
        <v>9</v>
      </c>
      <c r="AZ206" s="166" t="s">
        <v>526</v>
      </c>
      <c r="BA206" s="168" t="s">
        <v>533</v>
      </c>
      <c r="BB206" s="153" t="s">
        <v>521</v>
      </c>
      <c r="BC206" s="44">
        <f>+AV204</f>
        <v>8</v>
      </c>
      <c r="BD206" s="166" t="s">
        <v>527</v>
      </c>
      <c r="BE206" s="162" t="s">
        <v>534</v>
      </c>
      <c r="BG206" s="109"/>
      <c r="BH206" s="142"/>
      <c r="BJ206" s="109"/>
      <c r="BK206" s="142"/>
      <c r="BM206" s="110"/>
      <c r="BN206" s="110"/>
      <c r="BO206" s="110"/>
      <c r="BP206" s="110"/>
    </row>
    <row r="207" spans="1:74" ht="15" hidden="1" x14ac:dyDescent="0.25">
      <c r="A207" s="216" t="s">
        <v>670</v>
      </c>
      <c r="B207" s="216" t="s">
        <v>624</v>
      </c>
      <c r="C207" s="216" t="s">
        <v>389</v>
      </c>
      <c r="D207" s="216">
        <v>0.1084</v>
      </c>
      <c r="E207" s="216">
        <v>-6.3E-3</v>
      </c>
      <c r="F207" s="216">
        <v>3.3298000000000001</v>
      </c>
      <c r="G207" s="216">
        <v>-2.3390000000000001E-2</v>
      </c>
      <c r="H207" s="216">
        <v>0.11982</v>
      </c>
      <c r="I207" s="216">
        <v>2.531E-5</v>
      </c>
      <c r="K207" s="39"/>
      <c r="L207" s="40" t="s">
        <v>378</v>
      </c>
      <c r="M207" s="41">
        <f t="shared" ref="M207:R207" si="262">D203+0.25*D204-D206</f>
        <v>9.6100000000000005E-2</v>
      </c>
      <c r="N207" s="41">
        <f t="shared" si="262"/>
        <v>0.49699999999999994</v>
      </c>
      <c r="O207" s="41">
        <f t="shared" si="262"/>
        <v>3.6037000000000003</v>
      </c>
      <c r="P207" s="41">
        <f t="shared" si="262"/>
        <v>-1.2729425000000001</v>
      </c>
      <c r="Q207" s="41">
        <f t="shared" si="262"/>
        <v>9.894E-2</v>
      </c>
      <c r="R207" s="42">
        <f t="shared" si="262"/>
        <v>-1.2936249999999998E-4</v>
      </c>
      <c r="S207" s="17"/>
      <c r="T207" s="29"/>
      <c r="U207" s="29" t="s">
        <v>378</v>
      </c>
      <c r="V207" s="23">
        <f t="shared" si="256"/>
        <v>3.6037000000000003</v>
      </c>
      <c r="W207" s="23">
        <f t="shared" si="256"/>
        <v>-1.2729425000000001</v>
      </c>
      <c r="X207" s="23">
        <f t="shared" si="256"/>
        <v>9.894E-2</v>
      </c>
      <c r="Y207" s="29"/>
      <c r="Z207" s="31">
        <f>ABS(V207)/AC207/AD207</f>
        <v>2.7300757575757575</v>
      </c>
      <c r="AA207" s="23">
        <f>ABS(+W207/V207)</f>
        <v>0.35323209479146433</v>
      </c>
      <c r="AB207" s="23">
        <f>ABS(X207/V207)</f>
        <v>2.745511557565835E-2</v>
      </c>
      <c r="AC207" s="36">
        <f t="shared" si="259"/>
        <v>0.6</v>
      </c>
      <c r="AD207" s="37">
        <f t="shared" si="259"/>
        <v>2.2000000000000002</v>
      </c>
      <c r="AE207" s="22">
        <f t="shared" si="257"/>
        <v>-0.10646418958292869</v>
      </c>
      <c r="AF207" s="22">
        <f t="shared" si="257"/>
        <v>2.1450897688486834</v>
      </c>
      <c r="AG207" s="22">
        <f>AF207*AE207</f>
        <v>-0.22837524382310692</v>
      </c>
      <c r="AH207" s="38">
        <f>V207/AG207</f>
        <v>-15.779731373998338</v>
      </c>
      <c r="AJ207" s="147" t="s">
        <v>501</v>
      </c>
      <c r="AK207" s="24">
        <f>(MAX(V203:V207)+ABS(MAX(X203:X207))/(AK204/1000))*1000</f>
        <v>5593.3875000000007</v>
      </c>
      <c r="AL207" s="150" t="s">
        <v>505</v>
      </c>
      <c r="AM207" s="24">
        <f>+AR202*0.4/3</f>
        <v>466.66666666666669</v>
      </c>
      <c r="AN207" s="24"/>
      <c r="AO207" s="150" t="s">
        <v>509</v>
      </c>
      <c r="AP207" s="24">
        <f>((AN204/10/2-AK204/10/2)/2)*(MAX(+ABS(MAX(X203:X207)),ABS(MIN(X203:X207)))*100000/(AK204/10))</f>
        <v>4476.7968750000009</v>
      </c>
      <c r="AQ207" s="150" t="s">
        <v>511</v>
      </c>
      <c r="AR207" s="24">
        <f>+AP207/(AL204*AP204*AP204/6/1000)</f>
        <v>184.99160640495873</v>
      </c>
      <c r="AS207" s="152" t="str">
        <f>IF(AR207&lt;=0.6*AR202*1.1,"OK","REDIS")</f>
        <v>OK</v>
      </c>
      <c r="AT207" s="24" t="s">
        <v>517</v>
      </c>
      <c r="AU207" s="174">
        <f>+AW204*(AP207/100000)/((AN204-AK204)/1000/4)/(AU204-1)</f>
        <v>1.1938125000000004</v>
      </c>
      <c r="AV207" s="24"/>
      <c r="AW207" s="161"/>
      <c r="AX207" s="156" t="s">
        <v>522</v>
      </c>
      <c r="AY207" s="181">
        <f>IF(AY205=(1+3/8),+AV204/3,IF(AY205=(1+1/8),+AV204/6,IF(AY205=1,+AV204/8,IF(AY205=(7/8),+AV204/11,IF(AY205=0.75,+AV204/18,IF(AY205=(9/16),+AV204/45,IF(AY205=(7/16),+AV204/84,"NO HAY DATO")))))))</f>
        <v>1.3333333333333333</v>
      </c>
      <c r="AZ207" s="167" t="s">
        <v>527</v>
      </c>
      <c r="BA207" s="176"/>
      <c r="BB207" s="164" t="s">
        <v>523</v>
      </c>
      <c r="BC207" s="129">
        <f>+BC206*BC205*2.54/100</f>
        <v>2.4384000000000001</v>
      </c>
      <c r="BD207" s="173" t="s">
        <v>528</v>
      </c>
      <c r="BE207" s="130"/>
      <c r="BG207" s="111"/>
      <c r="BH207" s="9"/>
      <c r="BI207" s="125"/>
      <c r="BJ207" s="125"/>
      <c r="BK207" s="44"/>
      <c r="BL207" s="44"/>
      <c r="BM207" s="126"/>
      <c r="BN207" s="44"/>
      <c r="BO207" s="44"/>
      <c r="BP207" s="44"/>
      <c r="BQ207" s="126"/>
      <c r="BR207" s="44"/>
      <c r="BS207" s="44"/>
      <c r="BT207" s="44"/>
      <c r="BU207" s="44"/>
      <c r="BV207" s="44"/>
    </row>
    <row r="208" spans="1:74" hidden="1" x14ac:dyDescent="0.2"/>
    <row r="209" spans="1:74" s="112" customFormat="1" hidden="1" x14ac:dyDescent="0.2"/>
    <row r="210" spans="1:74" hidden="1" x14ac:dyDescent="0.2"/>
    <row r="211" spans="1:74" hidden="1" x14ac:dyDescent="0.2">
      <c r="A211">
        <f>+Hoja1!C2</f>
        <v>0</v>
      </c>
    </row>
    <row r="212" spans="1:74" hidden="1" x14ac:dyDescent="0.2">
      <c r="A212">
        <f>+Hoja1!C3</f>
        <v>0</v>
      </c>
    </row>
    <row r="213" spans="1:74" hidden="1" x14ac:dyDescent="0.2"/>
    <row r="214" spans="1:74" hidden="1" x14ac:dyDescent="0.2">
      <c r="A214" t="s">
        <v>799</v>
      </c>
    </row>
    <row r="215" spans="1:74" hidden="1" x14ac:dyDescent="0.2"/>
    <row r="216" spans="1:74" ht="15" hidden="1" x14ac:dyDescent="0.25">
      <c r="A216" s="370" t="s">
        <v>638</v>
      </c>
      <c r="B216" s="372"/>
      <c r="C216" s="372"/>
      <c r="D216" s="375"/>
      <c r="E216" s="375"/>
      <c r="F216" s="375"/>
      <c r="G216" s="375"/>
      <c r="H216" s="375"/>
      <c r="I216" s="375"/>
    </row>
    <row r="217" spans="1:74" ht="15.75" x14ac:dyDescent="0.25">
      <c r="A217" s="373" t="s">
        <v>339</v>
      </c>
      <c r="B217" s="373" t="s">
        <v>340</v>
      </c>
      <c r="C217" s="373" t="s">
        <v>341</v>
      </c>
      <c r="D217" s="376" t="s">
        <v>342</v>
      </c>
      <c r="E217" s="376" t="s">
        <v>343</v>
      </c>
      <c r="F217" s="376" t="s">
        <v>344</v>
      </c>
      <c r="G217" s="376" t="s">
        <v>345</v>
      </c>
      <c r="H217" s="376" t="s">
        <v>346</v>
      </c>
      <c r="I217" s="376" t="s">
        <v>347</v>
      </c>
      <c r="BG217" s="191">
        <f>+AH217</f>
        <v>0</v>
      </c>
    </row>
    <row r="218" spans="1:74" ht="15" x14ac:dyDescent="0.25">
      <c r="A218" s="374" t="s">
        <v>348</v>
      </c>
      <c r="B218" s="374" t="s">
        <v>348</v>
      </c>
      <c r="C218" s="374" t="s">
        <v>348</v>
      </c>
      <c r="D218" s="377" t="s">
        <v>387</v>
      </c>
      <c r="E218" s="377" t="s">
        <v>387</v>
      </c>
      <c r="F218" s="377" t="s">
        <v>387</v>
      </c>
      <c r="G218" s="377" t="s">
        <v>388</v>
      </c>
      <c r="H218" s="377" t="s">
        <v>388</v>
      </c>
      <c r="I218" s="377" t="s">
        <v>388</v>
      </c>
      <c r="K218" s="25" t="s">
        <v>357</v>
      </c>
      <c r="L218" s="26" t="s">
        <v>358</v>
      </c>
      <c r="M218" s="27" t="s">
        <v>359</v>
      </c>
      <c r="N218" s="27" t="s">
        <v>360</v>
      </c>
      <c r="O218" s="27" t="s">
        <v>361</v>
      </c>
      <c r="P218" s="27" t="s">
        <v>362</v>
      </c>
      <c r="Q218" s="27" t="s">
        <v>363</v>
      </c>
      <c r="R218" s="28" t="s">
        <v>364</v>
      </c>
      <c r="S218" s="17"/>
      <c r="T218" s="29" t="s">
        <v>365</v>
      </c>
      <c r="U218" s="29" t="s">
        <v>358</v>
      </c>
      <c r="V218" s="30" t="s">
        <v>361</v>
      </c>
      <c r="W218" s="30" t="s">
        <v>362</v>
      </c>
      <c r="X218" s="30" t="s">
        <v>363</v>
      </c>
      <c r="Y218" s="29" t="s">
        <v>366</v>
      </c>
      <c r="Z218" s="31" t="s">
        <v>367</v>
      </c>
      <c r="AA218" s="23" t="s">
        <v>368</v>
      </c>
      <c r="AB218" s="23" t="s">
        <v>369</v>
      </c>
      <c r="AC218" s="22" t="s">
        <v>0</v>
      </c>
      <c r="AD218" s="22" t="s">
        <v>1</v>
      </c>
      <c r="AE218" s="22" t="s">
        <v>370</v>
      </c>
      <c r="AF218" s="22" t="s">
        <v>371</v>
      </c>
      <c r="AG218" s="22" t="s">
        <v>372</v>
      </c>
      <c r="AH218" s="32" t="s">
        <v>373</v>
      </c>
      <c r="AJ218" s="143" t="s">
        <v>365</v>
      </c>
      <c r="AK218" s="144" t="s">
        <v>498</v>
      </c>
      <c r="AL218" s="145"/>
      <c r="AM218" s="139"/>
      <c r="AN218" s="146" t="s">
        <v>499</v>
      </c>
      <c r="AO218" s="145"/>
      <c r="AP218" s="139"/>
      <c r="AQ218" s="147" t="s">
        <v>506</v>
      </c>
      <c r="AR218" s="48">
        <v>3500</v>
      </c>
      <c r="AS218" s="147" t="s">
        <v>405</v>
      </c>
      <c r="AT218" s="146" t="s">
        <v>512</v>
      </c>
      <c r="AU218" s="145"/>
      <c r="AV218" s="145"/>
      <c r="AW218" s="145"/>
      <c r="AX218" s="382" t="s">
        <v>532</v>
      </c>
      <c r="AY218" s="157" t="s">
        <v>515</v>
      </c>
      <c r="AZ218" s="169">
        <v>6.9</v>
      </c>
      <c r="BA218" s="171" t="str">
        <f>IF(MAX(AU222:AU223)&lt;=AZ218,"OK","REDIS")</f>
        <v>OK</v>
      </c>
      <c r="BB218" s="382" t="s">
        <v>536</v>
      </c>
      <c r="BC218" s="170" t="s">
        <v>515</v>
      </c>
      <c r="BD218" s="169">
        <v>8.36</v>
      </c>
      <c r="BE218" s="171" t="str">
        <f>IF(MAX(AU222:AU223)&lt;=BD218,"OK","REDIS")</f>
        <v>OK</v>
      </c>
      <c r="BG218" s="9" t="s">
        <v>204</v>
      </c>
    </row>
    <row r="219" spans="1:74" ht="15.75" thickBot="1" x14ac:dyDescent="0.3">
      <c r="A219" s="371" t="s">
        <v>741</v>
      </c>
      <c r="B219" s="371" t="s">
        <v>351</v>
      </c>
      <c r="C219" s="371" t="s">
        <v>352</v>
      </c>
      <c r="D219" s="378">
        <v>0.45</v>
      </c>
      <c r="E219" s="378">
        <v>0.54</v>
      </c>
      <c r="F219" s="378">
        <f>6.62+4.2</f>
        <v>10.82</v>
      </c>
      <c r="G219" s="378">
        <v>-0.18</v>
      </c>
      <c r="H219" s="378">
        <v>0.28999999999999998</v>
      </c>
      <c r="I219" s="378">
        <v>0</v>
      </c>
      <c r="K219" s="33" t="str">
        <f>+A219</f>
        <v>1</v>
      </c>
      <c r="L219" s="17" t="s">
        <v>374</v>
      </c>
      <c r="M219" s="34">
        <f t="shared" ref="M219:R219" si="263">D219+D220</f>
        <v>0.97</v>
      </c>
      <c r="N219" s="34">
        <f t="shared" si="263"/>
        <v>1.1600000000000001</v>
      </c>
      <c r="O219" s="34">
        <f t="shared" si="263"/>
        <v>18.23</v>
      </c>
      <c r="P219" s="34">
        <f t="shared" si="263"/>
        <v>-0.36</v>
      </c>
      <c r="Q219" s="34">
        <f t="shared" si="263"/>
        <v>0.63</v>
      </c>
      <c r="R219" s="35">
        <f t="shared" si="263"/>
        <v>0</v>
      </c>
      <c r="S219" s="17"/>
      <c r="T219" s="29" t="str">
        <f>K219</f>
        <v>1</v>
      </c>
      <c r="U219" s="29" t="s">
        <v>374</v>
      </c>
      <c r="V219" s="23">
        <f t="shared" ref="V219:X223" si="264">O219</f>
        <v>18.23</v>
      </c>
      <c r="W219" s="23">
        <f t="shared" si="264"/>
        <v>-0.36</v>
      </c>
      <c r="X219" s="23">
        <f t="shared" si="264"/>
        <v>0.63</v>
      </c>
      <c r="Y219" s="29">
        <v>12</v>
      </c>
      <c r="Z219" s="31">
        <f>ABS(V219)/AC219/AD219</f>
        <v>10.78698224852071</v>
      </c>
      <c r="AA219" s="23">
        <f>ABS(+W219/V219)</f>
        <v>1.9747668678003288E-2</v>
      </c>
      <c r="AB219" s="23">
        <f>ABS(X219/V219)</f>
        <v>3.4558420186505762E-2</v>
      </c>
      <c r="AC219" s="36">
        <v>1.3</v>
      </c>
      <c r="AD219" s="37">
        <v>1.3</v>
      </c>
      <c r="AE219" s="22">
        <f t="shared" ref="AE219:AF223" si="265">AC219-2*AA219</f>
        <v>1.2605046626439935</v>
      </c>
      <c r="AF219" s="22">
        <f t="shared" si="265"/>
        <v>1.2308831596269885</v>
      </c>
      <c r="AG219" s="22">
        <f>AF219*AE219</f>
        <v>1.5515339618797899</v>
      </c>
      <c r="AH219" s="38">
        <f>V219/AG219</f>
        <v>11.749662236147962</v>
      </c>
      <c r="AJ219" s="48" t="str">
        <f>+K219</f>
        <v>1</v>
      </c>
      <c r="AK219" s="147" t="s">
        <v>0</v>
      </c>
      <c r="AL219" s="147" t="s">
        <v>1</v>
      </c>
      <c r="AM219" s="147" t="s">
        <v>438</v>
      </c>
      <c r="AN219" s="147" t="s">
        <v>503</v>
      </c>
      <c r="AO219" s="147" t="s">
        <v>504</v>
      </c>
      <c r="AP219" s="147" t="s">
        <v>323</v>
      </c>
      <c r="AQ219" s="48"/>
      <c r="AR219" s="48"/>
      <c r="AS219" s="48"/>
      <c r="AT219" s="147" t="s">
        <v>0</v>
      </c>
      <c r="AU219" s="147" t="s">
        <v>1</v>
      </c>
      <c r="AV219" s="147" t="s">
        <v>513</v>
      </c>
      <c r="AW219" s="159" t="s">
        <v>520</v>
      </c>
      <c r="AX219" s="141" t="s">
        <v>530</v>
      </c>
      <c r="AY219" s="157" t="s">
        <v>178</v>
      </c>
      <c r="AZ219" s="44">
        <v>12</v>
      </c>
      <c r="BA219" s="172" t="str">
        <f>IF(AW222&lt;=AZ219,"OK","REDIS")</f>
        <v>OK</v>
      </c>
      <c r="BB219" s="384" t="s">
        <v>535</v>
      </c>
      <c r="BC219" s="120" t="s">
        <v>178</v>
      </c>
      <c r="BD219" s="44">
        <v>4.3</v>
      </c>
      <c r="BE219" s="172" t="str">
        <f>IF(AW222&lt;=BD219,"OK","REDIS")</f>
        <v>OK</v>
      </c>
      <c r="BG219" s="109" t="s">
        <v>199</v>
      </c>
      <c r="BH219" s="142">
        <v>1.3</v>
      </c>
      <c r="BJ219" s="109" t="s">
        <v>385</v>
      </c>
      <c r="BK219" s="142">
        <v>0.25</v>
      </c>
      <c r="BM219" s="110" t="s">
        <v>200</v>
      </c>
      <c r="BN219" s="110"/>
      <c r="BO219" s="110">
        <v>12</v>
      </c>
      <c r="BP219" s="110" t="s">
        <v>386</v>
      </c>
      <c r="BQ219" t="s">
        <v>201</v>
      </c>
    </row>
    <row r="220" spans="1:74" ht="15" x14ac:dyDescent="0.25">
      <c r="A220" s="371" t="s">
        <v>741</v>
      </c>
      <c r="B220" s="371" t="s">
        <v>353</v>
      </c>
      <c r="C220" s="371" t="s">
        <v>352</v>
      </c>
      <c r="D220" s="378">
        <v>0.52</v>
      </c>
      <c r="E220" s="378">
        <v>0.62</v>
      </c>
      <c r="F220" s="378">
        <f>4.91+2.5</f>
        <v>7.41</v>
      </c>
      <c r="G220" s="378">
        <v>-0.18</v>
      </c>
      <c r="H220" s="378">
        <v>0.34</v>
      </c>
      <c r="I220" s="378">
        <v>0</v>
      </c>
      <c r="K220" s="33"/>
      <c r="L220" t="s">
        <v>800</v>
      </c>
      <c r="M220" s="34">
        <f>D219+D220+D221</f>
        <v>3</v>
      </c>
      <c r="N220" s="34">
        <f>E219+E220+E221</f>
        <v>-0.30999999999999983</v>
      </c>
      <c r="O220" s="34">
        <f>F219+F220+F221</f>
        <v>15.600000000000001</v>
      </c>
      <c r="P220" s="34">
        <f>G219+G220+G221</f>
        <v>-0.24</v>
      </c>
      <c r="Q220" s="34">
        <f>H219+0.25*H220+H221</f>
        <v>-0.42500000000000004</v>
      </c>
      <c r="R220" s="35">
        <f>I219+0.25*I220+I221</f>
        <v>0</v>
      </c>
      <c r="S220" s="17"/>
      <c r="T220" s="29"/>
      <c r="U220" s="29" t="s">
        <v>375</v>
      </c>
      <c r="V220" s="23">
        <f t="shared" si="264"/>
        <v>15.600000000000001</v>
      </c>
      <c r="W220" s="23">
        <f t="shared" si="264"/>
        <v>-0.24</v>
      </c>
      <c r="X220" s="23">
        <f t="shared" si="264"/>
        <v>-0.42500000000000004</v>
      </c>
      <c r="Y220" s="29">
        <f>1.33*Y219</f>
        <v>15.96</v>
      </c>
      <c r="Z220" s="31">
        <f>ABS(V220)/AC220/AD220</f>
        <v>9.2307692307692299</v>
      </c>
      <c r="AA220" s="23">
        <f>ABS(+W220/V220)</f>
        <v>1.5384615384615382E-2</v>
      </c>
      <c r="AB220" s="23">
        <f>ABS(X220/V220)</f>
        <v>2.7243589743589744E-2</v>
      </c>
      <c r="AC220" s="36">
        <f t="shared" ref="AC220:AD223" si="266">AC219</f>
        <v>1.3</v>
      </c>
      <c r="AD220" s="37">
        <f t="shared" si="266"/>
        <v>1.3</v>
      </c>
      <c r="AE220" s="22">
        <f t="shared" si="265"/>
        <v>1.2692307692307694</v>
      </c>
      <c r="AF220" s="22">
        <f t="shared" si="265"/>
        <v>1.2455128205128205</v>
      </c>
      <c r="AG220" s="22">
        <f>AF220*AE220</f>
        <v>1.5808431952662725</v>
      </c>
      <c r="AH220" s="38">
        <f>V220/AG220</f>
        <v>9.8681514059795052</v>
      </c>
      <c r="AJ220" s="147" t="s">
        <v>539</v>
      </c>
      <c r="AK220" s="148">
        <v>300</v>
      </c>
      <c r="AL220" s="148">
        <v>500</v>
      </c>
      <c r="AM220" s="148">
        <v>28</v>
      </c>
      <c r="AN220" s="380">
        <v>500</v>
      </c>
      <c r="AO220" s="380">
        <v>700</v>
      </c>
      <c r="AP220" s="380">
        <v>32</v>
      </c>
      <c r="AQ220" s="48"/>
      <c r="AR220" s="48"/>
      <c r="AS220" s="48"/>
      <c r="AT220" s="381">
        <v>10</v>
      </c>
      <c r="AU220" s="381">
        <v>6</v>
      </c>
      <c r="AV220" s="380">
        <f>+AT220*2+(AU220-2)*2</f>
        <v>28</v>
      </c>
      <c r="AW220" s="159">
        <v>1.2</v>
      </c>
      <c r="AX220" s="155" t="s">
        <v>538</v>
      </c>
      <c r="AY220" s="180">
        <f>+AV220</f>
        <v>28</v>
      </c>
      <c r="BA220" s="154"/>
      <c r="BB220" s="177" t="s">
        <v>537</v>
      </c>
      <c r="BC220" s="179">
        <v>1.25</v>
      </c>
      <c r="BD220" s="166" t="s">
        <v>526</v>
      </c>
      <c r="BE220" s="154"/>
      <c r="BG220" s="122" t="s">
        <v>164</v>
      </c>
      <c r="BH220" s="193" t="e">
        <f>+#REF!</f>
        <v>#REF!</v>
      </c>
      <c r="BI220" s="196" t="s">
        <v>165</v>
      </c>
      <c r="BJ220" s="197" t="s">
        <v>166</v>
      </c>
      <c r="BK220" s="74" t="s">
        <v>2</v>
      </c>
      <c r="BL220" s="74" t="s">
        <v>167</v>
      </c>
      <c r="BM220" s="75" t="s">
        <v>168</v>
      </c>
      <c r="BN220" s="74" t="s">
        <v>169</v>
      </c>
      <c r="BO220" s="74" t="s">
        <v>170</v>
      </c>
      <c r="BP220" s="74" t="s">
        <v>171</v>
      </c>
      <c r="BQ220" s="75" t="s">
        <v>172</v>
      </c>
      <c r="BR220" s="74" t="s">
        <v>173</v>
      </c>
      <c r="BS220" s="74" t="s">
        <v>174</v>
      </c>
      <c r="BT220" s="74" t="s">
        <v>165</v>
      </c>
      <c r="BU220" s="74" t="s">
        <v>175</v>
      </c>
      <c r="BV220" s="76" t="s">
        <v>407</v>
      </c>
    </row>
    <row r="221" spans="1:74" ht="15.75" thickBot="1" x14ac:dyDescent="0.3">
      <c r="A221" s="371" t="s">
        <v>741</v>
      </c>
      <c r="B221" s="371" t="s">
        <v>354</v>
      </c>
      <c r="C221" s="371" t="s">
        <v>352</v>
      </c>
      <c r="D221" s="378">
        <v>2.0299999999999998</v>
      </c>
      <c r="E221" s="378">
        <v>-1.47</v>
      </c>
      <c r="F221" s="378">
        <v>-2.63</v>
      </c>
      <c r="G221" s="378">
        <v>0.12</v>
      </c>
      <c r="H221" s="378">
        <v>-0.8</v>
      </c>
      <c r="I221" s="378">
        <v>0</v>
      </c>
      <c r="K221" s="33"/>
      <c r="L221" t="s">
        <v>801</v>
      </c>
      <c r="M221" s="34">
        <f>D219+D220-D221</f>
        <v>-1.0599999999999998</v>
      </c>
      <c r="N221" s="34">
        <f>E219+E220-E221</f>
        <v>2.63</v>
      </c>
      <c r="O221" s="34">
        <f>F219+F220-F221</f>
        <v>20.86</v>
      </c>
      <c r="P221" s="34">
        <f>G219+G220-G221</f>
        <v>-0.48</v>
      </c>
      <c r="Q221" s="34">
        <f>H219+0.25*H220-H221</f>
        <v>1.175</v>
      </c>
      <c r="R221" s="35">
        <f>I219+0.25*I220-I221</f>
        <v>0</v>
      </c>
      <c r="S221" s="17"/>
      <c r="T221" s="29"/>
      <c r="U221" s="29" t="s">
        <v>376</v>
      </c>
      <c r="V221" s="23">
        <f t="shared" si="264"/>
        <v>20.86</v>
      </c>
      <c r="W221" s="23">
        <f t="shared" si="264"/>
        <v>-0.48</v>
      </c>
      <c r="X221" s="23">
        <f t="shared" si="264"/>
        <v>1.175</v>
      </c>
      <c r="Y221" s="29"/>
      <c r="Z221" s="31">
        <f>ABS(V221)/AC221/AD221</f>
        <v>12.343195266272188</v>
      </c>
      <c r="AA221" s="23">
        <f>ABS(+W221/V221)</f>
        <v>2.3010546500479387E-2</v>
      </c>
      <c r="AB221" s="23">
        <f>ABS(X221/V221)</f>
        <v>5.6327900287631835E-2</v>
      </c>
      <c r="AC221" s="36">
        <f t="shared" si="266"/>
        <v>1.3</v>
      </c>
      <c r="AD221" s="37">
        <f t="shared" si="266"/>
        <v>1.3</v>
      </c>
      <c r="AE221" s="22">
        <f t="shared" si="265"/>
        <v>1.2539789069990412</v>
      </c>
      <c r="AF221" s="22">
        <f t="shared" si="265"/>
        <v>1.1873441994247365</v>
      </c>
      <c r="AG221" s="22">
        <f>AF221*AE221</f>
        <v>1.4889045814262827</v>
      </c>
      <c r="AH221" s="38">
        <f>V221/AG221</f>
        <v>14.010300095938552</v>
      </c>
      <c r="AJ221" s="146" t="s">
        <v>514</v>
      </c>
      <c r="AK221" s="145"/>
      <c r="AL221" s="145"/>
      <c r="AM221" s="145"/>
      <c r="AN221" s="139"/>
      <c r="AO221" s="146" t="s">
        <v>507</v>
      </c>
      <c r="AP221" s="145" t="s">
        <v>626</v>
      </c>
      <c r="AQ221" s="145">
        <f>0.6*AR218</f>
        <v>2100</v>
      </c>
      <c r="AR221" s="212" t="s">
        <v>627</v>
      </c>
      <c r="AS221" s="211">
        <f>+AR222+AR223</f>
        <v>1010.7421875</v>
      </c>
      <c r="AT221" s="48" t="s">
        <v>515</v>
      </c>
      <c r="AU221" s="48"/>
      <c r="AV221" s="48" t="s">
        <v>518</v>
      </c>
      <c r="AW221" s="160"/>
      <c r="AX221" s="155" t="s">
        <v>524</v>
      </c>
      <c r="AY221" s="182">
        <f>IF(BC220=(1+1/4),+(1+3/8),IF(BC220=1,(1+1/8),IF(BC220=(7/8),1,IF(BC220=(3/4),+(7/8),IF(BC220=(5/8),+(3/4),IF(BC220=(1/2),(9/16),IF(BC220=(3/8),+(7/16),"no valido")))))))</f>
        <v>1.375</v>
      </c>
      <c r="AZ221" s="165" t="s">
        <v>526</v>
      </c>
      <c r="BA221" s="172" t="s">
        <v>531</v>
      </c>
      <c r="BB221" s="178" t="s">
        <v>529</v>
      </c>
      <c r="BC221" s="158">
        <f>+AY222+3</f>
        <v>13.75</v>
      </c>
      <c r="BD221" s="166" t="s">
        <v>526</v>
      </c>
      <c r="BE221" s="172" t="s">
        <v>531</v>
      </c>
      <c r="BG221" s="123" t="s">
        <v>390</v>
      </c>
      <c r="BH221" s="43">
        <f>1.3*((BH219-0.2)/2)*1*((BH219)/4)*BO219</f>
        <v>2.7885000000000004</v>
      </c>
      <c r="BI221" s="198">
        <f>IF(BQ221=0,BT221,BM223)</f>
        <v>6.6666666666666679</v>
      </c>
      <c r="BJ221" s="199">
        <f>IF(BQ221=0,0,BK223)</f>
        <v>0</v>
      </c>
      <c r="BK221" s="82">
        <f>ABS(BH221)*100000/(BH224*BH225*BH226*BH226*BH222)</f>
        <v>3.6884920634920645E-2</v>
      </c>
      <c r="BL221" s="82">
        <f>1-2.36*BK221</f>
        <v>0.91295158730158732</v>
      </c>
      <c r="BM221" s="200" t="str">
        <f>IF(BL221&gt;=0,"OK","OTRA SECCION")</f>
        <v>OK</v>
      </c>
      <c r="BN221" s="83">
        <f>+(BH222/BH223)*((1-SQRT(BL221))/1.18)</f>
        <v>1.8862287675141241E-3</v>
      </c>
      <c r="BO221" s="84">
        <f>IF(BH222&gt;280,(IF((0.85-(0.08*(BH222-280)/70))&gt;=0.65,0.65,(0.85-(0.05*(BH222-280)))/70)),0.85)</f>
        <v>0.85</v>
      </c>
      <c r="BP221" s="85">
        <f>0.5*((0.85*BH222*BO221*6000)/(BH223*(6000+BH223)))</f>
        <v>1.0625000000000001E-2</v>
      </c>
      <c r="BQ221" s="200">
        <f>IF(BN221&gt;BP221,1,0)</f>
        <v>0</v>
      </c>
      <c r="BR221" s="86">
        <f>14/BH223*BH225*BH226</f>
        <v>6.6666666666666679</v>
      </c>
      <c r="BS221" s="82">
        <f>+BN221*BH225*BH226</f>
        <v>3.7724575350282481</v>
      </c>
      <c r="BT221" s="82">
        <f>IF(BS221&gt;BR221,BS221,BR221)</f>
        <v>6.6666666666666679</v>
      </c>
      <c r="BU221" s="82">
        <f>+BJ225*BH225*BH226</f>
        <v>14.874999999999998</v>
      </c>
      <c r="BV221" s="87">
        <f>+BU221*BH223/(0.85*BH222*BH225*BO221)</f>
        <v>4.117647058823529</v>
      </c>
    </row>
    <row r="222" spans="1:74" ht="15.75" thickBot="1" x14ac:dyDescent="0.3">
      <c r="A222" s="371" t="s">
        <v>741</v>
      </c>
      <c r="B222" s="371" t="s">
        <v>355</v>
      </c>
      <c r="C222" s="371" t="s">
        <v>352</v>
      </c>
      <c r="D222" s="378">
        <v>-0.4</v>
      </c>
      <c r="E222" s="378">
        <v>-4.46</v>
      </c>
      <c r="F222" s="378">
        <v>-2.63</v>
      </c>
      <c r="G222" s="378">
        <v>3.64</v>
      </c>
      <c r="H222" s="378">
        <v>0.02</v>
      </c>
      <c r="I222" s="378">
        <v>0</v>
      </c>
      <c r="K222" s="33"/>
      <c r="L222" t="s">
        <v>802</v>
      </c>
      <c r="M222" s="34">
        <f>D219+D220+D222</f>
        <v>0.56999999999999995</v>
      </c>
      <c r="N222" s="34">
        <f>E219+E220+E222</f>
        <v>-3.3</v>
      </c>
      <c r="O222" s="34">
        <f>F219+F220+F222</f>
        <v>15.600000000000001</v>
      </c>
      <c r="P222" s="34">
        <f>G219+G220+G222</f>
        <v>3.2800000000000002</v>
      </c>
      <c r="Q222" s="34">
        <f>H219+0.25*H220+H222</f>
        <v>0.39500000000000002</v>
      </c>
      <c r="R222" s="35">
        <f>I219+0.25*I220+I222</f>
        <v>0</v>
      </c>
      <c r="S222" s="17"/>
      <c r="T222" s="29"/>
      <c r="U222" s="29" t="s">
        <v>377</v>
      </c>
      <c r="V222" s="23">
        <f t="shared" si="264"/>
        <v>15.600000000000001</v>
      </c>
      <c r="W222" s="23">
        <f t="shared" si="264"/>
        <v>3.2800000000000002</v>
      </c>
      <c r="X222" s="23">
        <f t="shared" si="264"/>
        <v>0.39500000000000002</v>
      </c>
      <c r="Y222" s="29"/>
      <c r="Z222" s="31">
        <f>ABS(V222)/AC222/AD222</f>
        <v>9.2307692307692299</v>
      </c>
      <c r="AA222" s="23">
        <f>ABS(+W222/V222)</f>
        <v>0.21025641025641026</v>
      </c>
      <c r="AB222" s="23">
        <f>ABS(X222/V222)</f>
        <v>2.5320512820512821E-2</v>
      </c>
      <c r="AC222" s="36">
        <f t="shared" si="266"/>
        <v>1.3</v>
      </c>
      <c r="AD222" s="37">
        <f t="shared" si="266"/>
        <v>1.3</v>
      </c>
      <c r="AE222" s="22">
        <f t="shared" si="265"/>
        <v>0.87948717948717947</v>
      </c>
      <c r="AF222" s="22">
        <f t="shared" si="265"/>
        <v>1.2493589743589744</v>
      </c>
      <c r="AG222" s="22">
        <f>AF222*AE222</f>
        <v>1.0987952005259698</v>
      </c>
      <c r="AH222" s="38">
        <f>V222/AG222</f>
        <v>14.197368165180022</v>
      </c>
      <c r="AJ222" s="147" t="s">
        <v>500</v>
      </c>
      <c r="AK222" s="24">
        <f>(MAX(V219:V223)+ABS(MAX(W219:W223))/(AL220/1000))*1000</f>
        <v>27420</v>
      </c>
      <c r="AL222" s="150" t="s">
        <v>502</v>
      </c>
      <c r="AM222" s="24">
        <f>+ABS(MAX(AK222:AK223))/(+AK220*2/10+AL220*2/10)/(AP220/10)</f>
        <v>53.5546875</v>
      </c>
      <c r="AN222" s="151" t="str">
        <f>IF(AM222&lt;=AM223,"OK","REDIS")</f>
        <v>OK</v>
      </c>
      <c r="AO222" s="150" t="s">
        <v>508</v>
      </c>
      <c r="AP222" s="24">
        <f>((AO220/10/2-AL220/10/2)/2)*((MAX(ABS(MAX(W219:W223)),ABS(MIN(W219:W223)))*100000))/(AL220/10)</f>
        <v>40000</v>
      </c>
      <c r="AQ222" s="150" t="s">
        <v>510</v>
      </c>
      <c r="AR222" s="24">
        <f>+AP222/(AK220*AP220*AP220/6/10/10/10)</f>
        <v>781.25</v>
      </c>
      <c r="AS222" s="152" t="str">
        <f>IF(AR222&lt;=0.6*AR218*1.1,"OK","REDIS")</f>
        <v>OK</v>
      </c>
      <c r="AT222" s="24" t="s">
        <v>516</v>
      </c>
      <c r="AU222" s="174">
        <f>+AW220*(AP222/100000)/((AO220-AL220)/1000/4)/(AT220-1)</f>
        <v>1.0666666666666667</v>
      </c>
      <c r="AV222" s="24" t="s">
        <v>519</v>
      </c>
      <c r="AW222" s="175">
        <f>+AW220*(ABS(MAX(M219:M223))+ABS(MIN(M219:M223)+ABS(MAX(N219:N223))+ABS(MIN(N219:N223))))/AV220</f>
        <v>0.46542857142857136</v>
      </c>
      <c r="AX222" s="155" t="s">
        <v>525</v>
      </c>
      <c r="AY222" s="383">
        <f>IF(BC220=(1+1/4),+(11-1/4),IF(BC220=1,(9),IF(BC220=(7/8),(7-7/8),IF(BC220=(3/4),+(6-3/4),IF(BC220=(5/8),+(5-5/8),IF(BC220=(1/2),(4-1/2),IF(BC220=(3-3/8),+(7/16),"no valido")))))))</f>
        <v>10.75</v>
      </c>
      <c r="AZ222" s="166" t="s">
        <v>526</v>
      </c>
      <c r="BA222" s="168" t="s">
        <v>533</v>
      </c>
      <c r="BB222" s="153" t="s">
        <v>521</v>
      </c>
      <c r="BC222" s="44">
        <f>+AV220</f>
        <v>28</v>
      </c>
      <c r="BD222" s="166" t="s">
        <v>527</v>
      </c>
      <c r="BE222" s="162" t="s">
        <v>534</v>
      </c>
      <c r="BG222" s="65" t="s">
        <v>179</v>
      </c>
      <c r="BH222" s="66">
        <v>210</v>
      </c>
      <c r="BI222" s="88" t="s">
        <v>180</v>
      </c>
      <c r="BJ222" s="74" t="s">
        <v>181</v>
      </c>
      <c r="BK222" s="74" t="s">
        <v>182</v>
      </c>
      <c r="BL222" s="74" t="s">
        <v>183</v>
      </c>
      <c r="BM222" s="74" t="s">
        <v>165</v>
      </c>
      <c r="BN222" s="74" t="s">
        <v>184</v>
      </c>
      <c r="BO222" s="74" t="s">
        <v>185</v>
      </c>
      <c r="BP222" s="74" t="s">
        <v>186</v>
      </c>
      <c r="BQ222" s="74" t="s">
        <v>187</v>
      </c>
      <c r="BR222" s="74" t="s">
        <v>188</v>
      </c>
      <c r="BS222" s="74" t="s">
        <v>189</v>
      </c>
      <c r="BT222" s="74" t="s">
        <v>190</v>
      </c>
      <c r="BU222" s="75" t="s">
        <v>191</v>
      </c>
      <c r="BV222" s="89"/>
    </row>
    <row r="223" spans="1:74" ht="15.75" thickBot="1" x14ac:dyDescent="0.3">
      <c r="A223" s="371" t="s">
        <v>741</v>
      </c>
      <c r="B223" s="371" t="s">
        <v>806</v>
      </c>
      <c r="C223" s="371" t="s">
        <v>389</v>
      </c>
      <c r="D223" s="369"/>
      <c r="E223" s="369"/>
      <c r="F223" s="369"/>
      <c r="G223" s="369"/>
      <c r="H223" s="369"/>
      <c r="I223" s="369"/>
      <c r="K223" s="39"/>
      <c r="L223" s="368" t="s">
        <v>803</v>
      </c>
      <c r="M223" s="41">
        <f>D219+D220-D222</f>
        <v>1.37</v>
      </c>
      <c r="N223" s="41">
        <f>E219+E220-E222</f>
        <v>5.62</v>
      </c>
      <c r="O223" s="41">
        <f>F219+F220-F222</f>
        <v>20.86</v>
      </c>
      <c r="P223" s="41">
        <f>G219+G220-G222</f>
        <v>-4</v>
      </c>
      <c r="Q223" s="41">
        <f>H219+0.25*H220-H222</f>
        <v>0.35499999999999998</v>
      </c>
      <c r="R223" s="42">
        <f>I219+0.25*I220-I222</f>
        <v>0</v>
      </c>
      <c r="S223" s="17"/>
      <c r="T223" s="29"/>
      <c r="U223" s="29" t="s">
        <v>378</v>
      </c>
      <c r="V223" s="23">
        <f t="shared" si="264"/>
        <v>20.86</v>
      </c>
      <c r="W223" s="23">
        <f t="shared" si="264"/>
        <v>-4</v>
      </c>
      <c r="X223" s="23">
        <f t="shared" si="264"/>
        <v>0.35499999999999998</v>
      </c>
      <c r="Y223" s="29"/>
      <c r="Z223" s="31">
        <f>ABS(V223)/AC223/AD223</f>
        <v>12.343195266272188</v>
      </c>
      <c r="AA223" s="23">
        <f>ABS(+W223/V223)</f>
        <v>0.19175455417066156</v>
      </c>
      <c r="AB223" s="23">
        <f>ABS(X223/V223)</f>
        <v>1.7018216682646213E-2</v>
      </c>
      <c r="AC223" s="36">
        <f t="shared" si="266"/>
        <v>1.3</v>
      </c>
      <c r="AD223" s="37">
        <f t="shared" si="266"/>
        <v>1.3</v>
      </c>
      <c r="AE223" s="22">
        <f t="shared" si="265"/>
        <v>0.91649089165867692</v>
      </c>
      <c r="AF223" s="22">
        <f t="shared" si="265"/>
        <v>1.2659635666347075</v>
      </c>
      <c r="AG223" s="22">
        <f>AF223*AE223</f>
        <v>1.1602440779924419</v>
      </c>
      <c r="AH223" s="38">
        <f>V223/AG223</f>
        <v>17.978975627347168</v>
      </c>
      <c r="AJ223" s="147" t="s">
        <v>501</v>
      </c>
      <c r="AK223" s="24">
        <f>(MAX(V219:V223)+ABS(MAX(X219:X223))/(AK220/1000))*1000</f>
        <v>24776.666666666668</v>
      </c>
      <c r="AL223" s="150" t="s">
        <v>505</v>
      </c>
      <c r="AM223" s="24">
        <f>+AR218*0.4/3</f>
        <v>466.66666666666669</v>
      </c>
      <c r="AN223" s="24"/>
      <c r="AO223" s="150" t="s">
        <v>509</v>
      </c>
      <c r="AP223" s="24">
        <f>((AN220/10/2-AK220/10/2)/2)*(MAX(+ABS(MAX(X219:X223)),ABS(MIN(X219:X223)))*100000/(AK220/10))</f>
        <v>19583.333333333332</v>
      </c>
      <c r="AQ223" s="150" t="s">
        <v>511</v>
      </c>
      <c r="AR223" s="24">
        <f>+AP223/(AL220*AP220*AP220/6/1000)</f>
        <v>229.4921875</v>
      </c>
      <c r="AS223" s="152" t="str">
        <f>IF(AR223&lt;=0.6*AR218*1.1,"OK","REDIS")</f>
        <v>OK</v>
      </c>
      <c r="AT223" s="24" t="s">
        <v>517</v>
      </c>
      <c r="AU223" s="174">
        <f>+AW220*(AP223/100000)/((AN220-AK220)/1000/4)/(AU220-1)</f>
        <v>0.93999999999999984</v>
      </c>
      <c r="AV223" s="24"/>
      <c r="AW223" s="161"/>
      <c r="AX223" s="156" t="s">
        <v>522</v>
      </c>
      <c r="AY223" s="181">
        <f>IF(AY221=(1+3/8),+AV220/3,IF(AY221=(1+1/8),+AV220/6,IF(AY221=1,+AV220/8,IF(AY221=(7/8),+AV220/11,IF(AY221=0.75,+AV220/18,IF(AY221=(9/16),+AV220/45,IF(AY221=(7/16),+AV220/84,"NO HAY DATO")))))))</f>
        <v>9.3333333333333339</v>
      </c>
      <c r="AZ223" s="167" t="s">
        <v>527</v>
      </c>
      <c r="BA223" s="176"/>
      <c r="BB223" s="164" t="s">
        <v>523</v>
      </c>
      <c r="BC223" s="129">
        <f>+BC222*BC221*2.54/100</f>
        <v>9.7789999999999999</v>
      </c>
      <c r="BD223" s="173" t="s">
        <v>528</v>
      </c>
      <c r="BE223" s="385">
        <v>35</v>
      </c>
      <c r="BG223" s="67" t="s">
        <v>192</v>
      </c>
      <c r="BH223" s="68">
        <v>4200</v>
      </c>
      <c r="BI223" s="90">
        <f>IF(6000*(1-BH227/BV221)&gt;BH223,BH223,6000*(1-BH227/BV221))</f>
        <v>-1285.7142857142865</v>
      </c>
      <c r="BJ223" s="91">
        <f>ABS(BH221)-BJ227</f>
        <v>-7.4700668062499993</v>
      </c>
      <c r="BK223" s="77">
        <f>IF(BQ221=0,0,+BJ223*100000/(BH224*BI223*(BH226-BH227)))</f>
        <v>0</v>
      </c>
      <c r="BL223" s="77">
        <f>+BK223*BI223/BH223</f>
        <v>0</v>
      </c>
      <c r="BM223" s="77">
        <f>+BL223+BU221</f>
        <v>14.874999999999998</v>
      </c>
      <c r="BN223" s="92">
        <f>2*BP221</f>
        <v>2.1250000000000002E-2</v>
      </c>
      <c r="BO223" s="92">
        <f>+BM223/BH225/BH226</f>
        <v>7.4374999999999997E-3</v>
      </c>
      <c r="BP223" s="79">
        <f>+BO223*BK223/BM223</f>
        <v>0</v>
      </c>
      <c r="BQ223" s="77">
        <f>6000*BH225/(6000+BH223)</f>
        <v>58.823529411764703</v>
      </c>
      <c r="BR223" s="79">
        <f>IF(6000*(1-BH227/BQ223)&gt;BH223,BH223,6000*(1-BH227/BQ223))</f>
        <v>4200</v>
      </c>
      <c r="BS223" s="92">
        <f>+BN223+BP223*BR223/BH223</f>
        <v>2.1250000000000002E-2</v>
      </c>
      <c r="BT223" s="92">
        <f>0.5*BS223</f>
        <v>1.0625000000000001E-2</v>
      </c>
      <c r="BU223" s="201" t="str">
        <f>IF(BN221&gt;BT223,"NO DUCTIL","DUCTIL")</f>
        <v>DUCTIL</v>
      </c>
      <c r="BV223" s="81"/>
    </row>
    <row r="224" spans="1:74" ht="15.75" thickBot="1" x14ac:dyDescent="0.3">
      <c r="A224" s="371" t="s">
        <v>741</v>
      </c>
      <c r="B224" s="371" t="s">
        <v>807</v>
      </c>
      <c r="C224" s="371" t="s">
        <v>389</v>
      </c>
      <c r="D224" s="369"/>
      <c r="E224" s="369"/>
      <c r="F224" s="369"/>
      <c r="G224" s="369"/>
      <c r="H224" s="369"/>
      <c r="I224" s="369"/>
      <c r="K224" s="25" t="s">
        <v>357</v>
      </c>
      <c r="L224" s="26" t="s">
        <v>358</v>
      </c>
      <c r="M224" s="27" t="s">
        <v>359</v>
      </c>
      <c r="N224" s="27" t="s">
        <v>360</v>
      </c>
      <c r="O224" s="27" t="s">
        <v>361</v>
      </c>
      <c r="P224" s="27" t="s">
        <v>362</v>
      </c>
      <c r="Q224" s="27" t="s">
        <v>363</v>
      </c>
      <c r="R224" s="28" t="s">
        <v>364</v>
      </c>
      <c r="S224" s="17"/>
      <c r="T224" s="29" t="s">
        <v>365</v>
      </c>
      <c r="U224" s="29" t="s">
        <v>358</v>
      </c>
      <c r="V224" s="30" t="s">
        <v>361</v>
      </c>
      <c r="W224" s="30" t="s">
        <v>362</v>
      </c>
      <c r="X224" s="30" t="s">
        <v>363</v>
      </c>
      <c r="Y224" s="29" t="s">
        <v>366</v>
      </c>
      <c r="Z224" s="31" t="s">
        <v>367</v>
      </c>
      <c r="AA224" s="23" t="s">
        <v>368</v>
      </c>
      <c r="AB224" s="23" t="s">
        <v>369</v>
      </c>
      <c r="AC224" s="22" t="s">
        <v>0</v>
      </c>
      <c r="AD224" s="22" t="s">
        <v>1</v>
      </c>
      <c r="AE224" s="22" t="s">
        <v>370</v>
      </c>
      <c r="AF224" s="22" t="s">
        <v>371</v>
      </c>
      <c r="AG224" s="22" t="s">
        <v>372</v>
      </c>
      <c r="AH224" s="32" t="s">
        <v>373</v>
      </c>
      <c r="AJ224" s="143" t="s">
        <v>365</v>
      </c>
      <c r="AK224" s="144" t="s">
        <v>498</v>
      </c>
      <c r="AL224" s="145"/>
      <c r="AM224" s="139"/>
      <c r="AN224" s="146" t="s">
        <v>499</v>
      </c>
      <c r="AO224" s="145"/>
      <c r="AP224" s="139"/>
      <c r="AQ224" s="147" t="s">
        <v>506</v>
      </c>
      <c r="AR224" s="48">
        <v>3500</v>
      </c>
      <c r="AS224" s="147" t="s">
        <v>405</v>
      </c>
      <c r="AT224" s="146" t="s">
        <v>512</v>
      </c>
      <c r="AU224" s="145"/>
      <c r="AV224" s="145"/>
      <c r="AW224" s="145"/>
      <c r="AX224" s="382" t="s">
        <v>532</v>
      </c>
      <c r="AY224" s="157" t="s">
        <v>515</v>
      </c>
      <c r="AZ224" s="169">
        <v>6.9</v>
      </c>
      <c r="BA224" s="171" t="str">
        <f>IF(MAX(AU228:AU229)&lt;=AZ224,"OK","REDIS")</f>
        <v>REDIS</v>
      </c>
      <c r="BB224" s="382" t="s">
        <v>536</v>
      </c>
      <c r="BC224" s="170" t="s">
        <v>515</v>
      </c>
      <c r="BD224" s="169">
        <v>8.36</v>
      </c>
      <c r="BE224" s="171" t="str">
        <f>IF(MAX(AU228:AU229)&lt;=BD224,"OK","REDIS")</f>
        <v>OK</v>
      </c>
      <c r="BG224" s="67" t="s">
        <v>193</v>
      </c>
      <c r="BH224" s="68">
        <v>0.9</v>
      </c>
      <c r="BI224" s="202" t="s">
        <v>197</v>
      </c>
      <c r="BJ224" s="93">
        <v>0.7</v>
      </c>
      <c r="BK224" s="98" t="s">
        <v>202</v>
      </c>
      <c r="BL224" s="99"/>
      <c r="BM224" s="203"/>
      <c r="BN224" s="100"/>
      <c r="BO224" s="101"/>
      <c r="BR224" s="98" t="s">
        <v>203</v>
      </c>
      <c r="BS224" s="99"/>
      <c r="BT224" s="203"/>
      <c r="BU224" s="100"/>
      <c r="BV224" s="101"/>
    </row>
    <row r="225" spans="1:74" ht="15" x14ac:dyDescent="0.25">
      <c r="A225" s="371" t="s">
        <v>742</v>
      </c>
      <c r="B225" s="371" t="s">
        <v>351</v>
      </c>
      <c r="C225" s="371" t="s">
        <v>352</v>
      </c>
      <c r="D225" s="378">
        <v>0.22</v>
      </c>
      <c r="E225" s="378">
        <v>-0.02</v>
      </c>
      <c r="F225" s="378">
        <v>11.17</v>
      </c>
      <c r="G225" s="378">
        <v>0.01</v>
      </c>
      <c r="H225" s="378">
        <v>0.2</v>
      </c>
      <c r="I225" s="378">
        <v>0</v>
      </c>
      <c r="K225" s="33" t="str">
        <f>+A225</f>
        <v>9</v>
      </c>
      <c r="L225" s="17" t="s">
        <v>374</v>
      </c>
      <c r="M225" s="34">
        <f t="shared" ref="M225:R225" si="267">D225+D226</f>
        <v>0.33999999999999997</v>
      </c>
      <c r="N225" s="34">
        <f t="shared" si="267"/>
        <v>-0.05</v>
      </c>
      <c r="O225" s="34">
        <f t="shared" si="267"/>
        <v>14.73</v>
      </c>
      <c r="P225" s="34">
        <f t="shared" si="267"/>
        <v>0.05</v>
      </c>
      <c r="Q225" s="34">
        <f t="shared" si="267"/>
        <v>0.30000000000000004</v>
      </c>
      <c r="R225" s="35">
        <f t="shared" si="267"/>
        <v>0</v>
      </c>
      <c r="S225" s="17"/>
      <c r="T225" s="29" t="str">
        <f>K225</f>
        <v>9</v>
      </c>
      <c r="U225" s="29" t="s">
        <v>374</v>
      </c>
      <c r="V225" s="23">
        <f t="shared" ref="V225:X229" si="268">O225</f>
        <v>14.73</v>
      </c>
      <c r="W225" s="23">
        <f t="shared" si="268"/>
        <v>0.05</v>
      </c>
      <c r="X225" s="23">
        <f t="shared" si="268"/>
        <v>0.30000000000000004</v>
      </c>
      <c r="Y225" s="29">
        <v>12</v>
      </c>
      <c r="Z225" s="31">
        <f>ABS(V225)/AC225/AD225</f>
        <v>5.7539062499999991</v>
      </c>
      <c r="AA225" s="23">
        <f>ABS(+W225/V225)</f>
        <v>3.3944331296673455E-3</v>
      </c>
      <c r="AB225" s="23">
        <f>ABS(X225/V225)</f>
        <v>2.0366598778004077E-2</v>
      </c>
      <c r="AC225" s="36">
        <v>1.6</v>
      </c>
      <c r="AD225" s="37">
        <v>1.6</v>
      </c>
      <c r="AE225" s="22">
        <f t="shared" ref="AE225:AF229" si="269">AC225-2*AA225</f>
        <v>1.5932111337406654</v>
      </c>
      <c r="AF225" s="22">
        <f t="shared" si="269"/>
        <v>1.559266802443992</v>
      </c>
      <c r="AG225" s="22">
        <f>AF225*AE225</f>
        <v>2.4842412301259746</v>
      </c>
      <c r="AH225" s="38">
        <f>V225/AG225</f>
        <v>5.9293758679196582</v>
      </c>
      <c r="AJ225" s="379" t="str">
        <f>+A225</f>
        <v>9</v>
      </c>
      <c r="AK225" s="147" t="s">
        <v>0</v>
      </c>
      <c r="AL225" s="147" t="s">
        <v>1</v>
      </c>
      <c r="AM225" s="147" t="s">
        <v>438</v>
      </c>
      <c r="AN225" s="147" t="s">
        <v>503</v>
      </c>
      <c r="AO225" s="147" t="s">
        <v>504</v>
      </c>
      <c r="AP225" s="147" t="s">
        <v>323</v>
      </c>
      <c r="AQ225" s="48"/>
      <c r="AR225" s="48"/>
      <c r="AS225" s="48"/>
      <c r="AT225" s="147" t="s">
        <v>0</v>
      </c>
      <c r="AU225" s="147" t="s">
        <v>1</v>
      </c>
      <c r="AV225" s="147" t="s">
        <v>513</v>
      </c>
      <c r="AW225" s="159" t="s">
        <v>520</v>
      </c>
      <c r="AX225" s="141" t="s">
        <v>530</v>
      </c>
      <c r="AY225" s="157" t="s">
        <v>178</v>
      </c>
      <c r="AZ225" s="44">
        <v>12</v>
      </c>
      <c r="BA225" s="172" t="str">
        <f>IF(AW228&lt;=AZ225,"OK","REDIS")</f>
        <v>OK</v>
      </c>
      <c r="BB225" s="384" t="s">
        <v>535</v>
      </c>
      <c r="BC225" s="120" t="s">
        <v>178</v>
      </c>
      <c r="BD225" s="44">
        <v>4.3</v>
      </c>
      <c r="BE225" s="172" t="str">
        <f>IF(AW228&lt;=BD225,"OK","REDIS")</f>
        <v>OK</v>
      </c>
      <c r="BG225" s="67" t="s">
        <v>194</v>
      </c>
      <c r="BH225" s="68">
        <v>100</v>
      </c>
      <c r="BI225" s="94" t="s">
        <v>169</v>
      </c>
      <c r="BJ225" s="96">
        <f>+BJ224*BP221</f>
        <v>7.4374999999999997E-3</v>
      </c>
      <c r="BK225" s="204" t="s">
        <v>380</v>
      </c>
      <c r="BL225" s="103">
        <f>1.3*1*(BH219-0.1-BK219)*BO219</f>
        <v>14.819999999999999</v>
      </c>
      <c r="BM225" s="104" t="s">
        <v>176</v>
      </c>
      <c r="BN225" s="74" t="s">
        <v>177</v>
      </c>
      <c r="BO225" s="105" t="s">
        <v>178</v>
      </c>
      <c r="BR225" s="204" t="s">
        <v>380</v>
      </c>
      <c r="BS225" s="103">
        <f>(+BH219*BH219-BK219*BK219)*1.3*BO219</f>
        <v>25.389000000000003</v>
      </c>
      <c r="BT225" s="104" t="s">
        <v>176</v>
      </c>
      <c r="BU225" s="74" t="s">
        <v>177</v>
      </c>
      <c r="BV225" s="105" t="s">
        <v>178</v>
      </c>
    </row>
    <row r="226" spans="1:74" ht="15" x14ac:dyDescent="0.25">
      <c r="A226" s="371" t="s">
        <v>742</v>
      </c>
      <c r="B226" s="371" t="s">
        <v>353</v>
      </c>
      <c r="C226" s="371" t="s">
        <v>352</v>
      </c>
      <c r="D226" s="378">
        <v>0.12</v>
      </c>
      <c r="E226" s="378">
        <v>-0.03</v>
      </c>
      <c r="F226" s="378">
        <v>3.56</v>
      </c>
      <c r="G226" s="378">
        <v>0.04</v>
      </c>
      <c r="H226" s="378">
        <v>0.1</v>
      </c>
      <c r="I226" s="378">
        <v>0</v>
      </c>
      <c r="K226" s="33"/>
      <c r="L226" t="s">
        <v>800</v>
      </c>
      <c r="M226" s="34">
        <f>D225+D226+D227</f>
        <v>-3.8100000000000005</v>
      </c>
      <c r="N226" s="34">
        <f>E225+E226+E227</f>
        <v>-3.0000000000000002E-2</v>
      </c>
      <c r="O226" s="34">
        <f>F225+F226+F227</f>
        <v>8.52</v>
      </c>
      <c r="P226" s="34">
        <f>G225+G226+G227</f>
        <v>-2.0000000000000004E-2</v>
      </c>
      <c r="Q226" s="34">
        <f>H225+0.25*H226+H227</f>
        <v>-3.5649999999999999</v>
      </c>
      <c r="R226" s="35">
        <f>I225+0.25*I226+I227</f>
        <v>0</v>
      </c>
      <c r="S226" s="17"/>
      <c r="T226" s="29"/>
      <c r="U226" s="29" t="s">
        <v>375</v>
      </c>
      <c r="V226" s="23">
        <f t="shared" si="268"/>
        <v>8.52</v>
      </c>
      <c r="W226" s="23">
        <f t="shared" si="268"/>
        <v>-2.0000000000000004E-2</v>
      </c>
      <c r="X226" s="23">
        <f t="shared" si="268"/>
        <v>-3.5649999999999999</v>
      </c>
      <c r="Y226" s="29">
        <f>1.33*Y225</f>
        <v>15.96</v>
      </c>
      <c r="Z226" s="31">
        <f>ABS(V226)/AC226/AD226</f>
        <v>3.3281249999999996</v>
      </c>
      <c r="AA226" s="23">
        <f>ABS(+W226/V226)</f>
        <v>2.3474178403755873E-3</v>
      </c>
      <c r="AB226" s="23">
        <f>ABS(X226/V226)</f>
        <v>0.41842723004694837</v>
      </c>
      <c r="AC226" s="36">
        <f t="shared" ref="AC226:AD229" si="270">AC225</f>
        <v>1.6</v>
      </c>
      <c r="AD226" s="37">
        <f t="shared" si="270"/>
        <v>1.6</v>
      </c>
      <c r="AE226" s="22">
        <f t="shared" si="269"/>
        <v>1.5953051643192488</v>
      </c>
      <c r="AF226" s="22">
        <f t="shared" si="269"/>
        <v>0.76314553990610334</v>
      </c>
      <c r="AG226" s="22">
        <f>AF226*AE226</f>
        <v>1.2174500209394081</v>
      </c>
      <c r="AH226" s="38">
        <f>V226/AG226</f>
        <v>6.9982338933517791</v>
      </c>
      <c r="AJ226" s="147" t="s">
        <v>539</v>
      </c>
      <c r="AK226" s="148">
        <v>300</v>
      </c>
      <c r="AL226" s="148">
        <v>500</v>
      </c>
      <c r="AM226" s="148">
        <v>28</v>
      </c>
      <c r="AN226" s="380">
        <v>500</v>
      </c>
      <c r="AO226" s="380">
        <v>700</v>
      </c>
      <c r="AP226" s="380">
        <v>32</v>
      </c>
      <c r="AQ226" s="48"/>
      <c r="AR226" s="48"/>
      <c r="AS226" s="48"/>
      <c r="AT226" s="381">
        <v>6</v>
      </c>
      <c r="AU226" s="381">
        <v>3</v>
      </c>
      <c r="AV226" s="380">
        <f>+AT226*2+(AU226-2)*2</f>
        <v>14</v>
      </c>
      <c r="AW226" s="159">
        <v>1.2</v>
      </c>
      <c r="AX226" s="155" t="s">
        <v>538</v>
      </c>
      <c r="AY226" s="180">
        <f>+AV226</f>
        <v>14</v>
      </c>
      <c r="BA226" s="154"/>
      <c r="BB226" s="177" t="s">
        <v>537</v>
      </c>
      <c r="BC226" s="179">
        <v>1.25</v>
      </c>
      <c r="BD226" s="166" t="s">
        <v>526</v>
      </c>
      <c r="BE226" s="154"/>
      <c r="BG226" s="67" t="s">
        <v>195</v>
      </c>
      <c r="BH226" s="68">
        <f>+BK219*100-5</f>
        <v>20</v>
      </c>
      <c r="BI226" s="94" t="s">
        <v>373</v>
      </c>
      <c r="BJ226" s="96">
        <f>+BJ225*BH223/BH222</f>
        <v>0.14874999999999999</v>
      </c>
      <c r="BK226" s="106"/>
      <c r="BL226" s="48"/>
      <c r="BM226" s="102">
        <f>SQRT(BH222)*0.53*BH225*BH226/1000</f>
        <v>15.360859350960803</v>
      </c>
      <c r="BN226" s="73">
        <f>SQRT(BH222)*0.93*BH225*BH226/1000</f>
        <v>26.953960747912355</v>
      </c>
      <c r="BO226" s="205" t="str">
        <f>IF(BL225&lt;BN226,"OK","REDIS")</f>
        <v>OK</v>
      </c>
      <c r="BR226" s="106"/>
      <c r="BS226" s="48"/>
      <c r="BT226" s="102">
        <f>SQRT(BH222)*0.53*(+BK219*100*4+0.3*2+0.4*2)*BK219*100/1000</f>
        <v>19.469889227342819</v>
      </c>
      <c r="BU226" s="73">
        <f>+BT226*0.93/0.53</f>
        <v>34.164145247978908</v>
      </c>
      <c r="BV226" s="205" t="str">
        <f>IF(BS225&lt;BU226,"OK","REDIS")</f>
        <v>OK</v>
      </c>
    </row>
    <row r="227" spans="1:74" ht="15.75" thickBot="1" x14ac:dyDescent="0.3">
      <c r="A227" s="371" t="s">
        <v>742</v>
      </c>
      <c r="B227" s="371" t="s">
        <v>354</v>
      </c>
      <c r="C227" s="371" t="s">
        <v>352</v>
      </c>
      <c r="D227" s="378">
        <v>-4.1500000000000004</v>
      </c>
      <c r="E227" s="378">
        <v>0.02</v>
      </c>
      <c r="F227" s="378">
        <v>-6.21</v>
      </c>
      <c r="G227" s="378">
        <v>-7.0000000000000007E-2</v>
      </c>
      <c r="H227" s="378">
        <v>-3.79</v>
      </c>
      <c r="I227" s="378">
        <v>0</v>
      </c>
      <c r="K227" s="33"/>
      <c r="L227" t="s">
        <v>801</v>
      </c>
      <c r="M227" s="34">
        <f>D225+D226-D227</f>
        <v>4.49</v>
      </c>
      <c r="N227" s="34">
        <f>E225+E226-E227</f>
        <v>-7.0000000000000007E-2</v>
      </c>
      <c r="O227" s="34">
        <f>F225+F226-F227</f>
        <v>20.94</v>
      </c>
      <c r="P227" s="34">
        <f>G225+G226-G227</f>
        <v>0.12000000000000001</v>
      </c>
      <c r="Q227" s="34">
        <f>H225+0.25*H226-H227</f>
        <v>4.0149999999999997</v>
      </c>
      <c r="R227" s="35">
        <f>I225+0.25*I226-I227</f>
        <v>0</v>
      </c>
      <c r="S227" s="17"/>
      <c r="T227" s="29"/>
      <c r="U227" s="29" t="s">
        <v>376</v>
      </c>
      <c r="V227" s="23">
        <f t="shared" si="268"/>
        <v>20.94</v>
      </c>
      <c r="W227" s="23">
        <f t="shared" si="268"/>
        <v>0.12000000000000001</v>
      </c>
      <c r="X227" s="23">
        <f t="shared" si="268"/>
        <v>4.0149999999999997</v>
      </c>
      <c r="Y227" s="29"/>
      <c r="Z227" s="31">
        <f>ABS(V227)/AC227/AD227</f>
        <v>8.1796875</v>
      </c>
      <c r="AA227" s="23">
        <f>ABS(+W227/V227)</f>
        <v>5.7306590257879654E-3</v>
      </c>
      <c r="AB227" s="23">
        <f>ABS(X227/V227)</f>
        <v>0.19173829990448898</v>
      </c>
      <c r="AC227" s="36">
        <f t="shared" si="270"/>
        <v>1.6</v>
      </c>
      <c r="AD227" s="37">
        <f t="shared" si="270"/>
        <v>1.6</v>
      </c>
      <c r="AE227" s="22">
        <f t="shared" si="269"/>
        <v>1.5885386819484242</v>
      </c>
      <c r="AF227" s="22">
        <f t="shared" si="269"/>
        <v>1.2165234001910221</v>
      </c>
      <c r="AG227" s="22">
        <f>AF227*AE227</f>
        <v>1.9324944786988616</v>
      </c>
      <c r="AH227" s="38">
        <f>V227/AG227</f>
        <v>10.835736003809332</v>
      </c>
      <c r="AJ227" s="146" t="s">
        <v>514</v>
      </c>
      <c r="AK227" s="145"/>
      <c r="AL227" s="145"/>
      <c r="AM227" s="145"/>
      <c r="AN227" s="139"/>
      <c r="AO227" s="146" t="s">
        <v>507</v>
      </c>
      <c r="AP227" s="145" t="s">
        <v>626</v>
      </c>
      <c r="AQ227" s="145">
        <f>0.6*AR224</f>
        <v>2100</v>
      </c>
      <c r="AR227" s="212" t="s">
        <v>627</v>
      </c>
      <c r="AS227" s="211">
        <f>+AR228+AR229</f>
        <v>2178.7109375</v>
      </c>
      <c r="AT227" s="48" t="s">
        <v>515</v>
      </c>
      <c r="AU227" s="48"/>
      <c r="AV227" s="48" t="s">
        <v>518</v>
      </c>
      <c r="AW227" s="160"/>
      <c r="AX227" s="155" t="s">
        <v>524</v>
      </c>
      <c r="AY227" s="182">
        <f>IF(BC226=(1+1/4),+(1+3/8),IF(BC226=1,(1+1/8),IF(BC226=(7/8),1,IF(BC226=(3/4),+(7/8),IF(BC226=(5/8),+(3/4),IF(BC226=(1/2),(9/16),IF(BC226=(3/8),+(7/16),"no valido")))))))</f>
        <v>1.375</v>
      </c>
      <c r="AZ227" s="165" t="s">
        <v>526</v>
      </c>
      <c r="BA227" s="172" t="s">
        <v>531</v>
      </c>
      <c r="BB227" s="178" t="s">
        <v>529</v>
      </c>
      <c r="BC227" s="158">
        <f>+AY228+3</f>
        <v>13.75</v>
      </c>
      <c r="BD227" s="166" t="s">
        <v>526</v>
      </c>
      <c r="BE227" s="172" t="s">
        <v>531</v>
      </c>
      <c r="BG227" s="71" t="s">
        <v>196</v>
      </c>
      <c r="BH227" s="72">
        <v>5</v>
      </c>
      <c r="BI227" s="95" t="s">
        <v>198</v>
      </c>
      <c r="BJ227" s="97">
        <f>+BH224*BH222*BH225*BH226*BH226*BJ226*(1-0.59*BJ226)/100000</f>
        <v>10.25856680625</v>
      </c>
      <c r="BK227" s="107"/>
      <c r="BL227" s="80"/>
      <c r="BM227" s="206"/>
      <c r="BN227" s="78"/>
      <c r="BO227" s="108"/>
      <c r="BR227" s="107"/>
      <c r="BS227" s="80"/>
      <c r="BT227" s="206"/>
      <c r="BU227" s="78"/>
      <c r="BV227" s="108"/>
    </row>
    <row r="228" spans="1:74" ht="15.75" thickBot="1" x14ac:dyDescent="0.3">
      <c r="A228" s="371" t="s">
        <v>742</v>
      </c>
      <c r="B228" s="371" t="s">
        <v>355</v>
      </c>
      <c r="C228" s="371" t="s">
        <v>352</v>
      </c>
      <c r="D228" s="378">
        <v>0.04</v>
      </c>
      <c r="E228" s="378">
        <v>-4.91</v>
      </c>
      <c r="F228" s="378">
        <v>0.05</v>
      </c>
      <c r="G228" s="378">
        <v>7.09</v>
      </c>
      <c r="H228" s="378">
        <v>0.05</v>
      </c>
      <c r="I228" s="378">
        <v>0</v>
      </c>
      <c r="K228" s="33"/>
      <c r="L228" t="s">
        <v>802</v>
      </c>
      <c r="M228" s="34">
        <f>D225+D226+D228</f>
        <v>0.37999999999999995</v>
      </c>
      <c r="N228" s="34">
        <f>E225+E226+E228</f>
        <v>-4.96</v>
      </c>
      <c r="O228" s="34">
        <f>F225+F226+F228</f>
        <v>14.780000000000001</v>
      </c>
      <c r="P228" s="34">
        <f>G225+G226+G228</f>
        <v>7.14</v>
      </c>
      <c r="Q228" s="34">
        <f>H225+0.25*H226+H228</f>
        <v>0.27500000000000002</v>
      </c>
      <c r="R228" s="35">
        <f>I225+0.25*I226+I228</f>
        <v>0</v>
      </c>
      <c r="S228" s="17"/>
      <c r="T228" s="29"/>
      <c r="U228" s="29" t="s">
        <v>377</v>
      </c>
      <c r="V228" s="23">
        <f t="shared" si="268"/>
        <v>14.780000000000001</v>
      </c>
      <c r="W228" s="23">
        <f t="shared" si="268"/>
        <v>7.14</v>
      </c>
      <c r="X228" s="23">
        <f t="shared" si="268"/>
        <v>0.27500000000000002</v>
      </c>
      <c r="Y228" s="29"/>
      <c r="Z228" s="31">
        <f>ABS(V228)/AC228/AD228</f>
        <v>5.7734375</v>
      </c>
      <c r="AA228" s="23">
        <f>ABS(+W228/V228)</f>
        <v>0.48308525033829491</v>
      </c>
      <c r="AB228" s="23">
        <f>ABS(X228/V228)</f>
        <v>1.8606224627875506E-2</v>
      </c>
      <c r="AC228" s="36">
        <f t="shared" si="270"/>
        <v>1.6</v>
      </c>
      <c r="AD228" s="37">
        <f t="shared" si="270"/>
        <v>1.6</v>
      </c>
      <c r="AE228" s="22">
        <f t="shared" si="269"/>
        <v>0.63382949932341026</v>
      </c>
      <c r="AF228" s="22">
        <f t="shared" si="269"/>
        <v>1.562787550744249</v>
      </c>
      <c r="AG228" s="22">
        <f>AF228*AE228</f>
        <v>0.99054085083708598</v>
      </c>
      <c r="AH228" s="38">
        <f>V228/AG228</f>
        <v>14.921141301249436</v>
      </c>
      <c r="AJ228" s="147" t="s">
        <v>500</v>
      </c>
      <c r="AK228" s="24">
        <f>(MAX(V225:V229)+ABS(MAX(W225:W229))/(AL226/1000))*1000</f>
        <v>35220</v>
      </c>
      <c r="AL228" s="150" t="s">
        <v>502</v>
      </c>
      <c r="AM228" s="24">
        <f>+ABS(MAX(AK228:AK229))/(+AK226*2/10+AL226*2/10)/(AP226/10)</f>
        <v>68.7890625</v>
      </c>
      <c r="AN228" s="151" t="str">
        <f>IF(AM228&lt;=AM229,"OK","REDIS")</f>
        <v>OK</v>
      </c>
      <c r="AO228" s="150" t="s">
        <v>508</v>
      </c>
      <c r="AP228" s="24">
        <f>((AO226/10/2-AL226/10/2)/2)*((MAX(ABS(MAX(W225:W229)),ABS(MIN(W225:W229)))*100000))/(AL226/10)</f>
        <v>71400</v>
      </c>
      <c r="AQ228" s="150" t="s">
        <v>510</v>
      </c>
      <c r="AR228" s="24">
        <f>+AP228/(AK226*AP226*AP226/6/10/10/10)</f>
        <v>1394.53125</v>
      </c>
      <c r="AS228" s="152" t="str">
        <f>IF(AR228&lt;=0.6*AR224*1.1,"OK","REDIS")</f>
        <v>OK</v>
      </c>
      <c r="AT228" s="24" t="s">
        <v>516</v>
      </c>
      <c r="AU228" s="174">
        <f>+AW226*(AP228/100000)/((AO226-AL226)/1000/4)/(AT226-1)</f>
        <v>3.4271999999999991</v>
      </c>
      <c r="AV228" s="24" t="s">
        <v>519</v>
      </c>
      <c r="AW228" s="175">
        <f>+AW226*(ABS(MAX(M225:M229))+ABS(MIN(M225:M229)+ABS(MAX(N225:N229))+ABS(MIN(N225:N229))))/AV226</f>
        <v>0.9</v>
      </c>
      <c r="AX228" s="155" t="s">
        <v>525</v>
      </c>
      <c r="AY228" s="383">
        <f>IF(BC226=(1+1/4),+(11-1/4),IF(BC226=1,(9),IF(BC226=(7/8),(7-7/8),IF(BC226=(3/4),+(6-3/4),IF(BC226=(5/8),+(5-5/8),IF(BC226=(1/2),(4-1/2),IF(BC226=(3-3/8),+(7/16),"no valido")))))))</f>
        <v>10.75</v>
      </c>
      <c r="AZ228" s="166" t="s">
        <v>526</v>
      </c>
      <c r="BA228" s="168" t="s">
        <v>533</v>
      </c>
      <c r="BB228" s="153" t="s">
        <v>521</v>
      </c>
      <c r="BC228" s="44">
        <f>+AV226</f>
        <v>14</v>
      </c>
      <c r="BD228" s="166" t="s">
        <v>527</v>
      </c>
      <c r="BE228" s="162" t="s">
        <v>534</v>
      </c>
    </row>
    <row r="229" spans="1:74" ht="15.75" thickBot="1" x14ac:dyDescent="0.3">
      <c r="A229" s="371" t="s">
        <v>742</v>
      </c>
      <c r="B229" s="371" t="s">
        <v>806</v>
      </c>
      <c r="C229" s="371" t="s">
        <v>389</v>
      </c>
      <c r="D229" s="369"/>
      <c r="E229" s="369"/>
      <c r="F229" s="369"/>
      <c r="G229" s="369"/>
      <c r="H229" s="369"/>
      <c r="I229" s="369"/>
      <c r="K229" s="39"/>
      <c r="L229" s="368" t="s">
        <v>803</v>
      </c>
      <c r="M229" s="41">
        <f>D225+D226-D228</f>
        <v>0.3</v>
      </c>
      <c r="N229" s="41">
        <f>E225+E226-E228</f>
        <v>4.8600000000000003</v>
      </c>
      <c r="O229" s="41">
        <f>F225+F226-F228</f>
        <v>14.68</v>
      </c>
      <c r="P229" s="41">
        <f>G225+G226-G228</f>
        <v>-7.04</v>
      </c>
      <c r="Q229" s="41">
        <f>H225+0.25*H226-H228</f>
        <v>0.17499999999999999</v>
      </c>
      <c r="R229" s="42">
        <f>I225+0.25*I226-I228</f>
        <v>0</v>
      </c>
      <c r="S229" s="17"/>
      <c r="T229" s="29"/>
      <c r="U229" s="29" t="s">
        <v>378</v>
      </c>
      <c r="V229" s="23">
        <f t="shared" si="268"/>
        <v>14.68</v>
      </c>
      <c r="W229" s="23">
        <f t="shared" si="268"/>
        <v>-7.04</v>
      </c>
      <c r="X229" s="23">
        <f t="shared" si="268"/>
        <v>0.17499999999999999</v>
      </c>
      <c r="Y229" s="29"/>
      <c r="Z229" s="31">
        <f>ABS(V229)/AC229/AD229</f>
        <v>5.7343749999999991</v>
      </c>
      <c r="AA229" s="23">
        <f>ABS(+W229/V229)</f>
        <v>0.47956403269754772</v>
      </c>
      <c r="AB229" s="23">
        <f>ABS(X229/V229)</f>
        <v>1.1920980926430517E-2</v>
      </c>
      <c r="AC229" s="36">
        <f t="shared" si="270"/>
        <v>1.6</v>
      </c>
      <c r="AD229" s="37">
        <f t="shared" si="270"/>
        <v>1.6</v>
      </c>
      <c r="AE229" s="22">
        <f t="shared" si="269"/>
        <v>0.64087193460490466</v>
      </c>
      <c r="AF229" s="22">
        <f t="shared" si="269"/>
        <v>1.576158038147139</v>
      </c>
      <c r="AG229" s="22">
        <f>AF229*AE229</f>
        <v>1.010115451150428</v>
      </c>
      <c r="AH229" s="38">
        <f>V229/AG229</f>
        <v>14.532992227057647</v>
      </c>
      <c r="AJ229" s="147" t="s">
        <v>501</v>
      </c>
      <c r="AK229" s="24">
        <f>(MAX(V225:V229)+ABS(MAX(X225:X229))/(AK226/1000))*1000</f>
        <v>34323.333333333336</v>
      </c>
      <c r="AL229" s="150" t="s">
        <v>505</v>
      </c>
      <c r="AM229" s="24">
        <f>+AR224*0.4/3</f>
        <v>466.66666666666669</v>
      </c>
      <c r="AN229" s="24"/>
      <c r="AO229" s="150" t="s">
        <v>509</v>
      </c>
      <c r="AP229" s="24">
        <f>((AN226/10/2-AK226/10/2)/2)*(MAX(+ABS(MAX(X225:X229)),ABS(MIN(X225:X229)))*100000/(AK226/10))</f>
        <v>66916.666666666657</v>
      </c>
      <c r="AQ229" s="150" t="s">
        <v>511</v>
      </c>
      <c r="AR229" s="24">
        <f>+AP229/(AL226*AP226*AP226/6/1000)</f>
        <v>784.17968749999989</v>
      </c>
      <c r="AS229" s="152" t="str">
        <f>IF(AR229&lt;=0.6*AR224*1.1,"OK","REDIS")</f>
        <v>OK</v>
      </c>
      <c r="AT229" s="24" t="s">
        <v>517</v>
      </c>
      <c r="AU229" s="174">
        <f>+AW226*(AP229/100000)/((AN226-AK226)/1000/4)/(AU226-1)</f>
        <v>8.0299999999999976</v>
      </c>
      <c r="AV229" s="24"/>
      <c r="AW229" s="161"/>
      <c r="AX229" s="156" t="s">
        <v>522</v>
      </c>
      <c r="AY229" s="181">
        <f>IF(AY227=(1+3/8),+AV226/3,IF(AY227=(1+1/8),+AV226/6,IF(AY227=1,+AV226/8,IF(AY227=(7/8),+AV226/11,IF(AY227=0.75,+AV226/18,IF(AY227=(9/16),+AV226/45,IF(AY227=(7/16),+AV226/84,"NO HAY DATO")))))))</f>
        <v>4.666666666666667</v>
      </c>
      <c r="AZ229" s="167" t="s">
        <v>527</v>
      </c>
      <c r="BA229" s="176"/>
      <c r="BB229" s="164" t="s">
        <v>523</v>
      </c>
      <c r="BC229" s="129">
        <f>+BC228*BC227*2.54/100</f>
        <v>4.8895</v>
      </c>
      <c r="BD229" s="173" t="s">
        <v>528</v>
      </c>
      <c r="BE229" s="385">
        <f>ROUNDUP(+BC227*2.54,0)</f>
        <v>35</v>
      </c>
      <c r="BG229" s="9" t="s">
        <v>204</v>
      </c>
    </row>
    <row r="230" spans="1:74" ht="15.75" thickBot="1" x14ac:dyDescent="0.3">
      <c r="A230" s="371" t="s">
        <v>742</v>
      </c>
      <c r="B230" s="371" t="s">
        <v>807</v>
      </c>
      <c r="C230" s="371" t="s">
        <v>389</v>
      </c>
      <c r="D230" s="369"/>
      <c r="E230" s="369"/>
      <c r="F230" s="369"/>
      <c r="G230" s="369"/>
      <c r="H230" s="369"/>
      <c r="I230" s="369"/>
      <c r="K230" s="25" t="s">
        <v>357</v>
      </c>
      <c r="L230" s="26" t="s">
        <v>358</v>
      </c>
      <c r="M230" s="27" t="s">
        <v>359</v>
      </c>
      <c r="N230" s="27" t="s">
        <v>360</v>
      </c>
      <c r="O230" s="27" t="s">
        <v>361</v>
      </c>
      <c r="P230" s="27" t="s">
        <v>362</v>
      </c>
      <c r="Q230" s="27" t="s">
        <v>363</v>
      </c>
      <c r="R230" s="28" t="s">
        <v>364</v>
      </c>
      <c r="S230" s="17"/>
      <c r="T230" s="29" t="s">
        <v>365</v>
      </c>
      <c r="U230" s="29" t="s">
        <v>358</v>
      </c>
      <c r="V230" s="30" t="s">
        <v>361</v>
      </c>
      <c r="W230" s="30" t="s">
        <v>362</v>
      </c>
      <c r="X230" s="30" t="s">
        <v>363</v>
      </c>
      <c r="Y230" s="29" t="s">
        <v>366</v>
      </c>
      <c r="Z230" s="31" t="s">
        <v>367</v>
      </c>
      <c r="AA230" s="23" t="s">
        <v>368</v>
      </c>
      <c r="AB230" s="23" t="s">
        <v>369</v>
      </c>
      <c r="AC230" s="22" t="s">
        <v>0</v>
      </c>
      <c r="AD230" s="22" t="s">
        <v>1</v>
      </c>
      <c r="AE230" s="22" t="s">
        <v>370</v>
      </c>
      <c r="AF230" s="22" t="s">
        <v>371</v>
      </c>
      <c r="AG230" s="22" t="s">
        <v>372</v>
      </c>
      <c r="AH230" s="32" t="s">
        <v>373</v>
      </c>
      <c r="AJ230" s="143" t="s">
        <v>365</v>
      </c>
      <c r="AK230" s="144" t="s">
        <v>498</v>
      </c>
      <c r="AL230" s="145"/>
      <c r="AM230" s="139"/>
      <c r="AN230" s="146" t="s">
        <v>499</v>
      </c>
      <c r="AO230" s="145"/>
      <c r="AP230" s="139"/>
      <c r="AQ230" s="147" t="s">
        <v>506</v>
      </c>
      <c r="AR230" s="48">
        <v>3500</v>
      </c>
      <c r="AS230" s="147" t="s">
        <v>405</v>
      </c>
      <c r="AT230" s="146" t="s">
        <v>512</v>
      </c>
      <c r="AU230" s="145"/>
      <c r="AV230" s="145"/>
      <c r="AW230" s="145"/>
      <c r="AX230" s="382" t="s">
        <v>532</v>
      </c>
      <c r="AY230" s="157" t="s">
        <v>515</v>
      </c>
      <c r="AZ230" s="169">
        <v>6.9</v>
      </c>
      <c r="BA230" s="171" t="str">
        <f>IF(MAX(AU234:AU235)&lt;=AZ230,"OK","REDIS")</f>
        <v>OK</v>
      </c>
      <c r="BB230" s="382" t="s">
        <v>536</v>
      </c>
      <c r="BC230" s="170" t="s">
        <v>515</v>
      </c>
      <c r="BD230" s="169">
        <v>8.36</v>
      </c>
      <c r="BE230" s="171" t="str">
        <f>IF(MAX(AU234:AU235)&lt;=BD230,"OK","REDIS")</f>
        <v>OK</v>
      </c>
      <c r="BG230" s="109" t="s">
        <v>199</v>
      </c>
      <c r="BH230" s="142">
        <v>1.5</v>
      </c>
      <c r="BJ230" s="109" t="s">
        <v>385</v>
      </c>
      <c r="BK230" s="142">
        <v>0.25</v>
      </c>
      <c r="BM230" s="110" t="s">
        <v>200</v>
      </c>
      <c r="BN230" s="110"/>
      <c r="BO230" s="110">
        <v>12</v>
      </c>
      <c r="BP230" s="110" t="s">
        <v>386</v>
      </c>
      <c r="BQ230" t="s">
        <v>201</v>
      </c>
    </row>
    <row r="231" spans="1:74" ht="15" x14ac:dyDescent="0.25">
      <c r="A231" s="371" t="s">
        <v>743</v>
      </c>
      <c r="B231" s="371" t="s">
        <v>351</v>
      </c>
      <c r="C231" s="371" t="s">
        <v>352</v>
      </c>
      <c r="D231" s="378">
        <v>0.19</v>
      </c>
      <c r="E231" s="378">
        <v>-0.11</v>
      </c>
      <c r="F231" s="378">
        <v>6.52</v>
      </c>
      <c r="G231" s="378">
        <v>0.1</v>
      </c>
      <c r="H231" s="378">
        <v>0.17</v>
      </c>
      <c r="I231" s="378">
        <v>0</v>
      </c>
      <c r="K231" s="33" t="str">
        <f>+A231</f>
        <v>12</v>
      </c>
      <c r="L231" s="17" t="s">
        <v>374</v>
      </c>
      <c r="M231" s="34">
        <f t="shared" ref="M231:R231" si="271">D231+D232</f>
        <v>0.3</v>
      </c>
      <c r="N231" s="34">
        <f t="shared" si="271"/>
        <v>-0.2</v>
      </c>
      <c r="O231" s="34">
        <f t="shared" si="271"/>
        <v>8.5</v>
      </c>
      <c r="P231" s="34">
        <f t="shared" si="271"/>
        <v>0.19</v>
      </c>
      <c r="Q231" s="34">
        <f t="shared" si="271"/>
        <v>0.26</v>
      </c>
      <c r="R231" s="35">
        <f t="shared" si="271"/>
        <v>0</v>
      </c>
      <c r="S231" s="17"/>
      <c r="T231" s="29" t="str">
        <f>K231</f>
        <v>12</v>
      </c>
      <c r="U231" s="29" t="s">
        <v>374</v>
      </c>
      <c r="V231" s="23">
        <f t="shared" ref="V231:X235" si="272">O231</f>
        <v>8.5</v>
      </c>
      <c r="W231" s="23">
        <f t="shared" si="272"/>
        <v>0.19</v>
      </c>
      <c r="X231" s="23">
        <f t="shared" si="272"/>
        <v>0.26</v>
      </c>
      <c r="Y231" s="29">
        <v>15</v>
      </c>
      <c r="Z231" s="31">
        <f>ABS(V231)/AC231/AD231</f>
        <v>3.7777777777777781</v>
      </c>
      <c r="AA231" s="23">
        <f>ABS(+W231/V231)</f>
        <v>2.2352941176470589E-2</v>
      </c>
      <c r="AB231" s="23">
        <f>ABS(X231/V231)</f>
        <v>3.0588235294117649E-2</v>
      </c>
      <c r="AC231" s="36">
        <v>1.5</v>
      </c>
      <c r="AD231" s="37">
        <v>1.5</v>
      </c>
      <c r="AE231" s="22">
        <f t="shared" ref="AE231:AF235" si="273">AC231-2*AA231</f>
        <v>1.4552941176470588</v>
      </c>
      <c r="AF231" s="22">
        <f t="shared" si="273"/>
        <v>1.4388235294117646</v>
      </c>
      <c r="AG231" s="22">
        <f>AF231*AE231</f>
        <v>2.0939114186851211</v>
      </c>
      <c r="AH231" s="38">
        <f>V231/AG231</f>
        <v>4.059388531983652</v>
      </c>
      <c r="AJ231" s="379" t="str">
        <f>+A231</f>
        <v>12</v>
      </c>
      <c r="AK231" s="147" t="s">
        <v>0</v>
      </c>
      <c r="AL231" s="147" t="s">
        <v>1</v>
      </c>
      <c r="AM231" s="147" t="s">
        <v>438</v>
      </c>
      <c r="AN231" s="147" t="s">
        <v>503</v>
      </c>
      <c r="AO231" s="147" t="s">
        <v>504</v>
      </c>
      <c r="AP231" s="147" t="s">
        <v>323</v>
      </c>
      <c r="AQ231" s="48"/>
      <c r="AR231" s="48"/>
      <c r="AS231" s="48"/>
      <c r="AT231" s="147" t="s">
        <v>0</v>
      </c>
      <c r="AU231" s="147" t="s">
        <v>1</v>
      </c>
      <c r="AV231" s="147" t="s">
        <v>513</v>
      </c>
      <c r="AW231" s="159" t="s">
        <v>520</v>
      </c>
      <c r="AX231" s="141" t="s">
        <v>530</v>
      </c>
      <c r="AY231" s="157" t="s">
        <v>178</v>
      </c>
      <c r="AZ231" s="44">
        <v>12</v>
      </c>
      <c r="BA231" s="172" t="str">
        <f>IF(AW234&lt;=AZ231,"OK","REDIS")</f>
        <v>OK</v>
      </c>
      <c r="BB231" s="384" t="s">
        <v>535</v>
      </c>
      <c r="BC231" s="120" t="s">
        <v>178</v>
      </c>
      <c r="BD231" s="44">
        <v>4.3</v>
      </c>
      <c r="BE231" s="172" t="str">
        <f>IF(AW234&lt;=BD231,"OK","REDIS")</f>
        <v>OK</v>
      </c>
      <c r="BG231" s="122" t="s">
        <v>164</v>
      </c>
      <c r="BH231" s="193" t="e">
        <f>+#REF!</f>
        <v>#REF!</v>
      </c>
      <c r="BI231" s="196" t="s">
        <v>165</v>
      </c>
      <c r="BJ231" s="197" t="s">
        <v>166</v>
      </c>
      <c r="BK231" s="74" t="s">
        <v>2</v>
      </c>
      <c r="BL231" s="74" t="s">
        <v>167</v>
      </c>
      <c r="BM231" s="75" t="s">
        <v>168</v>
      </c>
      <c r="BN231" s="74" t="s">
        <v>169</v>
      </c>
      <c r="BO231" s="74" t="s">
        <v>170</v>
      </c>
      <c r="BP231" s="74" t="s">
        <v>171</v>
      </c>
      <c r="BQ231" s="75" t="s">
        <v>172</v>
      </c>
      <c r="BR231" s="74" t="s">
        <v>173</v>
      </c>
      <c r="BS231" s="74" t="s">
        <v>174</v>
      </c>
      <c r="BT231" s="74" t="s">
        <v>165</v>
      </c>
      <c r="BU231" s="74" t="s">
        <v>175</v>
      </c>
      <c r="BV231" s="76" t="s">
        <v>407</v>
      </c>
    </row>
    <row r="232" spans="1:74" ht="15.75" thickBot="1" x14ac:dyDescent="0.3">
      <c r="A232" s="371" t="s">
        <v>743</v>
      </c>
      <c r="B232" s="371" t="s">
        <v>353</v>
      </c>
      <c r="C232" s="371" t="s">
        <v>352</v>
      </c>
      <c r="D232" s="378">
        <v>0.11</v>
      </c>
      <c r="E232" s="378">
        <v>-0.09</v>
      </c>
      <c r="F232" s="378">
        <v>1.98</v>
      </c>
      <c r="G232" s="378">
        <v>0.09</v>
      </c>
      <c r="H232" s="378">
        <v>0.09</v>
      </c>
      <c r="I232" s="378">
        <v>0</v>
      </c>
      <c r="K232" s="33"/>
      <c r="L232" t="s">
        <v>800</v>
      </c>
      <c r="M232" s="34">
        <f>D231+D232+D233</f>
        <v>-3.2600000000000002</v>
      </c>
      <c r="N232" s="34">
        <f>E231+E232+E233</f>
        <v>-0.15000000000000002</v>
      </c>
      <c r="O232" s="34">
        <f>F231+F232+F233</f>
        <v>3.83</v>
      </c>
      <c r="P232" s="34">
        <f>G231+G232+G233</f>
        <v>0.1</v>
      </c>
      <c r="Q232" s="34">
        <f>H231+0.25*H232+H233</f>
        <v>-2.3275000000000001</v>
      </c>
      <c r="R232" s="35">
        <f>I231+0.25*I232+I233</f>
        <v>0</v>
      </c>
      <c r="S232" s="17"/>
      <c r="T232" s="29"/>
      <c r="U232" s="29" t="s">
        <v>375</v>
      </c>
      <c r="V232" s="23">
        <f t="shared" si="272"/>
        <v>3.83</v>
      </c>
      <c r="W232" s="23">
        <f t="shared" si="272"/>
        <v>0.1</v>
      </c>
      <c r="X232" s="23">
        <f t="shared" si="272"/>
        <v>-2.3275000000000001</v>
      </c>
      <c r="Y232" s="29">
        <f>1.33*Y231</f>
        <v>19.950000000000003</v>
      </c>
      <c r="Z232" s="31">
        <f>ABS(V232)/AC232/AD232</f>
        <v>1.7022222222222221</v>
      </c>
      <c r="AA232" s="23">
        <f>ABS(+W232/V232)</f>
        <v>2.6109660574412535E-2</v>
      </c>
      <c r="AB232" s="23">
        <f>ABS(X232/V232)</f>
        <v>0.60770234986945171</v>
      </c>
      <c r="AC232" s="36">
        <f t="shared" ref="AC232:AD235" si="274">AC231</f>
        <v>1.5</v>
      </c>
      <c r="AD232" s="37">
        <f t="shared" si="274"/>
        <v>1.5</v>
      </c>
      <c r="AE232" s="22">
        <f t="shared" si="273"/>
        <v>1.4477806788511749</v>
      </c>
      <c r="AF232" s="22">
        <f t="shared" si="273"/>
        <v>0.28459530026109658</v>
      </c>
      <c r="AG232" s="22">
        <f>AF232*AE232</f>
        <v>0.41203157700986437</v>
      </c>
      <c r="AH232" s="38">
        <f>V232/AG232</f>
        <v>9.2954040750821072</v>
      </c>
      <c r="AJ232" s="147" t="s">
        <v>539</v>
      </c>
      <c r="AK232" s="148">
        <v>300</v>
      </c>
      <c r="AL232" s="148">
        <v>500</v>
      </c>
      <c r="AM232" s="148">
        <v>28</v>
      </c>
      <c r="AN232" s="380">
        <v>500</v>
      </c>
      <c r="AO232" s="380">
        <v>700</v>
      </c>
      <c r="AP232" s="380">
        <v>24</v>
      </c>
      <c r="AQ232" s="48"/>
      <c r="AR232" s="48"/>
      <c r="AS232" s="48"/>
      <c r="AT232" s="381">
        <v>8</v>
      </c>
      <c r="AU232" s="381">
        <v>5</v>
      </c>
      <c r="AV232" s="380">
        <f>+AT232*2+(AU232-2)*2</f>
        <v>22</v>
      </c>
      <c r="AW232" s="159">
        <v>1.2</v>
      </c>
      <c r="AX232" s="155" t="s">
        <v>538</v>
      </c>
      <c r="AY232" s="180">
        <f>+AV232</f>
        <v>22</v>
      </c>
      <c r="BA232" s="154"/>
      <c r="BB232" s="177" t="s">
        <v>537</v>
      </c>
      <c r="BC232" s="179">
        <v>1.25</v>
      </c>
      <c r="BD232" s="166" t="s">
        <v>526</v>
      </c>
      <c r="BE232" s="154"/>
      <c r="BG232" s="123" t="s">
        <v>390</v>
      </c>
      <c r="BH232" s="43">
        <f>1.3*((BH230-0.2)/2)*1*((BH230)/4)*BO230</f>
        <v>3.8025000000000002</v>
      </c>
      <c r="BI232" s="198">
        <f>IF(BQ232=0,BT232,BM234)</f>
        <v>6.6666666666666679</v>
      </c>
      <c r="BJ232" s="199">
        <f>IF(BQ232=0,0,BK234)</f>
        <v>0</v>
      </c>
      <c r="BK232" s="82">
        <f>ABS(BH232)*100000/(BH235*BH236*BH237*BH237*BH233)</f>
        <v>5.0297619047619049E-2</v>
      </c>
      <c r="BL232" s="82">
        <f>1-2.36*BK232</f>
        <v>0.88129761904761905</v>
      </c>
      <c r="BM232" s="200" t="str">
        <f>IF(BL232&gt;=0,"OK","OTRA SECCION")</f>
        <v>OK</v>
      </c>
      <c r="BN232" s="83">
        <f>+(BH233/BH234)*((1-SQRT(BL232))/1.18)</f>
        <v>2.5942995566165935E-3</v>
      </c>
      <c r="BO232" s="84">
        <f>IF(BH233&gt;280,(IF((0.85-(0.08*(BH233-280)/70))&gt;=0.65,0.65,(0.85-(0.05*(BH233-280)))/70)),0.85)</f>
        <v>0.85</v>
      </c>
      <c r="BP232" s="85">
        <f>0.5*((0.85*BH233*BO232*6000)/(BH234*(6000+BH234)))</f>
        <v>1.0625000000000001E-2</v>
      </c>
      <c r="BQ232" s="200">
        <f>IF(BN232&gt;BP232,1,0)</f>
        <v>0</v>
      </c>
      <c r="BR232" s="86">
        <f>14/BH234*BH236*BH237</f>
        <v>6.6666666666666679</v>
      </c>
      <c r="BS232" s="82">
        <f>+BN232*BH236*BH237</f>
        <v>5.1885991132331863</v>
      </c>
      <c r="BT232" s="82">
        <f>IF(BS232&gt;BR232,BS232,BR232)</f>
        <v>6.6666666666666679</v>
      </c>
      <c r="BU232" s="82">
        <f>+BJ236*BH236*BH237</f>
        <v>14.874999999999998</v>
      </c>
      <c r="BV232" s="87">
        <f>+BU232*BH234/(0.85*BH233*BH236*BO232)</f>
        <v>4.117647058823529</v>
      </c>
    </row>
    <row r="233" spans="1:74" ht="15" x14ac:dyDescent="0.25">
      <c r="A233" s="371" t="s">
        <v>743</v>
      </c>
      <c r="B233" s="371" t="s">
        <v>354</v>
      </c>
      <c r="C233" s="371" t="s">
        <v>352</v>
      </c>
      <c r="D233" s="378">
        <v>-3.56</v>
      </c>
      <c r="E233" s="378">
        <v>0.05</v>
      </c>
      <c r="F233" s="378">
        <v>-4.67</v>
      </c>
      <c r="G233" s="378">
        <v>-0.09</v>
      </c>
      <c r="H233" s="378">
        <v>-2.52</v>
      </c>
      <c r="I233" s="378">
        <v>0</v>
      </c>
      <c r="K233" s="33"/>
      <c r="L233" t="s">
        <v>801</v>
      </c>
      <c r="M233" s="34">
        <f>D231+D232-D233</f>
        <v>3.86</v>
      </c>
      <c r="N233" s="34">
        <f>E231+E232-E233</f>
        <v>-0.25</v>
      </c>
      <c r="O233" s="34">
        <f>F231+F232-F233</f>
        <v>13.17</v>
      </c>
      <c r="P233" s="34">
        <f>G231+G232-G233</f>
        <v>0.28000000000000003</v>
      </c>
      <c r="Q233" s="34">
        <f>H231+0.25*H232-H233</f>
        <v>2.7124999999999999</v>
      </c>
      <c r="R233" s="35">
        <f>I231+0.25*I232-I233</f>
        <v>0</v>
      </c>
      <c r="S233" s="17"/>
      <c r="T233" s="29"/>
      <c r="U233" s="29" t="s">
        <v>376</v>
      </c>
      <c r="V233" s="23">
        <f t="shared" si="272"/>
        <v>13.17</v>
      </c>
      <c r="W233" s="23">
        <f t="shared" si="272"/>
        <v>0.28000000000000003</v>
      </c>
      <c r="X233" s="23">
        <f t="shared" si="272"/>
        <v>2.7124999999999999</v>
      </c>
      <c r="Y233" s="29"/>
      <c r="Z233" s="31">
        <f>ABS(V233)/AC233/AD233</f>
        <v>5.8533333333333326</v>
      </c>
      <c r="AA233" s="23">
        <f>ABS(+W233/V233)</f>
        <v>2.1260440394836752E-2</v>
      </c>
      <c r="AB233" s="23">
        <f>ABS(X233/V233)</f>
        <v>0.20596051632498102</v>
      </c>
      <c r="AC233" s="36">
        <f t="shared" si="274"/>
        <v>1.5</v>
      </c>
      <c r="AD233" s="37">
        <f t="shared" si="274"/>
        <v>1.5</v>
      </c>
      <c r="AE233" s="22">
        <f t="shared" si="273"/>
        <v>1.4574791192103265</v>
      </c>
      <c r="AF233" s="22">
        <f t="shared" si="273"/>
        <v>1.088078967350038</v>
      </c>
      <c r="AG233" s="22">
        <f>AF233*AE233</f>
        <v>1.585852374964615</v>
      </c>
      <c r="AH233" s="38">
        <f>V233/AG233</f>
        <v>8.3046822061819352</v>
      </c>
      <c r="AJ233" s="146" t="s">
        <v>514</v>
      </c>
      <c r="AK233" s="145"/>
      <c r="AL233" s="145"/>
      <c r="AM233" s="145"/>
      <c r="AN233" s="139"/>
      <c r="AO233" s="146" t="s">
        <v>507</v>
      </c>
      <c r="AP233" s="145" t="s">
        <v>626</v>
      </c>
      <c r="AQ233" s="145">
        <f>0.6*AR230</f>
        <v>2100</v>
      </c>
      <c r="AR233" s="212" t="s">
        <v>627</v>
      </c>
      <c r="AS233" s="211">
        <f>+AR234+AR235</f>
        <v>2205.7291666666665</v>
      </c>
      <c r="AT233" s="48" t="s">
        <v>515</v>
      </c>
      <c r="AU233" s="48"/>
      <c r="AV233" s="48" t="s">
        <v>518</v>
      </c>
      <c r="AW233" s="160"/>
      <c r="AX233" s="155" t="s">
        <v>524</v>
      </c>
      <c r="AY233" s="182">
        <f>IF(BC232=(1+1/4),+(1+3/8),IF(BC232=1,(1+1/8),IF(BC232=(7/8),1,IF(BC232=(3/4),+(7/8),IF(BC232=(5/8),+(3/4),IF(BC232=(1/2),(9/16),IF(BC232=(3/8),+(7/16),"no valido")))))))</f>
        <v>1.375</v>
      </c>
      <c r="AZ233" s="165" t="s">
        <v>526</v>
      </c>
      <c r="BA233" s="172" t="s">
        <v>531</v>
      </c>
      <c r="BB233" s="178" t="s">
        <v>529</v>
      </c>
      <c r="BC233" s="158">
        <f>+AY234+3</f>
        <v>13.75</v>
      </c>
      <c r="BD233" s="166" t="s">
        <v>526</v>
      </c>
      <c r="BE233" s="172" t="s">
        <v>531</v>
      </c>
      <c r="BG233" s="65" t="s">
        <v>179</v>
      </c>
      <c r="BH233" s="66">
        <v>210</v>
      </c>
      <c r="BI233" s="88" t="s">
        <v>180</v>
      </c>
      <c r="BJ233" s="74" t="s">
        <v>181</v>
      </c>
      <c r="BK233" s="74" t="s">
        <v>182</v>
      </c>
      <c r="BL233" s="74" t="s">
        <v>183</v>
      </c>
      <c r="BM233" s="74" t="s">
        <v>165</v>
      </c>
      <c r="BN233" s="74" t="s">
        <v>184</v>
      </c>
      <c r="BO233" s="74" t="s">
        <v>185</v>
      </c>
      <c r="BP233" s="74" t="s">
        <v>186</v>
      </c>
      <c r="BQ233" s="74" t="s">
        <v>187</v>
      </c>
      <c r="BR233" s="74" t="s">
        <v>188</v>
      </c>
      <c r="BS233" s="74" t="s">
        <v>189</v>
      </c>
      <c r="BT233" s="74" t="s">
        <v>190</v>
      </c>
      <c r="BU233" s="75" t="s">
        <v>191</v>
      </c>
      <c r="BV233" s="89"/>
    </row>
    <row r="234" spans="1:74" ht="15.75" thickBot="1" x14ac:dyDescent="0.3">
      <c r="A234" s="371" t="s">
        <v>743</v>
      </c>
      <c r="B234" s="371" t="s">
        <v>355</v>
      </c>
      <c r="C234" s="371" t="s">
        <v>352</v>
      </c>
      <c r="D234" s="378">
        <v>0.03</v>
      </c>
      <c r="E234" s="378">
        <v>-4.51</v>
      </c>
      <c r="F234" s="378">
        <v>2.31</v>
      </c>
      <c r="G234" s="378">
        <v>3.45</v>
      </c>
      <c r="H234" s="378">
        <v>0</v>
      </c>
      <c r="I234" s="378">
        <v>0</v>
      </c>
      <c r="K234" s="33"/>
      <c r="L234" t="s">
        <v>802</v>
      </c>
      <c r="M234" s="34">
        <f>D231+D232+D234</f>
        <v>0.32999999999999996</v>
      </c>
      <c r="N234" s="34">
        <f>E231+E232+E234</f>
        <v>-4.71</v>
      </c>
      <c r="O234" s="34">
        <f>F231+F232+F234</f>
        <v>10.81</v>
      </c>
      <c r="P234" s="34">
        <f>G231+G232+G234</f>
        <v>3.64</v>
      </c>
      <c r="Q234" s="34">
        <f>H231+0.25*H232+H234</f>
        <v>0.1925</v>
      </c>
      <c r="R234" s="35">
        <f>I231+0.25*I232+I234</f>
        <v>0</v>
      </c>
      <c r="S234" s="17"/>
      <c r="T234" s="29"/>
      <c r="U234" s="29" t="s">
        <v>377</v>
      </c>
      <c r="V234" s="23">
        <f t="shared" si="272"/>
        <v>10.81</v>
      </c>
      <c r="W234" s="23">
        <f t="shared" si="272"/>
        <v>3.64</v>
      </c>
      <c r="X234" s="23">
        <f t="shared" si="272"/>
        <v>0.1925</v>
      </c>
      <c r="Y234" s="29"/>
      <c r="Z234" s="31">
        <f>ABS(V234)/AC234/AD234</f>
        <v>4.804444444444445</v>
      </c>
      <c r="AA234" s="23">
        <f>ABS(+W234/V234)</f>
        <v>0.33672525439407958</v>
      </c>
      <c r="AB234" s="23">
        <f>ABS(X234/V234)</f>
        <v>1.7807585568917667E-2</v>
      </c>
      <c r="AC234" s="36">
        <f t="shared" si="274"/>
        <v>1.5</v>
      </c>
      <c r="AD234" s="37">
        <f t="shared" si="274"/>
        <v>1.5</v>
      </c>
      <c r="AE234" s="22">
        <f t="shared" si="273"/>
        <v>0.82654949121184085</v>
      </c>
      <c r="AF234" s="22">
        <f t="shared" si="273"/>
        <v>1.4643848288621646</v>
      </c>
      <c r="AG234" s="22">
        <f>AF234*AE234</f>
        <v>1.2103865352343608</v>
      </c>
      <c r="AH234" s="38">
        <f>V234/AG234</f>
        <v>8.9310312741598015</v>
      </c>
      <c r="AJ234" s="147" t="s">
        <v>500</v>
      </c>
      <c r="AK234" s="24">
        <f>(MAX(V231:V235)+ABS(MAX(W231:W235))/(AL232/1000))*1000</f>
        <v>20450</v>
      </c>
      <c r="AL234" s="150" t="s">
        <v>502</v>
      </c>
      <c r="AM234" s="24">
        <f>+ABS(MAX(AK234:AK235))/(+AK232*2/10+AL232*2/10)/(AP232/10)</f>
        <v>57.842881944444443</v>
      </c>
      <c r="AN234" s="151" t="str">
        <f>IF(AM234&lt;=AM235,"OK","REDIS")</f>
        <v>OK</v>
      </c>
      <c r="AO234" s="150" t="s">
        <v>508</v>
      </c>
      <c r="AP234" s="24">
        <f>((AO232/10/2-AL232/10/2)/2)*((MAX(ABS(MAX(W231:W235)),ABS(MIN(W231:W235)))*100000))/(AL232/10)</f>
        <v>36400</v>
      </c>
      <c r="AQ234" s="150" t="s">
        <v>510</v>
      </c>
      <c r="AR234" s="24">
        <f>+AP234/(AK232*AP232*AP232/6/10/10/10)</f>
        <v>1263.8888888888889</v>
      </c>
      <c r="AS234" s="152" t="str">
        <f>IF(AR234&lt;=0.6*AR230*1.1,"OK","REDIS")</f>
        <v>OK</v>
      </c>
      <c r="AT234" s="24" t="s">
        <v>516</v>
      </c>
      <c r="AU234" s="174">
        <f>+AW232*(AP234/100000)/((AO232-AL232)/1000/4)/(AT232-1)</f>
        <v>1.2479999999999998</v>
      </c>
      <c r="AV234" s="24" t="s">
        <v>519</v>
      </c>
      <c r="AW234" s="175">
        <f>+AW232*(ABS(MAX(M231:M235))+ABS(MIN(M231:M235)+ABS(MAX(N231:N235))+ABS(MIN(N231:N235))))/AV232</f>
        <v>0.52472727272727271</v>
      </c>
      <c r="AX234" s="155" t="s">
        <v>525</v>
      </c>
      <c r="AY234" s="383">
        <f>IF(BC232=(1+1/4),+(11-1/4),IF(BC232=1,(9),IF(BC232=(7/8),(7-7/8),IF(BC232=(3/4),+(6-3/4),IF(BC232=(5/8),+(5-5/8),IF(BC232=(1/2),(4-1/2),IF(BC232=(3-3/8),+(7/16),"no valido")))))))</f>
        <v>10.75</v>
      </c>
      <c r="AZ234" s="166" t="s">
        <v>526</v>
      </c>
      <c r="BA234" s="168" t="s">
        <v>533</v>
      </c>
      <c r="BB234" s="153" t="s">
        <v>521</v>
      </c>
      <c r="BC234" s="44">
        <f>+AV232</f>
        <v>22</v>
      </c>
      <c r="BD234" s="166" t="s">
        <v>527</v>
      </c>
      <c r="BE234" s="162" t="s">
        <v>534</v>
      </c>
      <c r="BG234" s="67" t="s">
        <v>192</v>
      </c>
      <c r="BH234" s="68">
        <v>4200</v>
      </c>
      <c r="BI234" s="90">
        <f>IF(6000*(1-BH238/BV232)&gt;BH234,BH234,6000*(1-BH238/BV232))</f>
        <v>-1285.7142857142865</v>
      </c>
      <c r="BJ234" s="91">
        <f>ABS(BH232)-BJ238</f>
        <v>-6.45606680625</v>
      </c>
      <c r="BK234" s="77">
        <f>IF(BQ232=0,0,+BJ234*100000/(BH235*BI234*(BH237-BH238)))</f>
        <v>0</v>
      </c>
      <c r="BL234" s="77">
        <f>+BK234*BI234/BH234</f>
        <v>0</v>
      </c>
      <c r="BM234" s="77">
        <f>+BL234+BU232</f>
        <v>14.874999999999998</v>
      </c>
      <c r="BN234" s="92">
        <f>2*BP232</f>
        <v>2.1250000000000002E-2</v>
      </c>
      <c r="BO234" s="92">
        <f>+BM234/BH236/BH237</f>
        <v>7.4374999999999997E-3</v>
      </c>
      <c r="BP234" s="79">
        <f>+BO234*BK234/BM234</f>
        <v>0</v>
      </c>
      <c r="BQ234" s="77">
        <f>6000*BH236/(6000+BH234)</f>
        <v>58.823529411764703</v>
      </c>
      <c r="BR234" s="79">
        <f>IF(6000*(1-BH238/BQ234)&gt;BH234,BH234,6000*(1-BH238/BQ234))</f>
        <v>4200</v>
      </c>
      <c r="BS234" s="92">
        <f>+BN234+BP234*BR234/BH234</f>
        <v>2.1250000000000002E-2</v>
      </c>
      <c r="BT234" s="92">
        <f>0.5*BS234</f>
        <v>1.0625000000000001E-2</v>
      </c>
      <c r="BU234" s="201" t="str">
        <f>IF(BN232&gt;BT234,"NO DUCTIL","DUCTIL")</f>
        <v>DUCTIL</v>
      </c>
      <c r="BV234" s="81"/>
    </row>
    <row r="235" spans="1:74" ht="15.75" thickBot="1" x14ac:dyDescent="0.3">
      <c r="A235" s="371" t="s">
        <v>743</v>
      </c>
      <c r="B235" s="371" t="s">
        <v>806</v>
      </c>
      <c r="C235" s="371" t="s">
        <v>389</v>
      </c>
      <c r="D235" s="369"/>
      <c r="E235" s="369"/>
      <c r="F235" s="369"/>
      <c r="G235" s="369"/>
      <c r="H235" s="369"/>
      <c r="I235" s="369"/>
      <c r="K235" s="39"/>
      <c r="L235" s="368" t="s">
        <v>803</v>
      </c>
      <c r="M235" s="41">
        <f>D231+D232-D234</f>
        <v>0.27</v>
      </c>
      <c r="N235" s="41">
        <f>E231+E232-E234</f>
        <v>4.3099999999999996</v>
      </c>
      <c r="O235" s="41">
        <f>F231+F232-F234</f>
        <v>6.1899999999999995</v>
      </c>
      <c r="P235" s="41">
        <f>G231+G232-G234</f>
        <v>-3.2600000000000002</v>
      </c>
      <c r="Q235" s="41">
        <f>H231+0.25*H232-H234</f>
        <v>0.1925</v>
      </c>
      <c r="R235" s="42">
        <f>I231+0.25*I232-I234</f>
        <v>0</v>
      </c>
      <c r="S235" s="17"/>
      <c r="T235" s="29"/>
      <c r="U235" s="29" t="s">
        <v>378</v>
      </c>
      <c r="V235" s="23">
        <f t="shared" si="272"/>
        <v>6.1899999999999995</v>
      </c>
      <c r="W235" s="23">
        <f t="shared" si="272"/>
        <v>-3.2600000000000002</v>
      </c>
      <c r="X235" s="23">
        <f t="shared" si="272"/>
        <v>0.1925</v>
      </c>
      <c r="Y235" s="29"/>
      <c r="Z235" s="31">
        <f>ABS(V235)/AC235/AD235</f>
        <v>2.7511111111111108</v>
      </c>
      <c r="AA235" s="23">
        <f>ABS(+W235/V235)</f>
        <v>0.5266558966074314</v>
      </c>
      <c r="AB235" s="23">
        <f>ABS(X235/V235)</f>
        <v>3.1098546042003235E-2</v>
      </c>
      <c r="AC235" s="36">
        <f t="shared" si="274"/>
        <v>1.5</v>
      </c>
      <c r="AD235" s="37">
        <f t="shared" si="274"/>
        <v>1.5</v>
      </c>
      <c r="AE235" s="22">
        <f t="shared" si="273"/>
        <v>0.44668820678513721</v>
      </c>
      <c r="AF235" s="22">
        <f t="shared" si="273"/>
        <v>1.4378029079159935</v>
      </c>
      <c r="AG235" s="22">
        <f>AF235*AE235</f>
        <v>0.6422496026474509</v>
      </c>
      <c r="AH235" s="38">
        <f>V235/AG235</f>
        <v>9.63799739927261</v>
      </c>
      <c r="AJ235" s="147" t="s">
        <v>501</v>
      </c>
      <c r="AK235" s="24">
        <f>(MAX(V231:V235)+ABS(MAX(X231:X235))/(AK232/1000))*1000</f>
        <v>22211.666666666664</v>
      </c>
      <c r="AL235" s="150" t="s">
        <v>505</v>
      </c>
      <c r="AM235" s="24">
        <f>+AR230*0.4/3</f>
        <v>466.66666666666669</v>
      </c>
      <c r="AN235" s="24"/>
      <c r="AO235" s="150" t="s">
        <v>509</v>
      </c>
      <c r="AP235" s="24">
        <f>((AN232/10/2-AK232/10/2)/2)*(MAX(+ABS(MAX(X231:X235)),ABS(MIN(X231:X235)))*100000/(AK232/10))</f>
        <v>45208.333333333328</v>
      </c>
      <c r="AQ235" s="150" t="s">
        <v>511</v>
      </c>
      <c r="AR235" s="24">
        <f>+AP235/(AL232*AP232*AP232/6/1000)</f>
        <v>941.84027777777771</v>
      </c>
      <c r="AS235" s="152" t="str">
        <f>IF(AR235&lt;=0.6*AR230*1.1,"OK","REDIS")</f>
        <v>OK</v>
      </c>
      <c r="AT235" s="24" t="s">
        <v>517</v>
      </c>
      <c r="AU235" s="174">
        <f>+AW232*(AP235/100000)/((AN232-AK232)/1000/4)/(AU232-1)</f>
        <v>2.712499999999999</v>
      </c>
      <c r="AV235" s="24"/>
      <c r="AW235" s="161"/>
      <c r="AX235" s="156" t="s">
        <v>522</v>
      </c>
      <c r="AY235" s="181">
        <f>IF(AY233=(1+3/8),+AV232/3,IF(AY233=(1+1/8),+AV232/6,IF(AY233=1,+AV232/8,IF(AY233=(7/8),+AV232/11,IF(AY233=0.75,+AV232/18,IF(AY233=(9/16),+AV232/45,IF(AY233=(7/16),+AV232/84,"NO HAY DATO")))))))</f>
        <v>7.333333333333333</v>
      </c>
      <c r="AZ235" s="167" t="s">
        <v>527</v>
      </c>
      <c r="BA235" s="386">
        <f>ROUNDUP(+AY234*2.54,0)</f>
        <v>28</v>
      </c>
      <c r="BB235" s="164" t="s">
        <v>523</v>
      </c>
      <c r="BC235" s="129">
        <f>+BC234*BC233*2.54/100</f>
        <v>7.6835000000000004</v>
      </c>
      <c r="BD235" s="173" t="s">
        <v>528</v>
      </c>
      <c r="BE235" s="385">
        <f>ROUNDUP(+BC233*2.54,0)</f>
        <v>35</v>
      </c>
      <c r="BG235" s="67" t="s">
        <v>193</v>
      </c>
      <c r="BH235" s="68">
        <v>0.9</v>
      </c>
      <c r="BI235" s="202" t="s">
        <v>197</v>
      </c>
      <c r="BJ235" s="93">
        <v>0.7</v>
      </c>
      <c r="BK235" s="98" t="s">
        <v>202</v>
      </c>
      <c r="BL235" s="99"/>
      <c r="BM235" s="203"/>
      <c r="BN235" s="100"/>
      <c r="BO235" s="101"/>
      <c r="BR235" s="98" t="s">
        <v>203</v>
      </c>
      <c r="BS235" s="99"/>
      <c r="BT235" s="203"/>
      <c r="BU235" s="100"/>
      <c r="BV235" s="101"/>
    </row>
    <row r="236" spans="1:74" ht="15" x14ac:dyDescent="0.25">
      <c r="A236" s="371" t="s">
        <v>743</v>
      </c>
      <c r="B236" s="371" t="s">
        <v>807</v>
      </c>
      <c r="C236" s="371" t="s">
        <v>389</v>
      </c>
      <c r="D236" s="369"/>
      <c r="E236" s="369"/>
      <c r="F236" s="369"/>
      <c r="G236" s="369"/>
      <c r="H236" s="369"/>
      <c r="I236" s="369"/>
      <c r="K236" s="25" t="s">
        <v>357</v>
      </c>
      <c r="L236" s="26" t="s">
        <v>358</v>
      </c>
      <c r="M236" s="27" t="s">
        <v>359</v>
      </c>
      <c r="N236" s="27" t="s">
        <v>360</v>
      </c>
      <c r="O236" s="27" t="s">
        <v>361</v>
      </c>
      <c r="P236" s="27" t="s">
        <v>362</v>
      </c>
      <c r="Q236" s="27" t="s">
        <v>363</v>
      </c>
      <c r="R236" s="28" t="s">
        <v>364</v>
      </c>
      <c r="S236" s="17"/>
      <c r="T236" s="29" t="s">
        <v>365</v>
      </c>
      <c r="U236" s="29" t="s">
        <v>358</v>
      </c>
      <c r="V236" s="30" t="s">
        <v>361</v>
      </c>
      <c r="W236" s="30" t="s">
        <v>362</v>
      </c>
      <c r="X236" s="30" t="s">
        <v>363</v>
      </c>
      <c r="Y236" s="29" t="s">
        <v>366</v>
      </c>
      <c r="Z236" s="31" t="s">
        <v>367</v>
      </c>
      <c r="AA236" s="23" t="s">
        <v>368</v>
      </c>
      <c r="AB236" s="23" t="s">
        <v>369</v>
      </c>
      <c r="AC236" s="22" t="s">
        <v>0</v>
      </c>
      <c r="AD236" s="22" t="s">
        <v>1</v>
      </c>
      <c r="AE236" s="22" t="s">
        <v>370</v>
      </c>
      <c r="AF236" s="22" t="s">
        <v>371</v>
      </c>
      <c r="AG236" s="22" t="s">
        <v>372</v>
      </c>
      <c r="AH236" s="32" t="s">
        <v>373</v>
      </c>
      <c r="AJ236" s="143" t="s">
        <v>365</v>
      </c>
      <c r="AK236" s="144" t="s">
        <v>498</v>
      </c>
      <c r="AL236" s="145"/>
      <c r="AM236" s="139"/>
      <c r="AN236" s="146" t="s">
        <v>499</v>
      </c>
      <c r="AO236" s="145"/>
      <c r="AP236" s="139"/>
      <c r="AQ236" s="147" t="s">
        <v>506</v>
      </c>
      <c r="AR236" s="48">
        <v>3500</v>
      </c>
      <c r="AS236" s="147" t="s">
        <v>405</v>
      </c>
      <c r="AT236" s="146" t="s">
        <v>512</v>
      </c>
      <c r="AU236" s="145"/>
      <c r="AV236" s="145"/>
      <c r="AW236" s="145"/>
      <c r="AX236" s="382" t="s">
        <v>532</v>
      </c>
      <c r="AY236" s="157" t="s">
        <v>515</v>
      </c>
      <c r="AZ236" s="169">
        <v>6.9</v>
      </c>
      <c r="BA236" s="171" t="str">
        <f>IF(MAX(AU240:AU241)&lt;=AZ236,"OK","REDIS")</f>
        <v>REDIS</v>
      </c>
      <c r="BB236" s="382" t="s">
        <v>536</v>
      </c>
      <c r="BC236" s="170" t="s">
        <v>515</v>
      </c>
      <c r="BD236" s="169">
        <v>8.36</v>
      </c>
      <c r="BE236" s="171" t="str">
        <f>IF(MAX(AU240:AU241)&lt;=BD236,"OK","REDIS")</f>
        <v>OK</v>
      </c>
      <c r="BG236" s="67" t="s">
        <v>194</v>
      </c>
      <c r="BH236" s="68">
        <v>100</v>
      </c>
      <c r="BI236" s="94" t="s">
        <v>169</v>
      </c>
      <c r="BJ236" s="96">
        <f>+BJ235*BP232</f>
        <v>7.4374999999999997E-3</v>
      </c>
      <c r="BK236" s="204" t="s">
        <v>380</v>
      </c>
      <c r="BL236" s="103">
        <f>1.3*1*(BH230-0.1-BK230)*BO230</f>
        <v>17.939999999999998</v>
      </c>
      <c r="BM236" s="104" t="s">
        <v>176</v>
      </c>
      <c r="BN236" s="74" t="s">
        <v>177</v>
      </c>
      <c r="BO236" s="105" t="s">
        <v>178</v>
      </c>
      <c r="BR236" s="204" t="s">
        <v>380</v>
      </c>
      <c r="BS236" s="103">
        <f>(+BH230*BH230-BK230*BK230)*1.3*BO230</f>
        <v>34.125</v>
      </c>
      <c r="BT236" s="104" t="s">
        <v>176</v>
      </c>
      <c r="BU236" s="74" t="s">
        <v>177</v>
      </c>
      <c r="BV236" s="105" t="s">
        <v>178</v>
      </c>
    </row>
    <row r="237" spans="1:74" ht="15" x14ac:dyDescent="0.25">
      <c r="A237" s="371" t="s">
        <v>744</v>
      </c>
      <c r="B237" s="371" t="s">
        <v>351</v>
      </c>
      <c r="C237" s="371" t="s">
        <v>352</v>
      </c>
      <c r="D237" s="378">
        <v>0.18</v>
      </c>
      <c r="E237" s="378">
        <v>0.03</v>
      </c>
      <c r="F237" s="378">
        <v>11.71</v>
      </c>
      <c r="G237" s="378">
        <v>-0.05</v>
      </c>
      <c r="H237" s="378">
        <v>0.16</v>
      </c>
      <c r="I237" s="378">
        <v>0</v>
      </c>
      <c r="K237" s="33" t="str">
        <f>+A237</f>
        <v>15</v>
      </c>
      <c r="L237" s="17" t="s">
        <v>374</v>
      </c>
      <c r="M237" s="34">
        <f t="shared" ref="M237:R237" si="275">D237+D238</f>
        <v>0.32999999999999996</v>
      </c>
      <c r="N237" s="34">
        <f t="shared" si="275"/>
        <v>0.03</v>
      </c>
      <c r="O237" s="34">
        <f t="shared" si="275"/>
        <v>17.73</v>
      </c>
      <c r="P237" s="34">
        <f t="shared" si="275"/>
        <v>-0.04</v>
      </c>
      <c r="Q237" s="34">
        <f t="shared" si="275"/>
        <v>0.30000000000000004</v>
      </c>
      <c r="R237" s="35">
        <f t="shared" si="275"/>
        <v>0</v>
      </c>
      <c r="S237" s="17"/>
      <c r="T237" s="29" t="str">
        <f>K237</f>
        <v>15</v>
      </c>
      <c r="U237" s="29" t="s">
        <v>374</v>
      </c>
      <c r="V237" s="23">
        <f t="shared" ref="V237:X241" si="276">O237</f>
        <v>17.73</v>
      </c>
      <c r="W237" s="23">
        <f t="shared" si="276"/>
        <v>-0.04</v>
      </c>
      <c r="X237" s="23">
        <f t="shared" si="276"/>
        <v>0.30000000000000004</v>
      </c>
      <c r="Y237" s="29">
        <v>12</v>
      </c>
      <c r="Z237" s="31">
        <f>ABS(V237)/AC237/AD237</f>
        <v>6.9257812499999991</v>
      </c>
      <c r="AA237" s="23">
        <f>ABS(+W237/V237)</f>
        <v>2.2560631697687537E-3</v>
      </c>
      <c r="AB237" s="23">
        <f>ABS(X237/V237)</f>
        <v>1.6920473773265655E-2</v>
      </c>
      <c r="AC237" s="36">
        <v>1.6</v>
      </c>
      <c r="AD237" s="37">
        <v>1.6</v>
      </c>
      <c r="AE237" s="22">
        <f t="shared" ref="AE237:AF241" si="277">AC237-2*AA237</f>
        <v>1.5954878736604625</v>
      </c>
      <c r="AF237" s="22">
        <f t="shared" si="277"/>
        <v>1.5661590524534688</v>
      </c>
      <c r="AG237" s="22">
        <f>AF237*AE237</f>
        <v>2.4987877764130695</v>
      </c>
      <c r="AH237" s="38">
        <f>V237/AG237</f>
        <v>7.0954405041355102</v>
      </c>
      <c r="AJ237" s="379" t="str">
        <f>+A237</f>
        <v>15</v>
      </c>
      <c r="AK237" s="147" t="s">
        <v>0</v>
      </c>
      <c r="AL237" s="147" t="s">
        <v>1</v>
      </c>
      <c r="AM237" s="147" t="s">
        <v>438</v>
      </c>
      <c r="AN237" s="147" t="s">
        <v>503</v>
      </c>
      <c r="AO237" s="147" t="s">
        <v>504</v>
      </c>
      <c r="AP237" s="147" t="s">
        <v>323</v>
      </c>
      <c r="AQ237" s="48"/>
      <c r="AR237" s="48"/>
      <c r="AS237" s="48"/>
      <c r="AT237" s="147" t="s">
        <v>0</v>
      </c>
      <c r="AU237" s="147" t="s">
        <v>1</v>
      </c>
      <c r="AV237" s="147" t="s">
        <v>513</v>
      </c>
      <c r="AW237" s="159" t="s">
        <v>520</v>
      </c>
      <c r="AX237" s="141" t="s">
        <v>530</v>
      </c>
      <c r="AY237" s="157" t="s">
        <v>178</v>
      </c>
      <c r="AZ237" s="44">
        <v>12</v>
      </c>
      <c r="BA237" s="172" t="str">
        <f>IF(AW240&lt;=AZ237,"OK","REDIS")</f>
        <v>OK</v>
      </c>
      <c r="BB237" s="384" t="s">
        <v>535</v>
      </c>
      <c r="BC237" s="120" t="s">
        <v>178</v>
      </c>
      <c r="BD237" s="44">
        <v>4.3</v>
      </c>
      <c r="BE237" s="172" t="str">
        <f>IF(AW240&lt;=BD237,"OK","REDIS")</f>
        <v>OK</v>
      </c>
      <c r="BG237" s="67" t="s">
        <v>195</v>
      </c>
      <c r="BH237" s="68">
        <f>+BK230*100-5</f>
        <v>20</v>
      </c>
      <c r="BI237" s="94" t="s">
        <v>373</v>
      </c>
      <c r="BJ237" s="96">
        <f>+BJ236*BH234/BH233</f>
        <v>0.14874999999999999</v>
      </c>
      <c r="BK237" s="106"/>
      <c r="BL237" s="48"/>
      <c r="BM237" s="102">
        <f>SQRT(BH233)*0.53*BH236*BH237/1000</f>
        <v>15.360859350960803</v>
      </c>
      <c r="BN237" s="73">
        <f>SQRT(BH233)*0.93*BH236*BH237/1000</f>
        <v>26.953960747912355</v>
      </c>
      <c r="BO237" s="205" t="str">
        <f>IF(BL236&lt;BN237,"OK","REDIS")</f>
        <v>OK</v>
      </c>
      <c r="BR237" s="106"/>
      <c r="BS237" s="48"/>
      <c r="BT237" s="102">
        <f>SQRT(BH233)*0.53*(+BK230*100*4+0.3*2+0.4*2)*BK230*100/1000</f>
        <v>19.469889227342819</v>
      </c>
      <c r="BU237" s="73">
        <f>+BT237*0.93/0.53</f>
        <v>34.164145247978908</v>
      </c>
      <c r="BV237" s="205" t="str">
        <f>IF(BS236&lt;BU237,"OK","REDIS")</f>
        <v>OK</v>
      </c>
    </row>
    <row r="238" spans="1:74" ht="15.75" thickBot="1" x14ac:dyDescent="0.3">
      <c r="A238" s="371" t="s">
        <v>744</v>
      </c>
      <c r="B238" s="371" t="s">
        <v>353</v>
      </c>
      <c r="C238" s="371" t="s">
        <v>352</v>
      </c>
      <c r="D238" s="378">
        <v>0.15</v>
      </c>
      <c r="E238" s="378">
        <v>0</v>
      </c>
      <c r="F238" s="378">
        <v>6.02</v>
      </c>
      <c r="G238" s="378">
        <v>0.01</v>
      </c>
      <c r="H238" s="378">
        <v>0.14000000000000001</v>
      </c>
      <c r="I238" s="378">
        <v>0</v>
      </c>
      <c r="K238" s="33"/>
      <c r="L238" t="s">
        <v>800</v>
      </c>
      <c r="M238" s="34">
        <f>D237+D238+D239</f>
        <v>-3.66</v>
      </c>
      <c r="N238" s="34">
        <f>E237+E238+E239</f>
        <v>0.09</v>
      </c>
      <c r="O238" s="34">
        <f>F237+F238+F239</f>
        <v>10.510000000000002</v>
      </c>
      <c r="P238" s="34">
        <f>G237+G238+G239</f>
        <v>-0.12</v>
      </c>
      <c r="Q238" s="34">
        <f>H237+0.25*H238+H239</f>
        <v>-3.4850000000000003</v>
      </c>
      <c r="R238" s="35">
        <f>I237+0.25*I238+I239</f>
        <v>0</v>
      </c>
      <c r="S238" s="17"/>
      <c r="T238" s="29"/>
      <c r="U238" s="29" t="s">
        <v>375</v>
      </c>
      <c r="V238" s="23">
        <f t="shared" si="276"/>
        <v>10.510000000000002</v>
      </c>
      <c r="W238" s="23">
        <f t="shared" si="276"/>
        <v>-0.12</v>
      </c>
      <c r="X238" s="23">
        <f t="shared" si="276"/>
        <v>-3.4850000000000003</v>
      </c>
      <c r="Y238" s="29">
        <f>1.33*Y237</f>
        <v>15.96</v>
      </c>
      <c r="Z238" s="31">
        <f>ABS(V238)/AC238/AD238</f>
        <v>4.10546875</v>
      </c>
      <c r="AA238" s="23">
        <f>ABS(+W238/V238)</f>
        <v>1.1417697431018076E-2</v>
      </c>
      <c r="AB238" s="23">
        <f>ABS(X238/V238)</f>
        <v>0.33158896289248335</v>
      </c>
      <c r="AC238" s="36">
        <f t="shared" ref="AC238:AD241" si="278">AC237</f>
        <v>1.6</v>
      </c>
      <c r="AD238" s="37">
        <f t="shared" si="278"/>
        <v>1.6</v>
      </c>
      <c r="AE238" s="22">
        <f t="shared" si="277"/>
        <v>1.577164605137964</v>
      </c>
      <c r="AF238" s="22">
        <f t="shared" si="277"/>
        <v>0.93682207421503338</v>
      </c>
      <c r="AG238" s="22">
        <f>AF238*AE238</f>
        <v>1.4775226167638815</v>
      </c>
      <c r="AH238" s="38">
        <f>V238/AG238</f>
        <v>7.1132582884039692</v>
      </c>
      <c r="AJ238" s="147" t="s">
        <v>539</v>
      </c>
      <c r="AK238" s="148">
        <v>300</v>
      </c>
      <c r="AL238" s="148">
        <v>500</v>
      </c>
      <c r="AM238" s="148">
        <v>28</v>
      </c>
      <c r="AN238" s="380">
        <v>500</v>
      </c>
      <c r="AO238" s="380">
        <v>700</v>
      </c>
      <c r="AP238" s="380">
        <v>24</v>
      </c>
      <c r="AQ238" s="48"/>
      <c r="AR238" s="48"/>
      <c r="AS238" s="48"/>
      <c r="AT238" s="381">
        <v>6</v>
      </c>
      <c r="AU238" s="381">
        <v>3</v>
      </c>
      <c r="AV238" s="380">
        <f>+AT238*2+(AU238-2)*2</f>
        <v>14</v>
      </c>
      <c r="AW238" s="159">
        <v>1.2</v>
      </c>
      <c r="AX238" s="155" t="s">
        <v>538</v>
      </c>
      <c r="AY238" s="180">
        <f>+AV238</f>
        <v>14</v>
      </c>
      <c r="BA238" s="154"/>
      <c r="BB238" s="177" t="s">
        <v>537</v>
      </c>
      <c r="BC238" s="179">
        <v>1.25</v>
      </c>
      <c r="BD238" s="166" t="s">
        <v>526</v>
      </c>
      <c r="BE238" s="154"/>
      <c r="BG238" s="71" t="s">
        <v>196</v>
      </c>
      <c r="BH238" s="72">
        <v>5</v>
      </c>
      <c r="BI238" s="95" t="s">
        <v>198</v>
      </c>
      <c r="BJ238" s="97">
        <f>+BH235*BH233*BH236*BH237*BH237*BJ237*(1-0.59*BJ237)/100000</f>
        <v>10.25856680625</v>
      </c>
      <c r="BK238" s="107"/>
      <c r="BL238" s="80"/>
      <c r="BM238" s="206"/>
      <c r="BN238" s="78"/>
      <c r="BO238" s="108"/>
      <c r="BR238" s="107"/>
      <c r="BS238" s="80"/>
      <c r="BT238" s="206"/>
      <c r="BU238" s="78"/>
      <c r="BV238" s="108"/>
    </row>
    <row r="239" spans="1:74" ht="15" x14ac:dyDescent="0.25">
      <c r="A239" s="371" t="s">
        <v>744</v>
      </c>
      <c r="B239" s="371" t="s">
        <v>354</v>
      </c>
      <c r="C239" s="371" t="s">
        <v>352</v>
      </c>
      <c r="D239" s="378">
        <v>-3.99</v>
      </c>
      <c r="E239" s="378">
        <v>0.06</v>
      </c>
      <c r="F239" s="378">
        <v>-7.22</v>
      </c>
      <c r="G239" s="378">
        <v>-0.08</v>
      </c>
      <c r="H239" s="378">
        <v>-3.68</v>
      </c>
      <c r="I239" s="378">
        <v>0</v>
      </c>
      <c r="K239" s="33"/>
      <c r="L239" t="s">
        <v>801</v>
      </c>
      <c r="M239" s="34">
        <f>D237+D238-D239</f>
        <v>4.32</v>
      </c>
      <c r="N239" s="34">
        <f>E237+E238-E239</f>
        <v>-0.03</v>
      </c>
      <c r="O239" s="34">
        <f>F237+F238-F239</f>
        <v>24.95</v>
      </c>
      <c r="P239" s="34">
        <f>G237+G238-G239</f>
        <v>0.04</v>
      </c>
      <c r="Q239" s="34">
        <f>H237+0.25*H238-H239</f>
        <v>3.875</v>
      </c>
      <c r="R239" s="35">
        <f>I237+0.25*I238-I239</f>
        <v>0</v>
      </c>
      <c r="S239" s="17"/>
      <c r="T239" s="29"/>
      <c r="U239" s="29" t="s">
        <v>376</v>
      </c>
      <c r="V239" s="23">
        <f t="shared" si="276"/>
        <v>24.95</v>
      </c>
      <c r="W239" s="23">
        <f t="shared" si="276"/>
        <v>0.04</v>
      </c>
      <c r="X239" s="23">
        <f t="shared" si="276"/>
        <v>3.875</v>
      </c>
      <c r="Y239" s="29"/>
      <c r="Z239" s="31">
        <f>ABS(V239)/AC239/AD239</f>
        <v>9.7460937499999982</v>
      </c>
      <c r="AA239" s="23">
        <f>ABS(+W239/V239)</f>
        <v>1.6032064128256513E-3</v>
      </c>
      <c r="AB239" s="23">
        <f>ABS(X239/V239)</f>
        <v>0.15531062124248499</v>
      </c>
      <c r="AC239" s="36">
        <f t="shared" si="278"/>
        <v>1.6</v>
      </c>
      <c r="AD239" s="37">
        <f t="shared" si="278"/>
        <v>1.6</v>
      </c>
      <c r="AE239" s="22">
        <f t="shared" si="277"/>
        <v>1.5967935871743488</v>
      </c>
      <c r="AF239" s="22">
        <f t="shared" si="277"/>
        <v>1.2893787575150302</v>
      </c>
      <c r="AG239" s="22">
        <f>AF239*AE239</f>
        <v>2.0588717314388298</v>
      </c>
      <c r="AH239" s="38">
        <f>V239/AG239</f>
        <v>12.118287710212936</v>
      </c>
      <c r="AJ239" s="146" t="s">
        <v>514</v>
      </c>
      <c r="AK239" s="145"/>
      <c r="AL239" s="145"/>
      <c r="AM239" s="145"/>
      <c r="AN239" s="139"/>
      <c r="AO239" s="146" t="s">
        <v>507</v>
      </c>
      <c r="AP239" s="145" t="s">
        <v>626</v>
      </c>
      <c r="AQ239" s="145">
        <f>0.6*AR236</f>
        <v>2100</v>
      </c>
      <c r="AR239" s="212" t="s">
        <v>627</v>
      </c>
      <c r="AS239" s="211">
        <f>+AR240+AR241</f>
        <v>3800.3472222222217</v>
      </c>
      <c r="AT239" s="48" t="s">
        <v>515</v>
      </c>
      <c r="AU239" s="48"/>
      <c r="AV239" s="48" t="s">
        <v>518</v>
      </c>
      <c r="AW239" s="160"/>
      <c r="AX239" s="155" t="s">
        <v>524</v>
      </c>
      <c r="AY239" s="182">
        <f>IF(BC238=(1+1/4),+(1+3/8),IF(BC238=1,(1+1/8),IF(BC238=(7/8),1,IF(BC238=(3/4),+(7/8),IF(BC238=(5/8),+(3/4),IF(BC238=(1/2),(9/16),IF(BC238=(3/8),+(7/16),"no valido")))))))</f>
        <v>1.375</v>
      </c>
      <c r="AZ239" s="165" t="s">
        <v>526</v>
      </c>
      <c r="BA239" s="172" t="s">
        <v>531</v>
      </c>
      <c r="BB239" s="178" t="s">
        <v>529</v>
      </c>
      <c r="BC239" s="158">
        <f>+AY240+3</f>
        <v>13.75</v>
      </c>
      <c r="BD239" s="166" t="s">
        <v>526</v>
      </c>
      <c r="BE239" s="172" t="s">
        <v>531</v>
      </c>
    </row>
    <row r="240" spans="1:74" ht="15.75" thickBot="1" x14ac:dyDescent="0.3">
      <c r="A240" s="371" t="s">
        <v>744</v>
      </c>
      <c r="B240" s="371" t="s">
        <v>355</v>
      </c>
      <c r="C240" s="371" t="s">
        <v>352</v>
      </c>
      <c r="D240" s="378">
        <v>0.25</v>
      </c>
      <c r="E240" s="378">
        <v>-4.7699999999999996</v>
      </c>
      <c r="F240" s="378">
        <v>4.49</v>
      </c>
      <c r="G240" s="378">
        <v>7.03</v>
      </c>
      <c r="H240" s="378">
        <v>0.21</v>
      </c>
      <c r="I240" s="378">
        <v>0</v>
      </c>
      <c r="K240" s="33"/>
      <c r="L240" t="s">
        <v>802</v>
      </c>
      <c r="M240" s="34">
        <f>D237+D238+D240</f>
        <v>0.57999999999999996</v>
      </c>
      <c r="N240" s="34">
        <f>E237+E238+E240</f>
        <v>-4.7399999999999993</v>
      </c>
      <c r="O240" s="34">
        <f>F237+F238+F240</f>
        <v>22.22</v>
      </c>
      <c r="P240" s="34">
        <f>G237+G238+G240</f>
        <v>6.99</v>
      </c>
      <c r="Q240" s="34">
        <f>H237+0.25*H238+H240</f>
        <v>0.40500000000000003</v>
      </c>
      <c r="R240" s="35">
        <f>I237+0.25*I238+I240</f>
        <v>0</v>
      </c>
      <c r="S240" s="17"/>
      <c r="T240" s="29"/>
      <c r="U240" s="29" t="s">
        <v>377</v>
      </c>
      <c r="V240" s="23">
        <f t="shared" si="276"/>
        <v>22.22</v>
      </c>
      <c r="W240" s="23">
        <f t="shared" si="276"/>
        <v>6.99</v>
      </c>
      <c r="X240" s="23">
        <f t="shared" si="276"/>
        <v>0.40500000000000003</v>
      </c>
      <c r="Y240" s="29"/>
      <c r="Z240" s="31">
        <f>ABS(V240)/AC240/AD240</f>
        <v>8.6796874999999982</v>
      </c>
      <c r="AA240" s="23">
        <f>ABS(+W240/V240)</f>
        <v>0.31458145814581462</v>
      </c>
      <c r="AB240" s="23">
        <f>ABS(X240/V240)</f>
        <v>1.8226822682268228E-2</v>
      </c>
      <c r="AC240" s="36">
        <f t="shared" si="278"/>
        <v>1.6</v>
      </c>
      <c r="AD240" s="37">
        <f t="shared" si="278"/>
        <v>1.6</v>
      </c>
      <c r="AE240" s="22">
        <f t="shared" si="277"/>
        <v>0.97083708370837085</v>
      </c>
      <c r="AF240" s="22">
        <f t="shared" si="277"/>
        <v>1.5635463546354635</v>
      </c>
      <c r="AG240" s="22">
        <f>AF240*AE240</f>
        <v>1.5179487831771477</v>
      </c>
      <c r="AH240" s="38">
        <f>V240/AG240</f>
        <v>14.638175046652336</v>
      </c>
      <c r="AJ240" s="147" t="s">
        <v>500</v>
      </c>
      <c r="AK240" s="24">
        <f>(MAX(V237:V241)+ABS(MAX(W237:W241))/(AL238/1000))*1000</f>
        <v>38930</v>
      </c>
      <c r="AL240" s="150" t="s">
        <v>502</v>
      </c>
      <c r="AM240" s="24">
        <f>+ABS(MAX(AK240:AK241))/(+AK238*2/10+AL238*2/10)/(AP238/10)</f>
        <v>101.38020833333334</v>
      </c>
      <c r="AN240" s="151" t="str">
        <f>IF(AM240&lt;=AM241,"OK","REDIS")</f>
        <v>OK</v>
      </c>
      <c r="AO240" s="150" t="s">
        <v>508</v>
      </c>
      <c r="AP240" s="24">
        <f>((AO238/10/2-AL238/10/2)/2)*((MAX(ABS(MAX(W237:W241)),ABS(MIN(W237:W241)))*100000))/(AL238/10)</f>
        <v>70700</v>
      </c>
      <c r="AQ240" s="150" t="s">
        <v>510</v>
      </c>
      <c r="AR240" s="24">
        <f>+AP240/(AK238*AP238*AP238/6/10/10/10)</f>
        <v>2454.8611111111109</v>
      </c>
      <c r="AS240" s="152" t="str">
        <f>IF(AR240&lt;=0.6*AR236*1.1,"OK","REDIS")</f>
        <v>REDIS</v>
      </c>
      <c r="AT240" s="24" t="s">
        <v>516</v>
      </c>
      <c r="AU240" s="174">
        <f>+AW238*(AP240/100000)/((AO238-AL238)/1000/4)/(AT238-1)</f>
        <v>3.3935999999999993</v>
      </c>
      <c r="AV240" s="24" t="s">
        <v>519</v>
      </c>
      <c r="AW240" s="175">
        <f>+AW238*(ABS(MAX(M237:M241))+ABS(MIN(M237:M241)+ABS(MAX(N237:N241))+ABS(MIN(N237:N241))))/AV238</f>
        <v>0.87428571428571422</v>
      </c>
      <c r="AX240" s="155" t="s">
        <v>525</v>
      </c>
      <c r="AY240" s="383">
        <f>IF(BC238=(1+1/4),+(11-1/4),IF(BC238=1,(9),IF(BC238=(7/8),(7-7/8),IF(BC238=(3/4),+(6-3/4),IF(BC238=(5/8),+(5-5/8),IF(BC238=(1/2),(4-1/2),IF(BC238=(3-3/8),+(7/16),"no valido")))))))</f>
        <v>10.75</v>
      </c>
      <c r="AZ240" s="166" t="s">
        <v>526</v>
      </c>
      <c r="BA240" s="168" t="s">
        <v>533</v>
      </c>
      <c r="BB240" s="153" t="s">
        <v>521</v>
      </c>
      <c r="BC240" s="44">
        <f>+AV238</f>
        <v>14</v>
      </c>
      <c r="BD240" s="166" t="s">
        <v>527</v>
      </c>
      <c r="BE240" s="162" t="s">
        <v>534</v>
      </c>
      <c r="BG240" s="9" t="s">
        <v>204</v>
      </c>
    </row>
    <row r="241" spans="1:74" ht="15.75" thickBot="1" x14ac:dyDescent="0.3">
      <c r="A241" s="371" t="s">
        <v>744</v>
      </c>
      <c r="B241" s="371" t="s">
        <v>806</v>
      </c>
      <c r="C241" s="371" t="s">
        <v>389</v>
      </c>
      <c r="D241" s="369"/>
      <c r="E241" s="369"/>
      <c r="F241" s="369"/>
      <c r="G241" s="369"/>
      <c r="H241" s="369"/>
      <c r="I241" s="369"/>
      <c r="K241" s="39"/>
      <c r="L241" s="368" t="s">
        <v>803</v>
      </c>
      <c r="M241" s="41">
        <f>D237+D238-D240</f>
        <v>7.999999999999996E-2</v>
      </c>
      <c r="N241" s="41">
        <f>E237+E238-E240</f>
        <v>4.8</v>
      </c>
      <c r="O241" s="41">
        <f>F237+F238-F240</f>
        <v>13.24</v>
      </c>
      <c r="P241" s="41">
        <f>G237+G238-G240</f>
        <v>-7.07</v>
      </c>
      <c r="Q241" s="41">
        <f>H237+0.25*H238-H240</f>
        <v>-1.4999999999999986E-2</v>
      </c>
      <c r="R241" s="42">
        <f>I237+0.25*I238-I240</f>
        <v>0</v>
      </c>
      <c r="S241" s="17"/>
      <c r="T241" s="29"/>
      <c r="U241" s="29" t="s">
        <v>378</v>
      </c>
      <c r="V241" s="23">
        <f t="shared" si="276"/>
        <v>13.24</v>
      </c>
      <c r="W241" s="23">
        <f t="shared" si="276"/>
        <v>-7.07</v>
      </c>
      <c r="X241" s="23">
        <f t="shared" si="276"/>
        <v>-1.4999999999999986E-2</v>
      </c>
      <c r="Y241" s="29"/>
      <c r="Z241" s="31">
        <f>ABS(V241)/AC241/AD241</f>
        <v>5.171875</v>
      </c>
      <c r="AA241" s="23">
        <f>ABS(+W241/V241)</f>
        <v>0.53398791540785495</v>
      </c>
      <c r="AB241" s="23">
        <f>ABS(X241/V241)</f>
        <v>1.132930513595165E-3</v>
      </c>
      <c r="AC241" s="36">
        <f t="shared" si="278"/>
        <v>1.6</v>
      </c>
      <c r="AD241" s="37">
        <f t="shared" si="278"/>
        <v>1.6</v>
      </c>
      <c r="AE241" s="22">
        <f t="shared" si="277"/>
        <v>0.53202416918429019</v>
      </c>
      <c r="AF241" s="22">
        <f t="shared" si="277"/>
        <v>1.5977341389728097</v>
      </c>
      <c r="AG241" s="22">
        <f>AF241*AE241</f>
        <v>0.85003317786438626</v>
      </c>
      <c r="AH241" s="38">
        <f>V241/AG241</f>
        <v>15.575862618990975</v>
      </c>
      <c r="AJ241" s="147" t="s">
        <v>501</v>
      </c>
      <c r="AK241" s="24">
        <f>(MAX(V237:V241)+ABS(MAX(X237:X241))/(AK238/1000))*1000</f>
        <v>37866.666666666664</v>
      </c>
      <c r="AL241" s="150" t="s">
        <v>505</v>
      </c>
      <c r="AM241" s="24">
        <f>+AR236*0.4/3</f>
        <v>466.66666666666669</v>
      </c>
      <c r="AN241" s="24"/>
      <c r="AO241" s="150" t="s">
        <v>509</v>
      </c>
      <c r="AP241" s="24">
        <f>((AN238/10/2-AK238/10/2)/2)*(MAX(+ABS(MAX(X237:X241)),ABS(MIN(X237:X241)))*100000/(AK238/10))</f>
        <v>64583.333333333328</v>
      </c>
      <c r="AQ241" s="150" t="s">
        <v>511</v>
      </c>
      <c r="AR241" s="24">
        <f>+AP241/(AL238*AP238*AP238/6/1000)</f>
        <v>1345.4861111111111</v>
      </c>
      <c r="AS241" s="152" t="str">
        <f>IF(AR241&lt;=0.6*AR236*1.1,"OK","REDIS")</f>
        <v>OK</v>
      </c>
      <c r="AT241" s="24" t="s">
        <v>517</v>
      </c>
      <c r="AU241" s="174">
        <f>+AW238*(AP241/100000)/((AN238-AK238)/1000/4)/(AU238-1)</f>
        <v>7.7499999999999991</v>
      </c>
      <c r="AV241" s="24"/>
      <c r="AW241" s="161"/>
      <c r="AX241" s="156" t="s">
        <v>522</v>
      </c>
      <c r="AY241" s="181">
        <f>IF(AY239=(1+3/8),+AV238/3,IF(AY239=(1+1/8),+AV238/6,IF(AY239=1,+AV238/8,IF(AY239=(7/8),+AV238/11,IF(AY239=0.75,+AV238/18,IF(AY239=(9/16),+AV238/45,IF(AY239=(7/16),+AV238/84,"NO HAY DATO")))))))</f>
        <v>4.666666666666667</v>
      </c>
      <c r="AZ241" s="167" t="s">
        <v>527</v>
      </c>
      <c r="BA241" s="386">
        <f>ROUNDUP(+AY240*2.54,0)</f>
        <v>28</v>
      </c>
      <c r="BB241" s="164" t="s">
        <v>523</v>
      </c>
      <c r="BC241" s="129">
        <f>+BC240*BC239*2.54/100</f>
        <v>4.8895</v>
      </c>
      <c r="BD241" s="173" t="s">
        <v>528</v>
      </c>
      <c r="BE241" s="385">
        <f>ROUNDUP(+BC239*2.54,0)</f>
        <v>35</v>
      </c>
      <c r="BG241" s="109" t="s">
        <v>199</v>
      </c>
      <c r="BH241" s="142">
        <v>1.6</v>
      </c>
      <c r="BJ241" s="109" t="s">
        <v>385</v>
      </c>
      <c r="BK241" s="142">
        <v>0.3</v>
      </c>
      <c r="BM241" s="110" t="s">
        <v>200</v>
      </c>
      <c r="BN241" s="110"/>
      <c r="BO241" s="110">
        <v>12</v>
      </c>
      <c r="BP241" s="110" t="s">
        <v>386</v>
      </c>
      <c r="BQ241" t="s">
        <v>201</v>
      </c>
    </row>
    <row r="242" spans="1:74" ht="15" x14ac:dyDescent="0.25">
      <c r="A242" s="371" t="s">
        <v>744</v>
      </c>
      <c r="B242" s="371" t="s">
        <v>807</v>
      </c>
      <c r="C242" s="371" t="s">
        <v>389</v>
      </c>
      <c r="D242" s="369"/>
      <c r="E242" s="369"/>
      <c r="F242" s="369"/>
      <c r="G242" s="369"/>
      <c r="H242" s="369"/>
      <c r="I242" s="369"/>
      <c r="K242" s="25" t="s">
        <v>357</v>
      </c>
      <c r="L242" s="26" t="s">
        <v>358</v>
      </c>
      <c r="M242" s="27" t="s">
        <v>359</v>
      </c>
      <c r="N242" s="27" t="s">
        <v>360</v>
      </c>
      <c r="O242" s="27" t="s">
        <v>361</v>
      </c>
      <c r="P242" s="27" t="s">
        <v>362</v>
      </c>
      <c r="Q242" s="27" t="s">
        <v>363</v>
      </c>
      <c r="R242" s="28" t="s">
        <v>364</v>
      </c>
      <c r="S242" s="17"/>
      <c r="T242" s="29" t="s">
        <v>365</v>
      </c>
      <c r="U242" s="29" t="s">
        <v>358</v>
      </c>
      <c r="V242" s="30" t="s">
        <v>361</v>
      </c>
      <c r="W242" s="30" t="s">
        <v>362</v>
      </c>
      <c r="X242" s="30" t="s">
        <v>363</v>
      </c>
      <c r="Y242" s="29" t="s">
        <v>366</v>
      </c>
      <c r="Z242" s="31" t="s">
        <v>367</v>
      </c>
      <c r="AA242" s="23" t="s">
        <v>368</v>
      </c>
      <c r="AB242" s="23" t="s">
        <v>369</v>
      </c>
      <c r="AC242" s="22" t="s">
        <v>0</v>
      </c>
      <c r="AD242" s="22" t="s">
        <v>1</v>
      </c>
      <c r="AE242" s="22" t="s">
        <v>370</v>
      </c>
      <c r="AF242" s="22" t="s">
        <v>371</v>
      </c>
      <c r="AG242" s="22" t="s">
        <v>372</v>
      </c>
      <c r="AH242" s="32" t="s">
        <v>373</v>
      </c>
      <c r="AJ242" s="143" t="s">
        <v>365</v>
      </c>
      <c r="AK242" s="144" t="s">
        <v>498</v>
      </c>
      <c r="AL242" s="145"/>
      <c r="AM242" s="139"/>
      <c r="AN242" s="146" t="s">
        <v>499</v>
      </c>
      <c r="AO242" s="145"/>
      <c r="AP242" s="139"/>
      <c r="AQ242" s="147" t="s">
        <v>506</v>
      </c>
      <c r="AR242" s="48">
        <v>3500</v>
      </c>
      <c r="AS242" s="147" t="s">
        <v>405</v>
      </c>
      <c r="AT242" s="146" t="s">
        <v>512</v>
      </c>
      <c r="AU242" s="145"/>
      <c r="AV242" s="145"/>
      <c r="AW242" s="145"/>
      <c r="AX242" s="382" t="s">
        <v>532</v>
      </c>
      <c r="AY242" s="157" t="s">
        <v>515</v>
      </c>
      <c r="AZ242" s="169">
        <v>6.9</v>
      </c>
      <c r="BA242" s="171" t="str">
        <f>IF(MAX(AU246:AU247)&lt;=AZ242,"OK","REDIS")</f>
        <v>OK</v>
      </c>
      <c r="BB242" s="382" t="s">
        <v>536</v>
      </c>
      <c r="BC242" s="170" t="s">
        <v>515</v>
      </c>
      <c r="BD242" s="169">
        <v>8.36</v>
      </c>
      <c r="BE242" s="171" t="str">
        <f>IF(MAX(AU246:AU247)&lt;=BD242,"OK","REDIS")</f>
        <v>OK</v>
      </c>
      <c r="BG242" s="122" t="s">
        <v>164</v>
      </c>
      <c r="BH242" s="193" t="e">
        <f>+#REF!</f>
        <v>#REF!</v>
      </c>
      <c r="BI242" s="196" t="s">
        <v>165</v>
      </c>
      <c r="BJ242" s="197" t="s">
        <v>166</v>
      </c>
      <c r="BK242" s="74" t="s">
        <v>2</v>
      </c>
      <c r="BL242" s="74" t="s">
        <v>167</v>
      </c>
      <c r="BM242" s="75" t="s">
        <v>168</v>
      </c>
      <c r="BN242" s="74" t="s">
        <v>169</v>
      </c>
      <c r="BO242" s="74" t="s">
        <v>170</v>
      </c>
      <c r="BP242" s="74" t="s">
        <v>171</v>
      </c>
      <c r="BQ242" s="75" t="s">
        <v>172</v>
      </c>
      <c r="BR242" s="74" t="s">
        <v>173</v>
      </c>
      <c r="BS242" s="74" t="s">
        <v>174</v>
      </c>
      <c r="BT242" s="74" t="s">
        <v>165</v>
      </c>
      <c r="BU242" s="74" t="s">
        <v>175</v>
      </c>
      <c r="BV242" s="76" t="s">
        <v>407</v>
      </c>
    </row>
    <row r="243" spans="1:74" ht="15.75" thickBot="1" x14ac:dyDescent="0.3">
      <c r="A243" s="371" t="s">
        <v>745</v>
      </c>
      <c r="B243" s="371" t="s">
        <v>351</v>
      </c>
      <c r="C243" s="371" t="s">
        <v>352</v>
      </c>
      <c r="D243" s="378">
        <v>0.2</v>
      </c>
      <c r="E243" s="378">
        <v>0.15</v>
      </c>
      <c r="F243" s="378">
        <v>16.27</v>
      </c>
      <c r="G243" s="378">
        <v>-0.18</v>
      </c>
      <c r="H243" s="378">
        <v>0.22</v>
      </c>
      <c r="I243" s="378">
        <v>0</v>
      </c>
      <c r="K243" s="33" t="str">
        <f>+A243</f>
        <v>16</v>
      </c>
      <c r="L243" s="17" t="s">
        <v>374</v>
      </c>
      <c r="M243" s="34">
        <f t="shared" ref="M243:R243" si="279">D243+D244</f>
        <v>0.28000000000000003</v>
      </c>
      <c r="N243" s="34">
        <f t="shared" si="279"/>
        <v>0.27</v>
      </c>
      <c r="O243" s="34">
        <f t="shared" si="279"/>
        <v>23.98</v>
      </c>
      <c r="P243" s="34">
        <f t="shared" si="279"/>
        <v>-0.31</v>
      </c>
      <c r="Q243" s="34">
        <f t="shared" si="279"/>
        <v>0.3</v>
      </c>
      <c r="R243" s="35">
        <f t="shared" si="279"/>
        <v>0</v>
      </c>
      <c r="S243" s="17"/>
      <c r="T243" s="29" t="str">
        <f>K243</f>
        <v>16</v>
      </c>
      <c r="U243" s="29" t="s">
        <v>374</v>
      </c>
      <c r="V243" s="23">
        <f t="shared" ref="V243:X247" si="280">O243</f>
        <v>23.98</v>
      </c>
      <c r="W243" s="23">
        <f t="shared" si="280"/>
        <v>-0.31</v>
      </c>
      <c r="X243" s="23">
        <f t="shared" si="280"/>
        <v>0.3</v>
      </c>
      <c r="Y243" s="29">
        <v>12</v>
      </c>
      <c r="Z243" s="31">
        <f>ABS(V243)/AC243/AD243</f>
        <v>9.3671874999999982</v>
      </c>
      <c r="AA243" s="23">
        <f>ABS(+W243/V243)</f>
        <v>1.292743953294412E-2</v>
      </c>
      <c r="AB243" s="23">
        <f>ABS(X243/V243)</f>
        <v>1.251042535446205E-2</v>
      </c>
      <c r="AC243" s="36">
        <v>1.6</v>
      </c>
      <c r="AD243" s="37">
        <v>1.6</v>
      </c>
      <c r="AE243" s="22">
        <f t="shared" ref="AE243:AF247" si="281">AC243-2*AA243</f>
        <v>1.5741451209341117</v>
      </c>
      <c r="AF243" s="22">
        <f t="shared" si="281"/>
        <v>1.5749791492910761</v>
      </c>
      <c r="AG243" s="22">
        <f>AF243*AE243</f>
        <v>2.4792457434295052</v>
      </c>
      <c r="AH243" s="38">
        <f>V243/AG243</f>
        <v>9.6722965295198247</v>
      </c>
      <c r="AJ243" s="379" t="str">
        <f>+A243</f>
        <v>16</v>
      </c>
      <c r="AK243" s="147" t="s">
        <v>0</v>
      </c>
      <c r="AL243" s="147" t="s">
        <v>1</v>
      </c>
      <c r="AM243" s="147" t="s">
        <v>438</v>
      </c>
      <c r="AN243" s="147" t="s">
        <v>503</v>
      </c>
      <c r="AO243" s="147" t="s">
        <v>504</v>
      </c>
      <c r="AP243" s="147" t="s">
        <v>323</v>
      </c>
      <c r="AQ243" s="48"/>
      <c r="AR243" s="48"/>
      <c r="AS243" s="48"/>
      <c r="AT243" s="147" t="s">
        <v>0</v>
      </c>
      <c r="AU243" s="147" t="s">
        <v>1</v>
      </c>
      <c r="AV243" s="147" t="s">
        <v>513</v>
      </c>
      <c r="AW243" s="159" t="s">
        <v>520</v>
      </c>
      <c r="AX243" s="141" t="s">
        <v>530</v>
      </c>
      <c r="AY243" s="157" t="s">
        <v>178</v>
      </c>
      <c r="AZ243" s="44">
        <v>12</v>
      </c>
      <c r="BA243" s="172" t="str">
        <f>IF(AW246&lt;=AZ243,"OK","REDIS")</f>
        <v>OK</v>
      </c>
      <c r="BB243" s="384" t="s">
        <v>535</v>
      </c>
      <c r="BC243" s="120" t="s">
        <v>178</v>
      </c>
      <c r="BD243" s="44">
        <v>4.3</v>
      </c>
      <c r="BE243" s="172" t="str">
        <f>IF(AW246&lt;=BD243,"OK","REDIS")</f>
        <v>OK</v>
      </c>
      <c r="BG243" s="123" t="s">
        <v>390</v>
      </c>
      <c r="BH243" s="43">
        <f>1.3*((BH241-0.2)/2)*1*((BH241)/4)*BO241</f>
        <v>4.3680000000000012</v>
      </c>
      <c r="BI243" s="198">
        <f>IF(BQ243=0,BT243,BM245)</f>
        <v>8.3333333333333339</v>
      </c>
      <c r="BJ243" s="199">
        <f>IF(BQ243=0,0,BK245)</f>
        <v>0</v>
      </c>
      <c r="BK243" s="82">
        <f>ABS(BH243)*100000/(BH246*BH247*BH248*BH248*BH244)</f>
        <v>3.697777777777779E-2</v>
      </c>
      <c r="BL243" s="82">
        <f>1-2.36*BK243</f>
        <v>0.91273244444444446</v>
      </c>
      <c r="BM243" s="200" t="str">
        <f>IF(BL243&gt;=0,"OK","OTRA SECCION")</f>
        <v>OK</v>
      </c>
      <c r="BN243" s="83">
        <f>+(BH244/BH245)*((1-SQRT(BL243))/1.18)</f>
        <v>1.8910882219129715E-3</v>
      </c>
      <c r="BO243" s="84">
        <f>IF(BH244&gt;280,(IF((0.85-(0.08*(BH244-280)/70))&gt;=0.65,0.65,(0.85-(0.05*(BH244-280)))/70)),0.85)</f>
        <v>0.85</v>
      </c>
      <c r="BP243" s="85">
        <f>0.5*((0.85*BH244*BO243*6000)/(BH245*(6000+BH245)))</f>
        <v>1.0625000000000001E-2</v>
      </c>
      <c r="BQ243" s="200">
        <f>IF(BN243&gt;BP243,1,0)</f>
        <v>0</v>
      </c>
      <c r="BR243" s="86">
        <f>14/BH245*BH247*BH248</f>
        <v>8.3333333333333339</v>
      </c>
      <c r="BS243" s="82">
        <f>+BN243*BH247*BH248</f>
        <v>4.7277205547824286</v>
      </c>
      <c r="BT243" s="82">
        <f>IF(BS243&gt;BR243,BS243,BR243)</f>
        <v>8.3333333333333339</v>
      </c>
      <c r="BU243" s="82">
        <f>+BJ247*BH247*BH248</f>
        <v>18.593749999999996</v>
      </c>
      <c r="BV243" s="87">
        <f>+BU243*BH245/(0.85*BH244*BH247*BO243)</f>
        <v>5.1470588235294112</v>
      </c>
    </row>
    <row r="244" spans="1:74" ht="15" x14ac:dyDescent="0.25">
      <c r="A244" s="371" t="s">
        <v>745</v>
      </c>
      <c r="B244" s="371" t="s">
        <v>353</v>
      </c>
      <c r="C244" s="371" t="s">
        <v>352</v>
      </c>
      <c r="D244" s="378">
        <v>0.08</v>
      </c>
      <c r="E244" s="378">
        <v>0.12</v>
      </c>
      <c r="F244" s="378">
        <v>7.71</v>
      </c>
      <c r="G244" s="378">
        <v>-0.13</v>
      </c>
      <c r="H244" s="378">
        <v>0.08</v>
      </c>
      <c r="I244" s="378">
        <v>0</v>
      </c>
      <c r="K244" s="33"/>
      <c r="L244" t="s">
        <v>800</v>
      </c>
      <c r="M244" s="34">
        <f>D243+D244+D245</f>
        <v>-3.05</v>
      </c>
      <c r="N244" s="34">
        <f>E243+E244+E245</f>
        <v>0.19</v>
      </c>
      <c r="O244" s="34">
        <f>F243+F244+F245</f>
        <v>30.02</v>
      </c>
      <c r="P244" s="34">
        <f>G243+G244+G245</f>
        <v>-0.37</v>
      </c>
      <c r="Q244" s="34">
        <f>H243+0.25*H244+H245</f>
        <v>-2.9800000000000004</v>
      </c>
      <c r="R244" s="35">
        <f>I243+0.25*I244+I245</f>
        <v>0</v>
      </c>
      <c r="S244" s="17"/>
      <c r="T244" s="29"/>
      <c r="U244" s="29" t="s">
        <v>375</v>
      </c>
      <c r="V244" s="23">
        <f t="shared" si="280"/>
        <v>30.02</v>
      </c>
      <c r="W244" s="23">
        <f t="shared" si="280"/>
        <v>-0.37</v>
      </c>
      <c r="X244" s="23">
        <f t="shared" si="280"/>
        <v>-2.9800000000000004</v>
      </c>
      <c r="Y244" s="29">
        <f>1.33*Y243</f>
        <v>15.96</v>
      </c>
      <c r="Z244" s="31">
        <f>ABS(V244)/AC244/AD244</f>
        <v>11.726562499999998</v>
      </c>
      <c r="AA244" s="23">
        <f>ABS(+W244/V244)</f>
        <v>1.2325116588940706E-2</v>
      </c>
      <c r="AB244" s="23">
        <f>ABS(X244/V244)</f>
        <v>9.926715522984679E-2</v>
      </c>
      <c r="AC244" s="36">
        <f t="shared" ref="AC244:AD247" si="282">AC243</f>
        <v>1.6</v>
      </c>
      <c r="AD244" s="37">
        <f t="shared" si="282"/>
        <v>1.6</v>
      </c>
      <c r="AE244" s="22">
        <f t="shared" si="281"/>
        <v>1.5753497668221186</v>
      </c>
      <c r="AF244" s="22">
        <f t="shared" si="281"/>
        <v>1.4014656895403066</v>
      </c>
      <c r="AG244" s="22">
        <f>AF244*AE244</f>
        <v>2.2077986472265216</v>
      </c>
      <c r="AH244" s="38">
        <f>V244/AG244</f>
        <v>13.597254458739565</v>
      </c>
      <c r="AJ244" s="147" t="s">
        <v>539</v>
      </c>
      <c r="AK244" s="148">
        <v>300</v>
      </c>
      <c r="AL244" s="148">
        <v>500</v>
      </c>
      <c r="AM244" s="148">
        <v>28</v>
      </c>
      <c r="AN244" s="380">
        <v>500</v>
      </c>
      <c r="AO244" s="380">
        <v>700</v>
      </c>
      <c r="AP244" s="380">
        <v>24</v>
      </c>
      <c r="AQ244" s="48"/>
      <c r="AR244" s="48"/>
      <c r="AS244" s="48"/>
      <c r="AT244" s="381">
        <v>6</v>
      </c>
      <c r="AU244" s="381">
        <v>4</v>
      </c>
      <c r="AV244" s="380">
        <f>+AT244*2+(AU244-2)*2</f>
        <v>16</v>
      </c>
      <c r="AW244" s="159">
        <v>1.2</v>
      </c>
      <c r="AX244" s="155" t="s">
        <v>538</v>
      </c>
      <c r="AY244" s="180">
        <f>+AV244</f>
        <v>16</v>
      </c>
      <c r="BA244" s="154"/>
      <c r="BB244" s="177" t="s">
        <v>537</v>
      </c>
      <c r="BC244" s="179">
        <v>1.25</v>
      </c>
      <c r="BD244" s="166" t="s">
        <v>526</v>
      </c>
      <c r="BE244" s="154"/>
      <c r="BG244" s="65" t="s">
        <v>179</v>
      </c>
      <c r="BH244" s="66">
        <v>210</v>
      </c>
      <c r="BI244" s="88" t="s">
        <v>180</v>
      </c>
      <c r="BJ244" s="74" t="s">
        <v>181</v>
      </c>
      <c r="BK244" s="74" t="s">
        <v>182</v>
      </c>
      <c r="BL244" s="74" t="s">
        <v>183</v>
      </c>
      <c r="BM244" s="74" t="s">
        <v>165</v>
      </c>
      <c r="BN244" s="74" t="s">
        <v>184</v>
      </c>
      <c r="BO244" s="74" t="s">
        <v>185</v>
      </c>
      <c r="BP244" s="74" t="s">
        <v>186</v>
      </c>
      <c r="BQ244" s="74" t="s">
        <v>187</v>
      </c>
      <c r="BR244" s="74" t="s">
        <v>188</v>
      </c>
      <c r="BS244" s="74" t="s">
        <v>189</v>
      </c>
      <c r="BT244" s="74" t="s">
        <v>190</v>
      </c>
      <c r="BU244" s="75" t="s">
        <v>191</v>
      </c>
      <c r="BV244" s="89"/>
    </row>
    <row r="245" spans="1:74" ht="15.75" thickBot="1" x14ac:dyDescent="0.3">
      <c r="A245" s="371" t="s">
        <v>745</v>
      </c>
      <c r="B245" s="371" t="s">
        <v>354</v>
      </c>
      <c r="C245" s="371" t="s">
        <v>352</v>
      </c>
      <c r="D245" s="378">
        <v>-3.33</v>
      </c>
      <c r="E245" s="378">
        <v>-0.08</v>
      </c>
      <c r="F245" s="378">
        <v>6.04</v>
      </c>
      <c r="G245" s="378">
        <v>-0.06</v>
      </c>
      <c r="H245" s="378">
        <v>-3.22</v>
      </c>
      <c r="I245" s="378">
        <v>0</v>
      </c>
      <c r="K245" s="33"/>
      <c r="L245" t="s">
        <v>801</v>
      </c>
      <c r="M245" s="34">
        <f>D243+D244-D245</f>
        <v>3.6100000000000003</v>
      </c>
      <c r="N245" s="34">
        <f>E243+E244-E245</f>
        <v>0.35000000000000003</v>
      </c>
      <c r="O245" s="34">
        <f>F243+F244-F245</f>
        <v>17.940000000000001</v>
      </c>
      <c r="P245" s="34">
        <f>G243+G244-G245</f>
        <v>-0.25</v>
      </c>
      <c r="Q245" s="34">
        <f>H243+0.25*H244-H245</f>
        <v>3.46</v>
      </c>
      <c r="R245" s="35">
        <f>I243+0.25*I244-I245</f>
        <v>0</v>
      </c>
      <c r="S245" s="17"/>
      <c r="T245" s="29"/>
      <c r="U245" s="29" t="s">
        <v>376</v>
      </c>
      <c r="V245" s="23">
        <f t="shared" si="280"/>
        <v>17.940000000000001</v>
      </c>
      <c r="W245" s="23">
        <f t="shared" si="280"/>
        <v>-0.25</v>
      </c>
      <c r="X245" s="23">
        <f t="shared" si="280"/>
        <v>3.46</v>
      </c>
      <c r="Y245" s="29"/>
      <c r="Z245" s="31">
        <f>ABS(V245)/AC245/AD245</f>
        <v>7.0078125</v>
      </c>
      <c r="AA245" s="23">
        <f>ABS(+W245/V245)</f>
        <v>1.3935340022296542E-2</v>
      </c>
      <c r="AB245" s="23">
        <f>ABS(X245/V245)</f>
        <v>0.19286510590858416</v>
      </c>
      <c r="AC245" s="36">
        <f t="shared" si="282"/>
        <v>1.6</v>
      </c>
      <c r="AD245" s="37">
        <f t="shared" si="282"/>
        <v>1.6</v>
      </c>
      <c r="AE245" s="22">
        <f t="shared" si="281"/>
        <v>1.5721293199554069</v>
      </c>
      <c r="AF245" s="22">
        <f t="shared" si="281"/>
        <v>1.2142697881828317</v>
      </c>
      <c r="AG245" s="22">
        <f>AF245*AE245</f>
        <v>1.9089891363382712</v>
      </c>
      <c r="AH245" s="38">
        <f>V245/AG245</f>
        <v>9.3976438411858254</v>
      </c>
      <c r="AJ245" s="146" t="s">
        <v>514</v>
      </c>
      <c r="AK245" s="145"/>
      <c r="AL245" s="145"/>
      <c r="AM245" s="145"/>
      <c r="AN245" s="139"/>
      <c r="AO245" s="146" t="s">
        <v>507</v>
      </c>
      <c r="AP245" s="145" t="s">
        <v>626</v>
      </c>
      <c r="AQ245" s="145">
        <f>0.6*AR242</f>
        <v>2100</v>
      </c>
      <c r="AR245" s="212" t="s">
        <v>627</v>
      </c>
      <c r="AS245" s="211">
        <f>+AR246+AR247</f>
        <v>3302.083333333333</v>
      </c>
      <c r="AT245" s="48" t="s">
        <v>515</v>
      </c>
      <c r="AU245" s="48"/>
      <c r="AV245" s="48" t="s">
        <v>518</v>
      </c>
      <c r="AW245" s="160"/>
      <c r="AX245" s="155" t="s">
        <v>524</v>
      </c>
      <c r="AY245" s="182">
        <f>IF(BC244=(1+1/4),+(1+3/8),IF(BC244=1,(1+1/8),IF(BC244=(7/8),1,IF(BC244=(3/4),+(7/8),IF(BC244=(5/8),+(3/4),IF(BC244=(1/2),(9/16),IF(BC244=(3/8),+(7/16),"no valido")))))))</f>
        <v>1.375</v>
      </c>
      <c r="AZ245" s="165" t="s">
        <v>526</v>
      </c>
      <c r="BA245" s="172" t="s">
        <v>531</v>
      </c>
      <c r="BB245" s="178" t="s">
        <v>529</v>
      </c>
      <c r="BC245" s="158">
        <f>+AY246+3</f>
        <v>13.75</v>
      </c>
      <c r="BD245" s="166" t="s">
        <v>526</v>
      </c>
      <c r="BE245" s="172" t="s">
        <v>531</v>
      </c>
      <c r="BG245" s="67" t="s">
        <v>192</v>
      </c>
      <c r="BH245" s="68">
        <v>4200</v>
      </c>
      <c r="BI245" s="90">
        <f>IF(6000*(1-BH249/BV243)&gt;BH245,BH245,6000*(1-BH249/BV243))</f>
        <v>171.42857142857082</v>
      </c>
      <c r="BJ245" s="91">
        <f>ABS(BH243)-BJ249</f>
        <v>-11.661010634765624</v>
      </c>
      <c r="BK245" s="77">
        <f>IF(BQ243=0,0,+BJ245*100000/(BH246*BI245*(BH248-BH249)))</f>
        <v>0</v>
      </c>
      <c r="BL245" s="77">
        <f>+BK245*BI245/BH245</f>
        <v>0</v>
      </c>
      <c r="BM245" s="77">
        <f>+BL245+BU243</f>
        <v>18.593749999999996</v>
      </c>
      <c r="BN245" s="92">
        <f>2*BP243</f>
        <v>2.1250000000000002E-2</v>
      </c>
      <c r="BO245" s="92">
        <f>+BM245/BH247/BH248</f>
        <v>7.4374999999999988E-3</v>
      </c>
      <c r="BP245" s="79">
        <f>+BO245*BK245/BM245</f>
        <v>0</v>
      </c>
      <c r="BQ245" s="77">
        <f>6000*BH247/(6000+BH245)</f>
        <v>58.823529411764703</v>
      </c>
      <c r="BR245" s="79">
        <f>IF(6000*(1-BH249/BQ245)&gt;BH245,BH245,6000*(1-BH249/BQ245))</f>
        <v>4200</v>
      </c>
      <c r="BS245" s="92">
        <f>+BN245+BP245*BR245/BH245</f>
        <v>2.1250000000000002E-2</v>
      </c>
      <c r="BT245" s="92">
        <f>0.5*BS245</f>
        <v>1.0625000000000001E-2</v>
      </c>
      <c r="BU245" s="201" t="str">
        <f>IF(BN243&gt;BT245,"NO DUCTIL","DUCTIL")</f>
        <v>DUCTIL</v>
      </c>
      <c r="BV245" s="81"/>
    </row>
    <row r="246" spans="1:74" ht="15.75" thickBot="1" x14ac:dyDescent="0.3">
      <c r="A246" s="371" t="s">
        <v>745</v>
      </c>
      <c r="B246" s="371" t="s">
        <v>355</v>
      </c>
      <c r="C246" s="371" t="s">
        <v>352</v>
      </c>
      <c r="D246" s="378">
        <v>0.01</v>
      </c>
      <c r="E246" s="378">
        <v>-3.61</v>
      </c>
      <c r="F246" s="378">
        <v>-5.63</v>
      </c>
      <c r="G246" s="378">
        <v>5.74</v>
      </c>
      <c r="H246" s="378">
        <v>0.1</v>
      </c>
      <c r="I246" s="378">
        <v>0</v>
      </c>
      <c r="K246" s="33"/>
      <c r="L246" t="s">
        <v>802</v>
      </c>
      <c r="M246" s="34">
        <f>D243+D244+D246</f>
        <v>0.29000000000000004</v>
      </c>
      <c r="N246" s="34">
        <f>E243+E244+E246</f>
        <v>-3.34</v>
      </c>
      <c r="O246" s="34">
        <f>F243+F244+F246</f>
        <v>18.350000000000001</v>
      </c>
      <c r="P246" s="34">
        <f>G243+G244+G246</f>
        <v>5.4300000000000006</v>
      </c>
      <c r="Q246" s="34">
        <f>H243+0.25*H244+H246</f>
        <v>0.33999999999999997</v>
      </c>
      <c r="R246" s="35">
        <f>I243+0.25*I244+I246</f>
        <v>0</v>
      </c>
      <c r="S246" s="17"/>
      <c r="T246" s="29"/>
      <c r="U246" s="29" t="s">
        <v>377</v>
      </c>
      <c r="V246" s="23">
        <f t="shared" si="280"/>
        <v>18.350000000000001</v>
      </c>
      <c r="W246" s="23">
        <f t="shared" si="280"/>
        <v>5.4300000000000006</v>
      </c>
      <c r="X246" s="23">
        <f t="shared" si="280"/>
        <v>0.33999999999999997</v>
      </c>
      <c r="Y246" s="29"/>
      <c r="Z246" s="31">
        <f>ABS(V246)/AC246/AD246</f>
        <v>7.16796875</v>
      </c>
      <c r="AA246" s="23">
        <f>ABS(+W246/V246)</f>
        <v>0.29591280653950952</v>
      </c>
      <c r="AB246" s="23">
        <f>ABS(X246/V246)</f>
        <v>1.8528610354223429E-2</v>
      </c>
      <c r="AC246" s="36">
        <f t="shared" si="282"/>
        <v>1.6</v>
      </c>
      <c r="AD246" s="37">
        <f t="shared" si="282"/>
        <v>1.6</v>
      </c>
      <c r="AE246" s="22">
        <f t="shared" si="281"/>
        <v>1.0081743869209809</v>
      </c>
      <c r="AF246" s="22">
        <f t="shared" si="281"/>
        <v>1.5629427792915531</v>
      </c>
      <c r="AG246" s="22">
        <f>AF246*AE246</f>
        <v>1.5757188783048355</v>
      </c>
      <c r="AH246" s="38">
        <f>V246/AG246</f>
        <v>11.645478297334993</v>
      </c>
      <c r="AJ246" s="147" t="s">
        <v>500</v>
      </c>
      <c r="AK246" s="24">
        <f>(MAX(V243:V247)+ABS(MAX(W243:W247))/(AL244/1000))*1000</f>
        <v>40880</v>
      </c>
      <c r="AL246" s="150" t="s">
        <v>502</v>
      </c>
      <c r="AM246" s="24">
        <f>+ABS(MAX(AK246:AK247))/(+AK244*2/10+AL244*2/10)/(AP244/10)</f>
        <v>108.21180555555557</v>
      </c>
      <c r="AN246" s="151" t="str">
        <f>IF(AM246&lt;=AM247,"OK","REDIS")</f>
        <v>OK</v>
      </c>
      <c r="AO246" s="150" t="s">
        <v>508</v>
      </c>
      <c r="AP246" s="24">
        <f>((AO244/10/2-AL244/10/2)/2)*((MAX(ABS(MAX(W243:W247)),ABS(MIN(W243:W247)))*100000))/(AL244/10)</f>
        <v>60500</v>
      </c>
      <c r="AQ246" s="150" t="s">
        <v>510</v>
      </c>
      <c r="AR246" s="24">
        <f>+AP246/(AK244*AP244*AP244/6/10/10/10)</f>
        <v>2100.6944444444443</v>
      </c>
      <c r="AS246" s="152" t="str">
        <f>IF(AR246&lt;=0.6*AR242*1.1,"OK","REDIS")</f>
        <v>OK</v>
      </c>
      <c r="AT246" s="24" t="s">
        <v>516</v>
      </c>
      <c r="AU246" s="174">
        <f>+AW244*(AP246/100000)/((AO244-AL244)/1000/4)/(AT244-1)</f>
        <v>2.9039999999999999</v>
      </c>
      <c r="AV246" s="24" t="s">
        <v>519</v>
      </c>
      <c r="AW246" s="175">
        <f>+AW244*(ABS(MAX(M243:M247))+ABS(MIN(M243:M247)+ABS(MAX(N243:N247))+ABS(MIN(N243:N247))))/AV244</f>
        <v>0.58350000000000002</v>
      </c>
      <c r="AX246" s="155" t="s">
        <v>525</v>
      </c>
      <c r="AY246" s="383">
        <f>IF(BC244=(1+1/4),+(11-1/4),IF(BC244=1,(9),IF(BC244=(7/8),(7-7/8),IF(BC244=(3/4),+(6-3/4),IF(BC244=(5/8),+(5-5/8),IF(BC244=(1/2),(4-1/2),IF(BC244=(3-3/8),+(7/16),"no valido")))))))</f>
        <v>10.75</v>
      </c>
      <c r="AZ246" s="166" t="s">
        <v>526</v>
      </c>
      <c r="BA246" s="168" t="s">
        <v>533</v>
      </c>
      <c r="BB246" s="153" t="s">
        <v>521</v>
      </c>
      <c r="BC246" s="44">
        <f>+AV244</f>
        <v>16</v>
      </c>
      <c r="BD246" s="166" t="s">
        <v>527</v>
      </c>
      <c r="BE246" s="162" t="s">
        <v>534</v>
      </c>
      <c r="BG246" s="67" t="s">
        <v>193</v>
      </c>
      <c r="BH246" s="68">
        <v>0.9</v>
      </c>
      <c r="BI246" s="202" t="s">
        <v>197</v>
      </c>
      <c r="BJ246" s="93">
        <v>0.7</v>
      </c>
      <c r="BK246" s="98" t="s">
        <v>202</v>
      </c>
      <c r="BL246" s="99"/>
      <c r="BM246" s="203"/>
      <c r="BN246" s="100"/>
      <c r="BO246" s="101"/>
      <c r="BR246" s="98" t="s">
        <v>203</v>
      </c>
      <c r="BS246" s="99"/>
      <c r="BT246" s="203"/>
      <c r="BU246" s="100"/>
      <c r="BV246" s="101"/>
    </row>
    <row r="247" spans="1:74" ht="15.75" thickBot="1" x14ac:dyDescent="0.3">
      <c r="A247" s="371" t="s">
        <v>745</v>
      </c>
      <c r="B247" s="371" t="s">
        <v>806</v>
      </c>
      <c r="C247" s="371" t="s">
        <v>389</v>
      </c>
      <c r="D247" s="369"/>
      <c r="E247" s="369"/>
      <c r="F247" s="369"/>
      <c r="G247" s="369"/>
      <c r="H247" s="369"/>
      <c r="I247" s="369"/>
      <c r="K247" s="39"/>
      <c r="L247" s="368" t="s">
        <v>803</v>
      </c>
      <c r="M247" s="41">
        <f>D243+D244-D246</f>
        <v>0.27</v>
      </c>
      <c r="N247" s="41">
        <f>E243+E244-E246</f>
        <v>3.88</v>
      </c>
      <c r="O247" s="41">
        <f>F243+F244-F246</f>
        <v>29.61</v>
      </c>
      <c r="P247" s="41">
        <f>G243+G244-G246</f>
        <v>-6.05</v>
      </c>
      <c r="Q247" s="41">
        <f>H243+0.25*H244-H246</f>
        <v>0.13999999999999999</v>
      </c>
      <c r="R247" s="42">
        <f>I243+0.25*I244-I246</f>
        <v>0</v>
      </c>
      <c r="S247" s="17"/>
      <c r="T247" s="29"/>
      <c r="U247" s="29" t="s">
        <v>378</v>
      </c>
      <c r="V247" s="23">
        <f t="shared" si="280"/>
        <v>29.61</v>
      </c>
      <c r="W247" s="23">
        <f t="shared" si="280"/>
        <v>-6.05</v>
      </c>
      <c r="X247" s="23">
        <f t="shared" si="280"/>
        <v>0.13999999999999999</v>
      </c>
      <c r="Y247" s="29"/>
      <c r="Z247" s="31">
        <f>ABS(V247)/AC247/AD247</f>
        <v>11.566406249999998</v>
      </c>
      <c r="AA247" s="23">
        <f>ABS(+W247/V247)</f>
        <v>0.20432286389733198</v>
      </c>
      <c r="AB247" s="23">
        <f>ABS(X247/V247)</f>
        <v>4.7281323877068557E-3</v>
      </c>
      <c r="AC247" s="36">
        <f t="shared" si="282"/>
        <v>1.6</v>
      </c>
      <c r="AD247" s="37">
        <f t="shared" si="282"/>
        <v>1.6</v>
      </c>
      <c r="AE247" s="22">
        <f t="shared" si="281"/>
        <v>1.1913542722053361</v>
      </c>
      <c r="AF247" s="22">
        <f t="shared" si="281"/>
        <v>1.5905437352245864</v>
      </c>
      <c r="AG247" s="22">
        <f>AF247*AE247</f>
        <v>1.8949010740892438</v>
      </c>
      <c r="AH247" s="38">
        <f>V247/AG247</f>
        <v>15.626145557087517</v>
      </c>
      <c r="AJ247" s="147" t="s">
        <v>501</v>
      </c>
      <c r="AK247" s="24">
        <f>(MAX(V243:V247)+ABS(MAX(X243:X247))/(AK244/1000))*1000</f>
        <v>41553.333333333336</v>
      </c>
      <c r="AL247" s="150" t="s">
        <v>505</v>
      </c>
      <c r="AM247" s="24">
        <f>+AR242*0.4/3</f>
        <v>466.66666666666669</v>
      </c>
      <c r="AN247" s="24"/>
      <c r="AO247" s="150" t="s">
        <v>509</v>
      </c>
      <c r="AP247" s="24">
        <f>((AN244/10/2-AK244/10/2)/2)*(MAX(+ABS(MAX(X243:X247)),ABS(MIN(X243:X247)))*100000/(AK244/10))</f>
        <v>57666.666666666672</v>
      </c>
      <c r="AQ247" s="150" t="s">
        <v>511</v>
      </c>
      <c r="AR247" s="24">
        <f>+AP247/(AL244*AP244*AP244/6/1000)</f>
        <v>1201.3888888888889</v>
      </c>
      <c r="AS247" s="152" t="str">
        <f>IF(AR247&lt;=0.6*AR242*1.1,"OK","REDIS")</f>
        <v>OK</v>
      </c>
      <c r="AT247" s="24" t="s">
        <v>517</v>
      </c>
      <c r="AU247" s="174">
        <f>+AW244*(AP247/100000)/((AN244-AK244)/1000/4)/(AU244-1)</f>
        <v>4.6133333333333324</v>
      </c>
      <c r="AV247" s="24"/>
      <c r="AW247" s="161"/>
      <c r="AX247" s="156" t="s">
        <v>522</v>
      </c>
      <c r="AY247" s="181">
        <f>IF(AY245=(1+3/8),+AV244/3,IF(AY245=(1+1/8),+AV244/6,IF(AY245=1,+AV244/8,IF(AY245=(7/8),+AV244/11,IF(AY245=0.75,+AV244/18,IF(AY245=(9/16),+AV244/45,IF(AY245=(7/16),+AV244/84,"NO HAY DATO")))))))</f>
        <v>5.333333333333333</v>
      </c>
      <c r="AZ247" s="167" t="s">
        <v>527</v>
      </c>
      <c r="BA247" s="386">
        <f>ROUNDUP(+AY246*2.54,0)</f>
        <v>28</v>
      </c>
      <c r="BB247" s="164" t="s">
        <v>523</v>
      </c>
      <c r="BC247" s="129">
        <f>+BC246*BC245*2.54/100</f>
        <v>5.5879999999999992</v>
      </c>
      <c r="BD247" s="173" t="s">
        <v>528</v>
      </c>
      <c r="BE247" s="385">
        <f>ROUNDUP(+BC245*2.54,0)</f>
        <v>35</v>
      </c>
      <c r="BG247" s="67" t="s">
        <v>194</v>
      </c>
      <c r="BH247" s="68">
        <v>100</v>
      </c>
      <c r="BI247" s="94" t="s">
        <v>169</v>
      </c>
      <c r="BJ247" s="96">
        <f>+BJ246*BP243</f>
        <v>7.4374999999999997E-3</v>
      </c>
      <c r="BK247" s="204" t="s">
        <v>380</v>
      </c>
      <c r="BL247" s="103">
        <f>1.3*1*(BH241-0.1-BK241)*BO241</f>
        <v>18.72</v>
      </c>
      <c r="BM247" s="104" t="s">
        <v>176</v>
      </c>
      <c r="BN247" s="74" t="s">
        <v>177</v>
      </c>
      <c r="BO247" s="105" t="s">
        <v>178</v>
      </c>
      <c r="BR247" s="204" t="s">
        <v>380</v>
      </c>
      <c r="BS247" s="103">
        <f>(+BH241*BH241-BK241*BK241)*1.3*BO241</f>
        <v>38.532000000000011</v>
      </c>
      <c r="BT247" s="104" t="s">
        <v>176</v>
      </c>
      <c r="BU247" s="74" t="s">
        <v>177</v>
      </c>
      <c r="BV247" s="105" t="s">
        <v>178</v>
      </c>
    </row>
    <row r="248" spans="1:74" ht="15" x14ac:dyDescent="0.25">
      <c r="A248" s="371" t="s">
        <v>745</v>
      </c>
      <c r="B248" s="371" t="s">
        <v>807</v>
      </c>
      <c r="C248" s="371" t="s">
        <v>389</v>
      </c>
      <c r="D248" s="369"/>
      <c r="E248" s="369"/>
      <c r="F248" s="369"/>
      <c r="G248" s="369"/>
      <c r="H248" s="369"/>
      <c r="I248" s="369"/>
      <c r="K248" s="25" t="s">
        <v>357</v>
      </c>
      <c r="L248" s="26" t="s">
        <v>358</v>
      </c>
      <c r="M248" s="27" t="s">
        <v>359</v>
      </c>
      <c r="N248" s="27" t="s">
        <v>360</v>
      </c>
      <c r="O248" s="27" t="s">
        <v>361</v>
      </c>
      <c r="P248" s="27" t="s">
        <v>362</v>
      </c>
      <c r="Q248" s="27" t="s">
        <v>363</v>
      </c>
      <c r="R248" s="28" t="s">
        <v>364</v>
      </c>
      <c r="S248" s="17"/>
      <c r="T248" s="29" t="s">
        <v>365</v>
      </c>
      <c r="U248" s="29" t="s">
        <v>358</v>
      </c>
      <c r="V248" s="30" t="s">
        <v>361</v>
      </c>
      <c r="W248" s="30" t="s">
        <v>362</v>
      </c>
      <c r="X248" s="30" t="s">
        <v>363</v>
      </c>
      <c r="Y248" s="29" t="s">
        <v>366</v>
      </c>
      <c r="Z248" s="31" t="s">
        <v>367</v>
      </c>
      <c r="AA248" s="23" t="s">
        <v>368</v>
      </c>
      <c r="AB248" s="23" t="s">
        <v>369</v>
      </c>
      <c r="AC248" s="22" t="s">
        <v>0</v>
      </c>
      <c r="AD248" s="22" t="s">
        <v>1</v>
      </c>
      <c r="AE248" s="22" t="s">
        <v>370</v>
      </c>
      <c r="AF248" s="22" t="s">
        <v>371</v>
      </c>
      <c r="AG248" s="22" t="s">
        <v>372</v>
      </c>
      <c r="AH248" s="32" t="s">
        <v>373</v>
      </c>
      <c r="AJ248" s="143" t="s">
        <v>365</v>
      </c>
      <c r="AK248" s="144" t="s">
        <v>498</v>
      </c>
      <c r="AL248" s="145"/>
      <c r="AM248" s="139"/>
      <c r="AN248" s="146" t="s">
        <v>499</v>
      </c>
      <c r="AO248" s="145"/>
      <c r="AP248" s="139"/>
      <c r="AQ248" s="147" t="s">
        <v>506</v>
      </c>
      <c r="AR248" s="48">
        <v>3500</v>
      </c>
      <c r="AS248" s="147" t="s">
        <v>405</v>
      </c>
      <c r="AT248" s="146" t="s">
        <v>512</v>
      </c>
      <c r="AU248" s="145"/>
      <c r="AV248" s="145"/>
      <c r="AW248" s="145"/>
      <c r="AX248" s="382" t="s">
        <v>532</v>
      </c>
      <c r="AY248" s="157" t="s">
        <v>515</v>
      </c>
      <c r="AZ248" s="169">
        <v>6.9</v>
      </c>
      <c r="BA248" s="171" t="str">
        <f>IF(MAX(AU252:AU253)&lt;=AZ248,"OK","REDIS")</f>
        <v>REDIS</v>
      </c>
      <c r="BB248" s="382" t="s">
        <v>536</v>
      </c>
      <c r="BC248" s="170" t="s">
        <v>515</v>
      </c>
      <c r="BD248" s="169">
        <v>8.36</v>
      </c>
      <c r="BE248" s="171" t="str">
        <f>IF(MAX(AU252:AU253)&lt;=BD248,"OK","REDIS")</f>
        <v>REDIS</v>
      </c>
      <c r="BG248" s="67" t="s">
        <v>195</v>
      </c>
      <c r="BH248" s="68">
        <f>+BK241*100-5</f>
        <v>25</v>
      </c>
      <c r="BI248" s="94" t="s">
        <v>373</v>
      </c>
      <c r="BJ248" s="96">
        <f>+BJ247*BH245/BH244</f>
        <v>0.14874999999999999</v>
      </c>
      <c r="BK248" s="106"/>
      <c r="BL248" s="48"/>
      <c r="BM248" s="102">
        <f>SQRT(BH244)*0.53*BH247*BH248/1000</f>
        <v>19.201074188701003</v>
      </c>
      <c r="BN248" s="73">
        <f>SQRT(BH244)*0.93*BH247*BH248/1000</f>
        <v>33.692450934890445</v>
      </c>
      <c r="BO248" s="205" t="str">
        <f>IF(BL247&lt;BN248,"OK","REDIS")</f>
        <v>OK</v>
      </c>
      <c r="BR248" s="106"/>
      <c r="BS248" s="48"/>
      <c r="BT248" s="102">
        <f>SQRT(BH244)*0.53*(+BK241*100*4+0.3*2+0.4*2)*BK241*100/1000</f>
        <v>27.972124878099624</v>
      </c>
      <c r="BU248" s="73">
        <f>+BT248*0.93/0.53</f>
        <v>49.083162521948402</v>
      </c>
      <c r="BV248" s="205" t="str">
        <f>IF(BS247&lt;BU248,"OK","REDIS")</f>
        <v>OK</v>
      </c>
    </row>
    <row r="249" spans="1:74" ht="15.75" thickBot="1" x14ac:dyDescent="0.3">
      <c r="A249" s="371" t="s">
        <v>746</v>
      </c>
      <c r="B249" s="371" t="s">
        <v>351</v>
      </c>
      <c r="C249" s="371" t="s">
        <v>352</v>
      </c>
      <c r="D249" s="378">
        <v>0.57999999999999996</v>
      </c>
      <c r="E249" s="378">
        <v>-0.01</v>
      </c>
      <c r="F249" s="378">
        <v>32.5</v>
      </c>
      <c r="G249" s="378">
        <v>-0.01</v>
      </c>
      <c r="H249" s="378">
        <v>0.56999999999999995</v>
      </c>
      <c r="I249" s="378">
        <v>0</v>
      </c>
      <c r="K249" s="33" t="str">
        <f>+A249</f>
        <v>24</v>
      </c>
      <c r="L249" s="17" t="s">
        <v>374</v>
      </c>
      <c r="M249" s="34">
        <f t="shared" ref="M249:R249" si="283">D249+D250</f>
        <v>0.90999999999999992</v>
      </c>
      <c r="N249" s="34">
        <f t="shared" si="283"/>
        <v>-0.03</v>
      </c>
      <c r="O249" s="34">
        <f t="shared" si="283"/>
        <v>47.2</v>
      </c>
      <c r="P249" s="34">
        <f t="shared" si="283"/>
        <v>1.9999999999999997E-2</v>
      </c>
      <c r="Q249" s="34">
        <f t="shared" si="283"/>
        <v>0.8899999999999999</v>
      </c>
      <c r="R249" s="35">
        <f t="shared" si="283"/>
        <v>0</v>
      </c>
      <c r="S249" s="17"/>
      <c r="T249" s="29" t="str">
        <f>K249</f>
        <v>24</v>
      </c>
      <c r="U249" s="29" t="s">
        <v>374</v>
      </c>
      <c r="V249" s="23">
        <f t="shared" ref="V249:X253" si="284">O249</f>
        <v>47.2</v>
      </c>
      <c r="W249" s="23">
        <f t="shared" si="284"/>
        <v>1.9999999999999997E-2</v>
      </c>
      <c r="X249" s="23">
        <f t="shared" si="284"/>
        <v>0.8899999999999999</v>
      </c>
      <c r="Y249" s="29">
        <v>12</v>
      </c>
      <c r="Z249" s="31">
        <f>ABS(V249)/AC249/AD249</f>
        <v>13.074792243767314</v>
      </c>
      <c r="AA249" s="23">
        <f>ABS(+W249/V249)</f>
        <v>4.2372881355932197E-4</v>
      </c>
      <c r="AB249" s="23">
        <f>ABS(X249/V249)</f>
        <v>1.8855932203389828E-2</v>
      </c>
      <c r="AC249" s="36">
        <v>1.9</v>
      </c>
      <c r="AD249" s="37">
        <v>1.9</v>
      </c>
      <c r="AE249" s="22">
        <f t="shared" ref="AE249:AF253" si="285">AC249-2*AA249</f>
        <v>1.8991525423728812</v>
      </c>
      <c r="AF249" s="22">
        <f t="shared" si="285"/>
        <v>1.8622881355932202</v>
      </c>
      <c r="AG249" s="22">
        <f>AF249*AE249</f>
        <v>3.536769247342717</v>
      </c>
      <c r="AH249" s="38">
        <f>V249/AG249</f>
        <v>13.34551300893119</v>
      </c>
      <c r="AJ249" s="379" t="str">
        <f>+A249</f>
        <v>24</v>
      </c>
      <c r="AK249" s="147" t="s">
        <v>0</v>
      </c>
      <c r="AL249" s="147" t="s">
        <v>1</v>
      </c>
      <c r="AM249" s="147" t="s">
        <v>438</v>
      </c>
      <c r="AN249" s="147" t="s">
        <v>503</v>
      </c>
      <c r="AO249" s="147" t="s">
        <v>504</v>
      </c>
      <c r="AP249" s="147" t="s">
        <v>323</v>
      </c>
      <c r="AQ249" s="48"/>
      <c r="AR249" s="48"/>
      <c r="AS249" s="48"/>
      <c r="AT249" s="147" t="s">
        <v>0</v>
      </c>
      <c r="AU249" s="147" t="s">
        <v>1</v>
      </c>
      <c r="AV249" s="147" t="s">
        <v>513</v>
      </c>
      <c r="AW249" s="159" t="s">
        <v>520</v>
      </c>
      <c r="AX249" s="141" t="s">
        <v>530</v>
      </c>
      <c r="AY249" s="157" t="s">
        <v>178</v>
      </c>
      <c r="AZ249" s="44">
        <v>12</v>
      </c>
      <c r="BA249" s="172" t="str">
        <f>IF(AW252&lt;=AZ249,"OK","REDIS")</f>
        <v>OK</v>
      </c>
      <c r="BB249" s="384" t="s">
        <v>535</v>
      </c>
      <c r="BC249" s="120" t="s">
        <v>178</v>
      </c>
      <c r="BD249" s="44">
        <v>4.3</v>
      </c>
      <c r="BE249" s="172" t="str">
        <f>IF(AW252&lt;=BD249,"OK","REDIS")</f>
        <v>OK</v>
      </c>
      <c r="BG249" s="71" t="s">
        <v>196</v>
      </c>
      <c r="BH249" s="72">
        <v>5</v>
      </c>
      <c r="BI249" s="95" t="s">
        <v>198</v>
      </c>
      <c r="BJ249" s="97">
        <f>+BH246*BH244*BH247*BH248*BH248*BJ248*(1-0.59*BJ248)/100000</f>
        <v>16.029010634765626</v>
      </c>
      <c r="BK249" s="107"/>
      <c r="BL249" s="80"/>
      <c r="BM249" s="206"/>
      <c r="BN249" s="78"/>
      <c r="BO249" s="108"/>
      <c r="BR249" s="107"/>
      <c r="BS249" s="80"/>
      <c r="BT249" s="206"/>
      <c r="BU249" s="78"/>
      <c r="BV249" s="108"/>
    </row>
    <row r="250" spans="1:74" ht="15" x14ac:dyDescent="0.25">
      <c r="A250" s="371" t="s">
        <v>746</v>
      </c>
      <c r="B250" s="371" t="s">
        <v>353</v>
      </c>
      <c r="C250" s="371" t="s">
        <v>352</v>
      </c>
      <c r="D250" s="378">
        <v>0.33</v>
      </c>
      <c r="E250" s="378">
        <v>-0.02</v>
      </c>
      <c r="F250" s="378">
        <v>14.7</v>
      </c>
      <c r="G250" s="378">
        <v>0.03</v>
      </c>
      <c r="H250" s="378">
        <v>0.32</v>
      </c>
      <c r="I250" s="378">
        <v>0</v>
      </c>
      <c r="K250" s="33"/>
      <c r="L250" t="s">
        <v>800</v>
      </c>
      <c r="M250" s="34">
        <f>D249+D250+D251</f>
        <v>-4.09</v>
      </c>
      <c r="N250" s="34">
        <f>E249+E250+E251</f>
        <v>0.06</v>
      </c>
      <c r="O250" s="34">
        <f>F249+F250+F251</f>
        <v>51.25</v>
      </c>
      <c r="P250" s="34">
        <f>G249+G250+G251</f>
        <v>-0.14000000000000001</v>
      </c>
      <c r="Q250" s="34">
        <f>H249+0.25*H250+H251</f>
        <v>-3.5800000000000005</v>
      </c>
      <c r="R250" s="35">
        <f>I249+0.25*I250+I251</f>
        <v>0</v>
      </c>
      <c r="S250" s="17"/>
      <c r="T250" s="29"/>
      <c r="U250" s="29" t="s">
        <v>375</v>
      </c>
      <c r="V250" s="23">
        <f t="shared" si="284"/>
        <v>51.25</v>
      </c>
      <c r="W250" s="23">
        <f t="shared" si="284"/>
        <v>-0.14000000000000001</v>
      </c>
      <c r="X250" s="23">
        <f t="shared" si="284"/>
        <v>-3.5800000000000005</v>
      </c>
      <c r="Y250" s="29">
        <f>1.33*Y249</f>
        <v>15.96</v>
      </c>
      <c r="Z250" s="31">
        <f>ABS(V250)/AC250/AD250</f>
        <v>14.196675900277011</v>
      </c>
      <c r="AA250" s="23">
        <f>ABS(+W250/V250)</f>
        <v>2.731707317073171E-3</v>
      </c>
      <c r="AB250" s="23">
        <f>ABS(X250/V250)</f>
        <v>6.9853658536585372E-2</v>
      </c>
      <c r="AC250" s="36">
        <f t="shared" ref="AC250:AD253" si="286">AC249</f>
        <v>1.9</v>
      </c>
      <c r="AD250" s="37">
        <f t="shared" si="286"/>
        <v>1.9</v>
      </c>
      <c r="AE250" s="22">
        <f t="shared" si="285"/>
        <v>1.8945365853658536</v>
      </c>
      <c r="AF250" s="22">
        <f t="shared" si="285"/>
        <v>1.7602926829268291</v>
      </c>
      <c r="AG250" s="22">
        <f>AF250*AE250</f>
        <v>3.334938888756692</v>
      </c>
      <c r="AH250" s="38">
        <f>V250/AG250</f>
        <v>15.367597940934582</v>
      </c>
      <c r="AJ250" s="147" t="s">
        <v>539</v>
      </c>
      <c r="AK250" s="148">
        <v>300</v>
      </c>
      <c r="AL250" s="148">
        <v>500</v>
      </c>
      <c r="AM250" s="148">
        <v>28</v>
      </c>
      <c r="AN250" s="380">
        <v>500</v>
      </c>
      <c r="AO250" s="380">
        <v>700</v>
      </c>
      <c r="AP250" s="380">
        <v>24</v>
      </c>
      <c r="AQ250" s="48"/>
      <c r="AR250" s="48"/>
      <c r="AS250" s="48"/>
      <c r="AT250" s="381">
        <v>6</v>
      </c>
      <c r="AU250" s="381">
        <v>3</v>
      </c>
      <c r="AV250" s="380">
        <f>+AT250*2+(AU250-2)*2</f>
        <v>14</v>
      </c>
      <c r="AW250" s="159">
        <v>1.2</v>
      </c>
      <c r="AX250" s="155" t="s">
        <v>538</v>
      </c>
      <c r="AY250" s="180">
        <f>+AV250</f>
        <v>14</v>
      </c>
      <c r="BA250" s="154"/>
      <c r="BB250" s="177" t="s">
        <v>537</v>
      </c>
      <c r="BC250" s="179">
        <v>1.25</v>
      </c>
      <c r="BD250" s="166" t="s">
        <v>526</v>
      </c>
      <c r="BE250" s="154"/>
    </row>
    <row r="251" spans="1:74" ht="15" x14ac:dyDescent="0.25">
      <c r="A251" s="371" t="s">
        <v>746</v>
      </c>
      <c r="B251" s="371" t="s">
        <v>354</v>
      </c>
      <c r="C251" s="371" t="s">
        <v>352</v>
      </c>
      <c r="D251" s="378">
        <v>-5</v>
      </c>
      <c r="E251" s="378">
        <v>0.09</v>
      </c>
      <c r="F251" s="378">
        <v>4.05</v>
      </c>
      <c r="G251" s="378">
        <v>-0.16</v>
      </c>
      <c r="H251" s="378">
        <v>-4.2300000000000004</v>
      </c>
      <c r="I251" s="378">
        <v>0</v>
      </c>
      <c r="K251" s="33"/>
      <c r="L251" t="s">
        <v>801</v>
      </c>
      <c r="M251" s="34">
        <f>D249+D250-D251</f>
        <v>5.91</v>
      </c>
      <c r="N251" s="34">
        <f>E249+E250-E251</f>
        <v>-0.12</v>
      </c>
      <c r="O251" s="34">
        <f>F249+F250-F251</f>
        <v>43.150000000000006</v>
      </c>
      <c r="P251" s="34">
        <f>G249+G250-G251</f>
        <v>0.18</v>
      </c>
      <c r="Q251" s="34">
        <f>H249+0.25*H250-H251</f>
        <v>4.8800000000000008</v>
      </c>
      <c r="R251" s="35">
        <f>I249+0.25*I250-I251</f>
        <v>0</v>
      </c>
      <c r="S251" s="17"/>
      <c r="T251" s="29"/>
      <c r="U251" s="29" t="s">
        <v>376</v>
      </c>
      <c r="V251" s="23">
        <f t="shared" si="284"/>
        <v>43.150000000000006</v>
      </c>
      <c r="W251" s="23">
        <f t="shared" si="284"/>
        <v>0.18</v>
      </c>
      <c r="X251" s="23">
        <f t="shared" si="284"/>
        <v>4.8800000000000008</v>
      </c>
      <c r="Y251" s="29"/>
      <c r="Z251" s="31">
        <f>ABS(V251)/AC251/AD251</f>
        <v>11.952908587257619</v>
      </c>
      <c r="AA251" s="23">
        <f>ABS(+W251/V251)</f>
        <v>4.1714947856315169E-3</v>
      </c>
      <c r="AB251" s="23">
        <f>ABS(X251/V251)</f>
        <v>0.11309385863267671</v>
      </c>
      <c r="AC251" s="36">
        <f t="shared" si="286"/>
        <v>1.9</v>
      </c>
      <c r="AD251" s="37">
        <f t="shared" si="286"/>
        <v>1.9</v>
      </c>
      <c r="AE251" s="22">
        <f t="shared" si="285"/>
        <v>1.8916570104287369</v>
      </c>
      <c r="AF251" s="22">
        <f t="shared" si="285"/>
        <v>1.6738122827346464</v>
      </c>
      <c r="AG251" s="22">
        <f>AF251*AE251</f>
        <v>3.1662787387767208</v>
      </c>
      <c r="AH251" s="38">
        <f>V251/AG251</f>
        <v>13.627985265968983</v>
      </c>
      <c r="AJ251" s="146" t="s">
        <v>514</v>
      </c>
      <c r="AK251" s="145"/>
      <c r="AL251" s="145"/>
      <c r="AM251" s="145"/>
      <c r="AN251" s="139"/>
      <c r="AO251" s="146" t="s">
        <v>507</v>
      </c>
      <c r="AP251" s="145" t="s">
        <v>626</v>
      </c>
      <c r="AQ251" s="145">
        <f>0.6*AR248</f>
        <v>2100</v>
      </c>
      <c r="AR251" s="212" t="s">
        <v>627</v>
      </c>
      <c r="AS251" s="211">
        <f>+AR252+AR253</f>
        <v>4107.6388888888887</v>
      </c>
      <c r="AT251" s="48" t="s">
        <v>515</v>
      </c>
      <c r="AU251" s="48"/>
      <c r="AV251" s="48" t="s">
        <v>518</v>
      </c>
      <c r="AW251" s="160"/>
      <c r="AX251" s="155" t="s">
        <v>524</v>
      </c>
      <c r="AY251" s="182">
        <f>IF(BC250=(1+1/4),+(1+3/8),IF(BC250=1,(1+1/8),IF(BC250=(7/8),1,IF(BC250=(3/4),+(7/8),IF(BC250=(5/8),+(3/4),IF(BC250=(1/2),(9/16),IF(BC250=(3/8),+(7/16),"no valido")))))))</f>
        <v>1.375</v>
      </c>
      <c r="AZ251" s="165" t="s">
        <v>526</v>
      </c>
      <c r="BA251" s="172" t="s">
        <v>531</v>
      </c>
      <c r="BB251" s="178" t="s">
        <v>529</v>
      </c>
      <c r="BC251" s="158">
        <f>+AY252+3</f>
        <v>13.75</v>
      </c>
      <c r="BD251" s="166" t="s">
        <v>526</v>
      </c>
      <c r="BE251" s="172" t="s">
        <v>531</v>
      </c>
      <c r="BG251" s="9" t="s">
        <v>204</v>
      </c>
    </row>
    <row r="252" spans="1:74" ht="15.75" thickBot="1" x14ac:dyDescent="0.3">
      <c r="A252" s="371" t="s">
        <v>746</v>
      </c>
      <c r="B252" s="371" t="s">
        <v>355</v>
      </c>
      <c r="C252" s="371" t="s">
        <v>352</v>
      </c>
      <c r="D252" s="378">
        <v>7.0000000000000007E-2</v>
      </c>
      <c r="E252" s="378">
        <v>-4.78</v>
      </c>
      <c r="F252" s="378">
        <v>-0.67</v>
      </c>
      <c r="G252" s="378">
        <v>6.93</v>
      </c>
      <c r="H252" s="378">
        <v>7.0000000000000007E-2</v>
      </c>
      <c r="I252" s="378">
        <v>0</v>
      </c>
      <c r="K252" s="33"/>
      <c r="L252" t="s">
        <v>802</v>
      </c>
      <c r="M252" s="34">
        <f>D249+D250+D252</f>
        <v>0.98</v>
      </c>
      <c r="N252" s="34">
        <f>E249+E250+E252</f>
        <v>-4.8100000000000005</v>
      </c>
      <c r="O252" s="34">
        <f>F249+F250+F252</f>
        <v>46.53</v>
      </c>
      <c r="P252" s="34">
        <f>G249+G250+G252</f>
        <v>6.9499999999999993</v>
      </c>
      <c r="Q252" s="34">
        <f>H249+0.25*H250+H252</f>
        <v>0.72</v>
      </c>
      <c r="R252" s="35">
        <f>I249+0.25*I250+I252</f>
        <v>0</v>
      </c>
      <c r="S252" s="17"/>
      <c r="T252" s="29"/>
      <c r="U252" s="29" t="s">
        <v>377</v>
      </c>
      <c r="V252" s="23">
        <f t="shared" si="284"/>
        <v>46.53</v>
      </c>
      <c r="W252" s="23">
        <f t="shared" si="284"/>
        <v>6.9499999999999993</v>
      </c>
      <c r="X252" s="23">
        <f t="shared" si="284"/>
        <v>0.72</v>
      </c>
      <c r="Y252" s="29"/>
      <c r="Z252" s="31">
        <f>ABS(V252)/AC252/AD252</f>
        <v>12.889196675900278</v>
      </c>
      <c r="AA252" s="23">
        <f>ABS(+W252/V252)</f>
        <v>0.1493660004298302</v>
      </c>
      <c r="AB252" s="23">
        <f>ABS(X252/V252)</f>
        <v>1.5473887814313345E-2</v>
      </c>
      <c r="AC252" s="36">
        <f t="shared" si="286"/>
        <v>1.9</v>
      </c>
      <c r="AD252" s="37">
        <f t="shared" si="286"/>
        <v>1.9</v>
      </c>
      <c r="AE252" s="22">
        <f t="shared" si="285"/>
        <v>1.6012679991403396</v>
      </c>
      <c r="AF252" s="22">
        <f t="shared" si="285"/>
        <v>1.8690522243713732</v>
      </c>
      <c r="AG252" s="22">
        <f>AF252*AE252</f>
        <v>2.9928535156079499</v>
      </c>
      <c r="AH252" s="38">
        <f>V252/AG252</f>
        <v>15.547035548964441</v>
      </c>
      <c r="AJ252" s="147" t="s">
        <v>500</v>
      </c>
      <c r="AK252" s="24">
        <f>(MAX(V249:V253)+ABS(MAX(W249:W253))/(AL250/1000))*1000</f>
        <v>65150.000000000007</v>
      </c>
      <c r="AL252" s="150" t="s">
        <v>502</v>
      </c>
      <c r="AM252" s="24">
        <f>+ABS(MAX(AK252:AK253))/(+AK250*2/10+AL250*2/10)/(AP250/10)</f>
        <v>175.8246527777778</v>
      </c>
      <c r="AN252" s="151" t="str">
        <f>IF(AM252&lt;=AM253,"OK","REDIS")</f>
        <v>OK</v>
      </c>
      <c r="AO252" s="150" t="s">
        <v>508</v>
      </c>
      <c r="AP252" s="24">
        <f>((AO250/10/2-AL250/10/2)/2)*((MAX(ABS(MAX(W249:W253)),ABS(MIN(W249:W253)))*100000))/(AL250/10)</f>
        <v>69499.999999999985</v>
      </c>
      <c r="AQ252" s="150" t="s">
        <v>510</v>
      </c>
      <c r="AR252" s="24">
        <f>+AP252/(AK250*AP250*AP250/6/10/10/10)</f>
        <v>2413.1944444444439</v>
      </c>
      <c r="AS252" s="152" t="str">
        <f>IF(AR252&lt;=0.6*AR248*1.1,"OK","REDIS")</f>
        <v>REDIS</v>
      </c>
      <c r="AT252" s="24" t="s">
        <v>516</v>
      </c>
      <c r="AU252" s="174">
        <f>+AW250*(AP252/100000)/((AO250-AL250)/1000/4)/(AT250-1)</f>
        <v>3.3359999999999985</v>
      </c>
      <c r="AV252" s="24" t="s">
        <v>519</v>
      </c>
      <c r="AW252" s="175">
        <f>+AW250*(ABS(MAX(M249:M253))+ABS(MIN(M249:M253)+ABS(MAX(N249:N253))+ABS(MIN(N249:N253))))/AV250</f>
        <v>0.97542857142857142</v>
      </c>
      <c r="AX252" s="155" t="s">
        <v>525</v>
      </c>
      <c r="AY252" s="383">
        <f>IF(BC250=(1+1/4),+(11-1/4),IF(BC250=1,(9),IF(BC250=(7/8),(7-7/8),IF(BC250=(3/4),+(6-3/4),IF(BC250=(5/8),+(5-5/8),IF(BC250=(1/2),(4-1/2),IF(BC250=(3-3/8),+(7/16),"no valido")))))))</f>
        <v>10.75</v>
      </c>
      <c r="AZ252" s="166" t="s">
        <v>526</v>
      </c>
      <c r="BA252" s="168" t="s">
        <v>533</v>
      </c>
      <c r="BB252" s="153" t="s">
        <v>521</v>
      </c>
      <c r="BC252" s="44">
        <f>+AV250</f>
        <v>14</v>
      </c>
      <c r="BD252" s="166" t="s">
        <v>527</v>
      </c>
      <c r="BE252" s="162" t="s">
        <v>534</v>
      </c>
      <c r="BG252" s="109" t="s">
        <v>199</v>
      </c>
      <c r="BH252" s="142">
        <v>1.7</v>
      </c>
      <c r="BJ252" s="109" t="s">
        <v>385</v>
      </c>
      <c r="BK252" s="142">
        <v>0.3</v>
      </c>
      <c r="BM252" s="110" t="s">
        <v>200</v>
      </c>
      <c r="BN252" s="110"/>
      <c r="BO252" s="110">
        <v>12</v>
      </c>
      <c r="BP252" s="110" t="s">
        <v>386</v>
      </c>
      <c r="BQ252" t="s">
        <v>201</v>
      </c>
    </row>
    <row r="253" spans="1:74" ht="15.75" thickBot="1" x14ac:dyDescent="0.3">
      <c r="A253" s="371" t="s">
        <v>746</v>
      </c>
      <c r="B253" s="371" t="s">
        <v>806</v>
      </c>
      <c r="C253" s="371" t="s">
        <v>389</v>
      </c>
      <c r="D253" s="369"/>
      <c r="E253" s="369"/>
      <c r="F253" s="369"/>
      <c r="G253" s="369"/>
      <c r="H253" s="369"/>
      <c r="I253" s="369"/>
      <c r="K253" s="39"/>
      <c r="L253" s="368" t="s">
        <v>803</v>
      </c>
      <c r="M253" s="41">
        <f>D249+D250-D252</f>
        <v>0.83999999999999986</v>
      </c>
      <c r="N253" s="41">
        <f>E249+E250-E252</f>
        <v>4.75</v>
      </c>
      <c r="O253" s="41">
        <f>F249+F250-F252</f>
        <v>47.870000000000005</v>
      </c>
      <c r="P253" s="41">
        <f>G249+G250-G252</f>
        <v>-6.91</v>
      </c>
      <c r="Q253" s="41">
        <f>H249+0.25*H250-H252</f>
        <v>0.57999999999999985</v>
      </c>
      <c r="R253" s="42">
        <f>I249+0.25*I250-I252</f>
        <v>0</v>
      </c>
      <c r="S253" s="17"/>
      <c r="T253" s="29"/>
      <c r="U253" s="29" t="s">
        <v>378</v>
      </c>
      <c r="V253" s="23">
        <f t="shared" si="284"/>
        <v>47.870000000000005</v>
      </c>
      <c r="W253" s="23">
        <f t="shared" si="284"/>
        <v>-6.91</v>
      </c>
      <c r="X253" s="23">
        <f t="shared" si="284"/>
        <v>0.57999999999999985</v>
      </c>
      <c r="Y253" s="29"/>
      <c r="Z253" s="31">
        <f>ABS(V253)/AC253/AD253</f>
        <v>13.260387811634352</v>
      </c>
      <c r="AA253" s="23">
        <f>ABS(+W253/V253)</f>
        <v>0.14434927929809901</v>
      </c>
      <c r="AB253" s="23">
        <f>ABS(X253/V253)</f>
        <v>1.2116147900564023E-2</v>
      </c>
      <c r="AC253" s="36">
        <f t="shared" si="286"/>
        <v>1.9</v>
      </c>
      <c r="AD253" s="37">
        <f t="shared" si="286"/>
        <v>1.9</v>
      </c>
      <c r="AE253" s="22">
        <f t="shared" si="285"/>
        <v>1.6113014414038018</v>
      </c>
      <c r="AF253" s="22">
        <f t="shared" si="285"/>
        <v>1.8757677041988718</v>
      </c>
      <c r="AG253" s="22">
        <f>AF253*AE253</f>
        <v>3.0224272055143424</v>
      </c>
      <c r="AH253" s="38">
        <f>V253/AG253</f>
        <v>15.838263999431447</v>
      </c>
      <c r="AJ253" s="147" t="s">
        <v>501</v>
      </c>
      <c r="AK253" s="24">
        <f>(MAX(V249:V253)+ABS(MAX(X249:X253))/(AK250/1000))*1000</f>
        <v>67516.666666666672</v>
      </c>
      <c r="AL253" s="150" t="s">
        <v>505</v>
      </c>
      <c r="AM253" s="24">
        <f>+AR248*0.4/3</f>
        <v>466.66666666666669</v>
      </c>
      <c r="AN253" s="24"/>
      <c r="AO253" s="150" t="s">
        <v>509</v>
      </c>
      <c r="AP253" s="24">
        <f>((AN250/10/2-AK250/10/2)/2)*(MAX(+ABS(MAX(X249:X253)),ABS(MIN(X249:X253)))*100000/(AK250/10))</f>
        <v>81333.333333333343</v>
      </c>
      <c r="AQ253" s="150" t="s">
        <v>511</v>
      </c>
      <c r="AR253" s="24">
        <f>+AP253/(AL250*AP250*AP250/6/1000)</f>
        <v>1694.4444444444446</v>
      </c>
      <c r="AS253" s="152" t="str">
        <f>IF(AR253&lt;=0.6*AR248*1.1,"OK","REDIS")</f>
        <v>OK</v>
      </c>
      <c r="AT253" s="24" t="s">
        <v>517</v>
      </c>
      <c r="AU253" s="174">
        <f>+AW250*(AP253/100000)/((AN250-AK250)/1000/4)/(AU250-1)</f>
        <v>9.76</v>
      </c>
      <c r="AV253" s="24"/>
      <c r="AW253" s="161"/>
      <c r="AX253" s="156" t="s">
        <v>522</v>
      </c>
      <c r="AY253" s="181">
        <f>IF(AY251=(1+3/8),+AV250/3,IF(AY251=(1+1/8),+AV250/6,IF(AY251=1,+AV250/8,IF(AY251=(7/8),+AV250/11,IF(AY251=0.75,+AV250/18,IF(AY251=(9/16),+AV250/45,IF(AY251=(7/16),+AV250/84,"NO HAY DATO")))))))</f>
        <v>4.666666666666667</v>
      </c>
      <c r="AZ253" s="167" t="s">
        <v>527</v>
      </c>
      <c r="BA253" s="386">
        <f>ROUNDUP(+AY252*2.54,0)</f>
        <v>28</v>
      </c>
      <c r="BB253" s="164" t="s">
        <v>523</v>
      </c>
      <c r="BC253" s="129">
        <f>+BC252*BC251*2.54/100</f>
        <v>4.8895</v>
      </c>
      <c r="BD253" s="173" t="s">
        <v>528</v>
      </c>
      <c r="BE253" s="385">
        <f>ROUNDUP(+BC251*2.54,0)</f>
        <v>35</v>
      </c>
      <c r="BG253" s="122" t="s">
        <v>164</v>
      </c>
      <c r="BH253" s="193" t="e">
        <f>+#REF!</f>
        <v>#REF!</v>
      </c>
      <c r="BI253" s="196" t="s">
        <v>165</v>
      </c>
      <c r="BJ253" s="197" t="s">
        <v>166</v>
      </c>
      <c r="BK253" s="74" t="s">
        <v>2</v>
      </c>
      <c r="BL253" s="74" t="s">
        <v>167</v>
      </c>
      <c r="BM253" s="75" t="s">
        <v>168</v>
      </c>
      <c r="BN253" s="74" t="s">
        <v>169</v>
      </c>
      <c r="BO253" s="74" t="s">
        <v>170</v>
      </c>
      <c r="BP253" s="74" t="s">
        <v>171</v>
      </c>
      <c r="BQ253" s="75" t="s">
        <v>172</v>
      </c>
      <c r="BR253" s="74" t="s">
        <v>173</v>
      </c>
      <c r="BS253" s="74" t="s">
        <v>174</v>
      </c>
      <c r="BT253" s="74" t="s">
        <v>165</v>
      </c>
      <c r="BU253" s="74" t="s">
        <v>175</v>
      </c>
      <c r="BV253" s="76" t="s">
        <v>407</v>
      </c>
    </row>
    <row r="254" spans="1:74" ht="15.75" thickBot="1" x14ac:dyDescent="0.3">
      <c r="A254" s="371" t="s">
        <v>746</v>
      </c>
      <c r="B254" s="371" t="s">
        <v>807</v>
      </c>
      <c r="C254" s="371" t="s">
        <v>389</v>
      </c>
      <c r="D254" s="369"/>
      <c r="E254" s="369"/>
      <c r="F254" s="369"/>
      <c r="G254" s="369"/>
      <c r="H254" s="369"/>
      <c r="I254" s="369"/>
      <c r="K254" s="25" t="s">
        <v>357</v>
      </c>
      <c r="L254" s="26" t="s">
        <v>358</v>
      </c>
      <c r="M254" s="27" t="s">
        <v>359</v>
      </c>
      <c r="N254" s="27" t="s">
        <v>360</v>
      </c>
      <c r="O254" s="27" t="s">
        <v>361</v>
      </c>
      <c r="P254" s="27" t="s">
        <v>362</v>
      </c>
      <c r="Q254" s="27" t="s">
        <v>363</v>
      </c>
      <c r="R254" s="28" t="s">
        <v>364</v>
      </c>
      <c r="S254" s="17"/>
      <c r="T254" s="29" t="s">
        <v>365</v>
      </c>
      <c r="U254" s="29" t="s">
        <v>358</v>
      </c>
      <c r="V254" s="30" t="s">
        <v>361</v>
      </c>
      <c r="W254" s="30" t="s">
        <v>362</v>
      </c>
      <c r="X254" s="30" t="s">
        <v>363</v>
      </c>
      <c r="Y254" s="29" t="s">
        <v>366</v>
      </c>
      <c r="Z254" s="31" t="s">
        <v>367</v>
      </c>
      <c r="AA254" s="23" t="s">
        <v>368</v>
      </c>
      <c r="AB254" s="23" t="s">
        <v>369</v>
      </c>
      <c r="AC254" s="22" t="s">
        <v>0</v>
      </c>
      <c r="AD254" s="22" t="s">
        <v>1</v>
      </c>
      <c r="AE254" s="22" t="s">
        <v>370</v>
      </c>
      <c r="AF254" s="22" t="s">
        <v>371</v>
      </c>
      <c r="AG254" s="22" t="s">
        <v>372</v>
      </c>
      <c r="AH254" s="32" t="s">
        <v>373</v>
      </c>
      <c r="AJ254" s="143" t="s">
        <v>365</v>
      </c>
      <c r="AK254" s="144" t="s">
        <v>498</v>
      </c>
      <c r="AL254" s="145"/>
      <c r="AM254" s="139"/>
      <c r="AN254" s="146" t="s">
        <v>499</v>
      </c>
      <c r="AO254" s="145"/>
      <c r="AP254" s="139"/>
      <c r="AQ254" s="147" t="s">
        <v>506</v>
      </c>
      <c r="AR254" s="48">
        <v>3500</v>
      </c>
      <c r="AS254" s="147" t="s">
        <v>405</v>
      </c>
      <c r="AT254" s="146" t="s">
        <v>512</v>
      </c>
      <c r="AU254" s="145"/>
      <c r="AV254" s="145"/>
      <c r="AW254" s="145"/>
      <c r="AX254" s="382" t="s">
        <v>532</v>
      </c>
      <c r="AY254" s="157" t="s">
        <v>515</v>
      </c>
      <c r="AZ254" s="169">
        <v>6.9</v>
      </c>
      <c r="BA254" s="171" t="str">
        <f>IF(MAX(AU258:AU259)&lt;=AZ254,"OK","REDIS")</f>
        <v>REDIS</v>
      </c>
      <c r="BB254" s="382" t="s">
        <v>536</v>
      </c>
      <c r="BC254" s="170" t="s">
        <v>515</v>
      </c>
      <c r="BD254" s="169">
        <v>8.36</v>
      </c>
      <c r="BE254" s="171" t="str">
        <f>IF(MAX(AU258:AU259)&lt;=BD254,"OK","REDIS")</f>
        <v>REDIS</v>
      </c>
      <c r="BG254" s="123" t="s">
        <v>390</v>
      </c>
      <c r="BH254" s="43">
        <f>1.3*((BH252-0.2)/2)*1*((BH252)/4)*BO252</f>
        <v>4.9725000000000001</v>
      </c>
      <c r="BI254" s="198">
        <f>IF(BQ254=0,BT254,BM256)</f>
        <v>8.3333333333333339</v>
      </c>
      <c r="BJ254" s="199">
        <f>IF(BQ254=0,0,BK256)</f>
        <v>0</v>
      </c>
      <c r="BK254" s="82">
        <f>ABS(BH254)*100000/(BH257*BH258*BH259*BH259*BH255)</f>
        <v>4.2095238095238095E-2</v>
      </c>
      <c r="BL254" s="82">
        <f>1-2.36*BK254</f>
        <v>0.90065523809523806</v>
      </c>
      <c r="BM254" s="200" t="str">
        <f>IF(BL254&gt;=0,"OK","OTRA SECCION")</f>
        <v>OK</v>
      </c>
      <c r="BN254" s="83">
        <f>+(BH255/BH256)*((1-SQRT(BL254))/1.18)</f>
        <v>2.1598061010106697E-3</v>
      </c>
      <c r="BO254" s="84">
        <f>IF(BH255&gt;280,(IF((0.85-(0.08*(BH255-280)/70))&gt;=0.65,0.65,(0.85-(0.05*(BH255-280)))/70)),0.85)</f>
        <v>0.85</v>
      </c>
      <c r="BP254" s="85">
        <f>0.5*((0.85*BH255*BO254*6000)/(BH256*(6000+BH256)))</f>
        <v>1.0625000000000001E-2</v>
      </c>
      <c r="BQ254" s="200">
        <f>IF(BN254&gt;BP254,1,0)</f>
        <v>0</v>
      </c>
      <c r="BR254" s="86">
        <f>14/BH256*BH258*BH259</f>
        <v>8.3333333333333339</v>
      </c>
      <c r="BS254" s="82">
        <f>+BN254*BH258*BH259</f>
        <v>5.3995152525266743</v>
      </c>
      <c r="BT254" s="82">
        <f>IF(BS254&gt;BR254,BS254,BR254)</f>
        <v>8.3333333333333339</v>
      </c>
      <c r="BU254" s="82">
        <f>+BJ258*BH258*BH259</f>
        <v>18.593749999999996</v>
      </c>
      <c r="BV254" s="87">
        <f>+BU254*BH256/(0.85*BH255*BH258*BO254)</f>
        <v>5.1470588235294112</v>
      </c>
    </row>
    <row r="255" spans="1:74" ht="15" x14ac:dyDescent="0.25">
      <c r="A255" s="371" t="s">
        <v>747</v>
      </c>
      <c r="B255" s="371" t="s">
        <v>351</v>
      </c>
      <c r="C255" s="371" t="s">
        <v>352</v>
      </c>
      <c r="D255" s="378">
        <v>0.31</v>
      </c>
      <c r="E255" s="378">
        <v>-0.23</v>
      </c>
      <c r="F255" s="378">
        <v>18.940000000000001</v>
      </c>
      <c r="G255" s="378">
        <v>0.2</v>
      </c>
      <c r="H255" s="378">
        <v>0.28999999999999998</v>
      </c>
      <c r="I255" s="378">
        <v>0</v>
      </c>
      <c r="K255" s="33" t="str">
        <f>+A255</f>
        <v>27</v>
      </c>
      <c r="L255" s="17" t="s">
        <v>374</v>
      </c>
      <c r="M255" s="34">
        <f t="shared" ref="M255:R255" si="287">D255+D256</f>
        <v>0.47</v>
      </c>
      <c r="N255" s="34">
        <f t="shared" si="287"/>
        <v>-0.39</v>
      </c>
      <c r="O255" s="34">
        <f t="shared" si="287"/>
        <v>25.57</v>
      </c>
      <c r="P255" s="34">
        <f t="shared" si="287"/>
        <v>0.36</v>
      </c>
      <c r="Q255" s="34">
        <f t="shared" si="287"/>
        <v>0.43</v>
      </c>
      <c r="R255" s="35">
        <f t="shared" si="287"/>
        <v>0</v>
      </c>
      <c r="S255" s="17"/>
      <c r="T255" s="29" t="str">
        <f>K255</f>
        <v>27</v>
      </c>
      <c r="U255" s="29" t="s">
        <v>374</v>
      </c>
      <c r="V255" s="23">
        <f t="shared" ref="V255:X259" si="288">O255</f>
        <v>25.57</v>
      </c>
      <c r="W255" s="23">
        <f t="shared" si="288"/>
        <v>0.36</v>
      </c>
      <c r="X255" s="23">
        <f t="shared" si="288"/>
        <v>0.43</v>
      </c>
      <c r="Y255" s="29">
        <v>12</v>
      </c>
      <c r="Z255" s="31">
        <f>ABS(V255)/AC255/AD255</f>
        <v>8.8477508650519034</v>
      </c>
      <c r="AA255" s="23">
        <f>ABS(+W255/V255)</f>
        <v>1.4078998826750098E-2</v>
      </c>
      <c r="AB255" s="23">
        <f>ABS(X255/V255)</f>
        <v>1.6816581931951506E-2</v>
      </c>
      <c r="AC255" s="36">
        <v>1.7</v>
      </c>
      <c r="AD255" s="37">
        <v>1.7</v>
      </c>
      <c r="AE255" s="22">
        <f t="shared" ref="AE255:AF259" si="289">AC255-2*AA255</f>
        <v>1.6718420023464997</v>
      </c>
      <c r="AF255" s="22">
        <f t="shared" si="289"/>
        <v>1.666366836136097</v>
      </c>
      <c r="AG255" s="22">
        <f>AF255*AE255</f>
        <v>2.7859020679695741</v>
      </c>
      <c r="AH255" s="38">
        <f>V255/AG255</f>
        <v>9.1783556550629122</v>
      </c>
      <c r="AJ255" s="379" t="str">
        <f>+A255</f>
        <v>27</v>
      </c>
      <c r="AK255" s="147" t="s">
        <v>0</v>
      </c>
      <c r="AL255" s="147" t="s">
        <v>1</v>
      </c>
      <c r="AM255" s="147" t="s">
        <v>438</v>
      </c>
      <c r="AN255" s="147" t="s">
        <v>503</v>
      </c>
      <c r="AO255" s="147" t="s">
        <v>504</v>
      </c>
      <c r="AP255" s="147" t="s">
        <v>323</v>
      </c>
      <c r="AQ255" s="48"/>
      <c r="AR255" s="48"/>
      <c r="AS255" s="48"/>
      <c r="AT255" s="147" t="s">
        <v>0</v>
      </c>
      <c r="AU255" s="147" t="s">
        <v>1</v>
      </c>
      <c r="AV255" s="147" t="s">
        <v>513</v>
      </c>
      <c r="AW255" s="159" t="s">
        <v>520</v>
      </c>
      <c r="AX255" s="141" t="s">
        <v>530</v>
      </c>
      <c r="AY255" s="157" t="s">
        <v>178</v>
      </c>
      <c r="AZ255" s="44">
        <v>12</v>
      </c>
      <c r="BA255" s="172" t="str">
        <f>IF(AW258&lt;=AZ255,"OK","REDIS")</f>
        <v>OK</v>
      </c>
      <c r="BB255" s="384" t="s">
        <v>535</v>
      </c>
      <c r="BC255" s="120" t="s">
        <v>178</v>
      </c>
      <c r="BD255" s="44">
        <v>4.3</v>
      </c>
      <c r="BE255" s="172" t="str">
        <f>IF(AW258&lt;=BD255,"OK","REDIS")</f>
        <v>OK</v>
      </c>
      <c r="BG255" s="65" t="s">
        <v>179</v>
      </c>
      <c r="BH255" s="66">
        <v>210</v>
      </c>
      <c r="BI255" s="88" t="s">
        <v>180</v>
      </c>
      <c r="BJ255" s="74" t="s">
        <v>181</v>
      </c>
      <c r="BK255" s="74" t="s">
        <v>182</v>
      </c>
      <c r="BL255" s="74" t="s">
        <v>183</v>
      </c>
      <c r="BM255" s="74" t="s">
        <v>165</v>
      </c>
      <c r="BN255" s="74" t="s">
        <v>184</v>
      </c>
      <c r="BO255" s="74" t="s">
        <v>185</v>
      </c>
      <c r="BP255" s="74" t="s">
        <v>186</v>
      </c>
      <c r="BQ255" s="74" t="s">
        <v>187</v>
      </c>
      <c r="BR255" s="74" t="s">
        <v>188</v>
      </c>
      <c r="BS255" s="74" t="s">
        <v>189</v>
      </c>
      <c r="BT255" s="74" t="s">
        <v>190</v>
      </c>
      <c r="BU255" s="75" t="s">
        <v>191</v>
      </c>
      <c r="BV255" s="89"/>
    </row>
    <row r="256" spans="1:74" ht="15.75" thickBot="1" x14ac:dyDescent="0.3">
      <c r="A256" s="371" t="s">
        <v>747</v>
      </c>
      <c r="B256" s="371" t="s">
        <v>353</v>
      </c>
      <c r="C256" s="371" t="s">
        <v>352</v>
      </c>
      <c r="D256" s="378">
        <v>0.16</v>
      </c>
      <c r="E256" s="378">
        <v>-0.16</v>
      </c>
      <c r="F256" s="378">
        <v>6.63</v>
      </c>
      <c r="G256" s="378">
        <v>0.16</v>
      </c>
      <c r="H256" s="378">
        <v>0.14000000000000001</v>
      </c>
      <c r="I256" s="378">
        <v>0</v>
      </c>
      <c r="K256" s="33"/>
      <c r="L256" t="s">
        <v>800</v>
      </c>
      <c r="M256" s="34">
        <f>D255+D256+D257</f>
        <v>-3.87</v>
      </c>
      <c r="N256" s="34">
        <f>E255+E256+E257</f>
        <v>-0.27</v>
      </c>
      <c r="O256" s="34">
        <f>F255+F256+F257</f>
        <v>28.2</v>
      </c>
      <c r="P256" s="34">
        <f>G255+G256+G257</f>
        <v>0.18</v>
      </c>
      <c r="Q256" s="34">
        <f>H255+0.25*H256+H257</f>
        <v>-3.5949999999999998</v>
      </c>
      <c r="R256" s="35">
        <f>I255+0.25*I256+I257</f>
        <v>0</v>
      </c>
      <c r="S256" s="17"/>
      <c r="T256" s="29"/>
      <c r="U256" s="29" t="s">
        <v>375</v>
      </c>
      <c r="V256" s="23">
        <f t="shared" si="288"/>
        <v>28.2</v>
      </c>
      <c r="W256" s="23">
        <f t="shared" si="288"/>
        <v>0.18</v>
      </c>
      <c r="X256" s="23">
        <f t="shared" si="288"/>
        <v>-3.5949999999999998</v>
      </c>
      <c r="Y256" s="29">
        <f>1.33*Y255</f>
        <v>15.96</v>
      </c>
      <c r="Z256" s="31">
        <f>ABS(V256)/AC256/AD256</f>
        <v>9.7577854671280289</v>
      </c>
      <c r="AA256" s="23">
        <f>ABS(+W256/V256)</f>
        <v>6.382978723404255E-3</v>
      </c>
      <c r="AB256" s="23">
        <f>ABS(X256/V256)</f>
        <v>0.1274822695035461</v>
      </c>
      <c r="AC256" s="36">
        <f t="shared" ref="AC256:AD259" si="290">AC255</f>
        <v>1.7</v>
      </c>
      <c r="AD256" s="37">
        <f t="shared" si="290"/>
        <v>1.7</v>
      </c>
      <c r="AE256" s="22">
        <f t="shared" si="289"/>
        <v>1.6872340425531915</v>
      </c>
      <c r="AF256" s="22">
        <f t="shared" si="289"/>
        <v>1.4450354609929077</v>
      </c>
      <c r="AG256" s="22">
        <f>AF256*AE256</f>
        <v>2.4381130224837784</v>
      </c>
      <c r="AH256" s="38">
        <f>V256/AG256</f>
        <v>11.566321880874833</v>
      </c>
      <c r="AJ256" s="147" t="s">
        <v>539</v>
      </c>
      <c r="AK256" s="148">
        <v>300</v>
      </c>
      <c r="AL256" s="148">
        <v>500</v>
      </c>
      <c r="AM256" s="148">
        <v>28</v>
      </c>
      <c r="AN256" s="380">
        <v>500</v>
      </c>
      <c r="AO256" s="380">
        <v>700</v>
      </c>
      <c r="AP256" s="380">
        <v>24</v>
      </c>
      <c r="AQ256" s="48"/>
      <c r="AR256" s="48"/>
      <c r="AS256" s="48"/>
      <c r="AT256" s="381">
        <v>6</v>
      </c>
      <c r="AU256" s="381">
        <v>3</v>
      </c>
      <c r="AV256" s="380">
        <f>+AT256*2+(AU256-2)*2</f>
        <v>14</v>
      </c>
      <c r="AW256" s="159">
        <v>1.2</v>
      </c>
      <c r="AX256" s="155" t="s">
        <v>538</v>
      </c>
      <c r="AY256" s="180">
        <f>+AV256</f>
        <v>14</v>
      </c>
      <c r="BA256" s="154"/>
      <c r="BB256" s="177" t="s">
        <v>537</v>
      </c>
      <c r="BC256" s="179">
        <v>1.25</v>
      </c>
      <c r="BD256" s="166" t="s">
        <v>526</v>
      </c>
      <c r="BE256" s="154"/>
      <c r="BG256" s="67" t="s">
        <v>192</v>
      </c>
      <c r="BH256" s="68">
        <v>4200</v>
      </c>
      <c r="BI256" s="90">
        <f>IF(6000*(1-BH260/BV254)&gt;BH256,BH256,6000*(1-BH260/BV254))</f>
        <v>171.42857142857082</v>
      </c>
      <c r="BJ256" s="91">
        <f>ABS(BH254)-BJ260</f>
        <v>-11.056510634765626</v>
      </c>
      <c r="BK256" s="77">
        <f>IF(BQ254=0,0,+BJ256*100000/(BH257*BI256*(BH259-BH260)))</f>
        <v>0</v>
      </c>
      <c r="BL256" s="77">
        <f>+BK256*BI256/BH256</f>
        <v>0</v>
      </c>
      <c r="BM256" s="77">
        <f>+BL256+BU254</f>
        <v>18.593749999999996</v>
      </c>
      <c r="BN256" s="92">
        <f>2*BP254</f>
        <v>2.1250000000000002E-2</v>
      </c>
      <c r="BO256" s="92">
        <f>+BM256/BH258/BH259</f>
        <v>7.4374999999999988E-3</v>
      </c>
      <c r="BP256" s="79">
        <f>+BO256*BK256/BM256</f>
        <v>0</v>
      </c>
      <c r="BQ256" s="77">
        <f>6000*BH258/(6000+BH256)</f>
        <v>58.823529411764703</v>
      </c>
      <c r="BR256" s="79">
        <f>IF(6000*(1-BH260/BQ256)&gt;BH256,BH256,6000*(1-BH260/BQ256))</f>
        <v>4200</v>
      </c>
      <c r="BS256" s="92">
        <f>+BN256+BP256*BR256/BH256</f>
        <v>2.1250000000000002E-2</v>
      </c>
      <c r="BT256" s="92">
        <f>0.5*BS256</f>
        <v>1.0625000000000001E-2</v>
      </c>
      <c r="BU256" s="201" t="str">
        <f>IF(BN254&gt;BT256,"NO DUCTIL","DUCTIL")</f>
        <v>DUCTIL</v>
      </c>
      <c r="BV256" s="81"/>
    </row>
    <row r="257" spans="1:74" ht="15.75" thickBot="1" x14ac:dyDescent="0.3">
      <c r="A257" s="371" t="s">
        <v>747</v>
      </c>
      <c r="B257" s="371" t="s">
        <v>354</v>
      </c>
      <c r="C257" s="371" t="s">
        <v>352</v>
      </c>
      <c r="D257" s="378">
        <v>-4.34</v>
      </c>
      <c r="E257" s="378">
        <v>0.12</v>
      </c>
      <c r="F257" s="378">
        <v>2.63</v>
      </c>
      <c r="G257" s="378">
        <v>-0.18</v>
      </c>
      <c r="H257" s="378">
        <v>-3.92</v>
      </c>
      <c r="I257" s="378">
        <v>0</v>
      </c>
      <c r="K257" s="33"/>
      <c r="L257" t="s">
        <v>801</v>
      </c>
      <c r="M257" s="34">
        <f>D255+D256-D257</f>
        <v>4.8099999999999996</v>
      </c>
      <c r="N257" s="34">
        <f>E255+E256-E257</f>
        <v>-0.51</v>
      </c>
      <c r="O257" s="34">
        <f>F255+F256-F257</f>
        <v>22.94</v>
      </c>
      <c r="P257" s="34">
        <f>G255+G256-G257</f>
        <v>0.54</v>
      </c>
      <c r="Q257" s="34">
        <f>H255+0.25*H256-H257</f>
        <v>4.2450000000000001</v>
      </c>
      <c r="R257" s="35">
        <f>I255+0.25*I256-I257</f>
        <v>0</v>
      </c>
      <c r="S257" s="17"/>
      <c r="T257" s="29"/>
      <c r="U257" s="29" t="s">
        <v>376</v>
      </c>
      <c r="V257" s="23">
        <f t="shared" si="288"/>
        <v>22.94</v>
      </c>
      <c r="W257" s="23">
        <f t="shared" si="288"/>
        <v>0.54</v>
      </c>
      <c r="X257" s="23">
        <f t="shared" si="288"/>
        <v>4.2450000000000001</v>
      </c>
      <c r="Y257" s="29"/>
      <c r="Z257" s="31">
        <f>ABS(V257)/AC257/AD257</f>
        <v>7.9377162629757798</v>
      </c>
      <c r="AA257" s="23">
        <f>ABS(+W257/V257)</f>
        <v>2.3539668700959023E-2</v>
      </c>
      <c r="AB257" s="23">
        <f>ABS(X257/V257)</f>
        <v>0.18504795117698342</v>
      </c>
      <c r="AC257" s="36">
        <f t="shared" si="290"/>
        <v>1.7</v>
      </c>
      <c r="AD257" s="37">
        <f t="shared" si="290"/>
        <v>1.7</v>
      </c>
      <c r="AE257" s="22">
        <f t="shared" si="289"/>
        <v>1.6529206625980819</v>
      </c>
      <c r="AF257" s="22">
        <f t="shared" si="289"/>
        <v>1.329904097646033</v>
      </c>
      <c r="AG257" s="22">
        <f>AF257*AE257</f>
        <v>2.1982259622729852</v>
      </c>
      <c r="AH257" s="38">
        <f>V257/AG257</f>
        <v>10.435687865445752</v>
      </c>
      <c r="AJ257" s="146" t="s">
        <v>514</v>
      </c>
      <c r="AK257" s="145"/>
      <c r="AL257" s="145"/>
      <c r="AM257" s="145"/>
      <c r="AN257" s="139"/>
      <c r="AO257" s="146" t="s">
        <v>507</v>
      </c>
      <c r="AP257" s="145" t="s">
        <v>626</v>
      </c>
      <c r="AQ257" s="145">
        <f>0.6*AR254</f>
        <v>2100</v>
      </c>
      <c r="AR257" s="212" t="s">
        <v>627</v>
      </c>
      <c r="AS257" s="211">
        <f>+AR258+AR259</f>
        <v>3956.5972222222217</v>
      </c>
      <c r="AT257" s="48" t="s">
        <v>515</v>
      </c>
      <c r="AU257" s="48"/>
      <c r="AV257" s="48" t="s">
        <v>518</v>
      </c>
      <c r="AW257" s="160"/>
      <c r="AX257" s="155" t="s">
        <v>524</v>
      </c>
      <c r="AY257" s="182">
        <f>IF(BC256=(1+1/4),+(1+3/8),IF(BC256=1,(1+1/8),IF(BC256=(7/8),1,IF(BC256=(3/4),+(7/8),IF(BC256=(5/8),+(3/4),IF(BC256=(1/2),(9/16),IF(BC256=(3/8),+(7/16),"no valido")))))))</f>
        <v>1.375</v>
      </c>
      <c r="AZ257" s="165" t="s">
        <v>526</v>
      </c>
      <c r="BA257" s="172" t="s">
        <v>531</v>
      </c>
      <c r="BB257" s="178" t="s">
        <v>529</v>
      </c>
      <c r="BC257" s="158">
        <f>+AY258+3</f>
        <v>13.75</v>
      </c>
      <c r="BD257" s="166" t="s">
        <v>526</v>
      </c>
      <c r="BE257" s="172" t="s">
        <v>531</v>
      </c>
      <c r="BG257" s="67" t="s">
        <v>193</v>
      </c>
      <c r="BH257" s="68">
        <v>0.9</v>
      </c>
      <c r="BI257" s="202" t="s">
        <v>197</v>
      </c>
      <c r="BJ257" s="93">
        <v>0.7</v>
      </c>
      <c r="BK257" s="98" t="s">
        <v>202</v>
      </c>
      <c r="BL257" s="99"/>
      <c r="BM257" s="203"/>
      <c r="BN257" s="100"/>
      <c r="BO257" s="101"/>
      <c r="BR257" s="98" t="s">
        <v>203</v>
      </c>
      <c r="BS257" s="99"/>
      <c r="BT257" s="203"/>
      <c r="BU257" s="100"/>
      <c r="BV257" s="101"/>
    </row>
    <row r="258" spans="1:74" ht="15.75" thickBot="1" x14ac:dyDescent="0.3">
      <c r="A258" s="371" t="s">
        <v>747</v>
      </c>
      <c r="B258" s="371" t="s">
        <v>355</v>
      </c>
      <c r="C258" s="371" t="s">
        <v>352</v>
      </c>
      <c r="D258" s="378">
        <v>-0.02</v>
      </c>
      <c r="E258" s="378">
        <v>-4.5</v>
      </c>
      <c r="F258" s="378">
        <v>1.96</v>
      </c>
      <c r="G258" s="378">
        <v>6.79</v>
      </c>
      <c r="H258" s="378">
        <v>-0.02</v>
      </c>
      <c r="I258" s="378">
        <v>0</v>
      </c>
      <c r="K258" s="33"/>
      <c r="L258" t="s">
        <v>802</v>
      </c>
      <c r="M258" s="34">
        <f>D255+D256+D258</f>
        <v>0.44999999999999996</v>
      </c>
      <c r="N258" s="34">
        <f>E255+E256+E258</f>
        <v>-4.8899999999999997</v>
      </c>
      <c r="O258" s="34">
        <f>F255+F256+F258</f>
        <v>27.53</v>
      </c>
      <c r="P258" s="34">
        <f>G255+G256+G258</f>
        <v>7.15</v>
      </c>
      <c r="Q258" s="34">
        <f>H255+0.25*H256+H258</f>
        <v>0.30499999999999994</v>
      </c>
      <c r="R258" s="35">
        <f>I255+0.25*I256+I258</f>
        <v>0</v>
      </c>
      <c r="S258" s="17"/>
      <c r="T258" s="29"/>
      <c r="U258" s="29" t="s">
        <v>377</v>
      </c>
      <c r="V258" s="23">
        <f t="shared" si="288"/>
        <v>27.53</v>
      </c>
      <c r="W258" s="23">
        <f t="shared" si="288"/>
        <v>7.15</v>
      </c>
      <c r="X258" s="23">
        <f t="shared" si="288"/>
        <v>0.30499999999999994</v>
      </c>
      <c r="Y258" s="29"/>
      <c r="Z258" s="31">
        <f>ABS(V258)/AC258/AD258</f>
        <v>9.5259515570934266</v>
      </c>
      <c r="AA258" s="23">
        <f>ABS(+W258/V258)</f>
        <v>0.25971667272066834</v>
      </c>
      <c r="AB258" s="23">
        <f>ABS(X258/V258)</f>
        <v>1.1078823102070466E-2</v>
      </c>
      <c r="AC258" s="36">
        <f t="shared" si="290"/>
        <v>1.7</v>
      </c>
      <c r="AD258" s="37">
        <f t="shared" si="290"/>
        <v>1.7</v>
      </c>
      <c r="AE258" s="22">
        <f t="shared" si="289"/>
        <v>1.1805666545586633</v>
      </c>
      <c r="AF258" s="22">
        <f t="shared" si="289"/>
        <v>1.6778423537958591</v>
      </c>
      <c r="AG258" s="22">
        <f>AF258*AE258</f>
        <v>1.9808047344976105</v>
      </c>
      <c r="AH258" s="38">
        <f>V258/AG258</f>
        <v>13.898391658975111</v>
      </c>
      <c r="AJ258" s="147" t="s">
        <v>500</v>
      </c>
      <c r="AK258" s="24">
        <f>(MAX(V255:V259)+ABS(MAX(W255:W259))/(AL256/1000))*1000</f>
        <v>42500</v>
      </c>
      <c r="AL258" s="150" t="s">
        <v>502</v>
      </c>
      <c r="AM258" s="24">
        <f>+ABS(MAX(AK258:AK259))/(+AK256*2/10+AL256*2/10)/(AP256/10)</f>
        <v>110.67708333333334</v>
      </c>
      <c r="AN258" s="151" t="str">
        <f>IF(AM258&lt;=AM259,"OK","REDIS")</f>
        <v>OK</v>
      </c>
      <c r="AO258" s="150" t="s">
        <v>508</v>
      </c>
      <c r="AP258" s="24">
        <f>((AO256/10/2-AL256/10/2)/2)*((MAX(ABS(MAX(W255:W259)),ABS(MIN(W255:W259)))*100000))/(AL256/10)</f>
        <v>71500</v>
      </c>
      <c r="AQ258" s="150" t="s">
        <v>510</v>
      </c>
      <c r="AR258" s="24">
        <f>+AP258/(AK256*AP256*AP256/6/10/10/10)</f>
        <v>2482.6388888888887</v>
      </c>
      <c r="AS258" s="152" t="str">
        <f>IF(AR258&lt;=0.6*AR254*1.1,"OK","REDIS")</f>
        <v>REDIS</v>
      </c>
      <c r="AT258" s="24" t="s">
        <v>516</v>
      </c>
      <c r="AU258" s="174">
        <f>+AW256*(AP258/100000)/((AO256-AL256)/1000/4)/(AT256-1)</f>
        <v>3.4319999999999999</v>
      </c>
      <c r="AV258" s="24" t="s">
        <v>519</v>
      </c>
      <c r="AW258" s="175">
        <f>+AW256*(ABS(MAX(M255:M259))+ABS(MIN(M255:M259)+ABS(MAX(N255:N259))+ABS(MIN(N255:N259))))/AV256</f>
        <v>0.85199999999999998</v>
      </c>
      <c r="AX258" s="155" t="s">
        <v>525</v>
      </c>
      <c r="AY258" s="383">
        <f>IF(BC256=(1+1/4),+(11-1/4),IF(BC256=1,(9),IF(BC256=(7/8),(7-7/8),IF(BC256=(3/4),+(6-3/4),IF(BC256=(5/8),+(5-5/8),IF(BC256=(1/2),(4-1/2),IF(BC256=(3-3/8),+(7/16),"no valido")))))))</f>
        <v>10.75</v>
      </c>
      <c r="AZ258" s="166" t="s">
        <v>526</v>
      </c>
      <c r="BA258" s="168" t="s">
        <v>533</v>
      </c>
      <c r="BB258" s="153" t="s">
        <v>521</v>
      </c>
      <c r="BC258" s="44">
        <f>+AV256</f>
        <v>14</v>
      </c>
      <c r="BD258" s="166" t="s">
        <v>527</v>
      </c>
      <c r="BE258" s="162" t="s">
        <v>534</v>
      </c>
      <c r="BG258" s="67" t="s">
        <v>194</v>
      </c>
      <c r="BH258" s="68">
        <v>100</v>
      </c>
      <c r="BI258" s="94" t="s">
        <v>169</v>
      </c>
      <c r="BJ258" s="96">
        <f>+BJ257*BP254</f>
        <v>7.4374999999999997E-3</v>
      </c>
      <c r="BK258" s="204" t="s">
        <v>380</v>
      </c>
      <c r="BL258" s="103">
        <f>1.3*1*(BH252-0.1-BK252)*BO252</f>
        <v>20.279999999999998</v>
      </c>
      <c r="BM258" s="104" t="s">
        <v>176</v>
      </c>
      <c r="BN258" s="74" t="s">
        <v>177</v>
      </c>
      <c r="BO258" s="105" t="s">
        <v>178</v>
      </c>
      <c r="BR258" s="204" t="s">
        <v>380</v>
      </c>
      <c r="BS258" s="103">
        <f>(+BH252*BH252-BK252*BK252)*1.3*BO252</f>
        <v>43.679999999999993</v>
      </c>
      <c r="BT258" s="104" t="s">
        <v>176</v>
      </c>
      <c r="BU258" s="74" t="s">
        <v>177</v>
      </c>
      <c r="BV258" s="105" t="s">
        <v>178</v>
      </c>
    </row>
    <row r="259" spans="1:74" ht="15.75" thickBot="1" x14ac:dyDescent="0.3">
      <c r="A259" s="371" t="s">
        <v>747</v>
      </c>
      <c r="B259" s="371" t="s">
        <v>806</v>
      </c>
      <c r="C259" s="371" t="s">
        <v>389</v>
      </c>
      <c r="D259" s="369"/>
      <c r="E259" s="369"/>
      <c r="F259" s="369"/>
      <c r="G259" s="369"/>
      <c r="H259" s="369"/>
      <c r="I259" s="369"/>
      <c r="K259" s="39"/>
      <c r="L259" s="368" t="s">
        <v>803</v>
      </c>
      <c r="M259" s="41">
        <f>D255+D256-D258</f>
        <v>0.49</v>
      </c>
      <c r="N259" s="41">
        <f>E255+E256-E258</f>
        <v>4.1100000000000003</v>
      </c>
      <c r="O259" s="41">
        <f>F255+F256-F258</f>
        <v>23.61</v>
      </c>
      <c r="P259" s="41">
        <f>G255+G256-G258</f>
        <v>-6.43</v>
      </c>
      <c r="Q259" s="41">
        <f>H255+0.25*H256-H258</f>
        <v>0.34499999999999997</v>
      </c>
      <c r="R259" s="42">
        <f>I255+0.25*I256-I258</f>
        <v>0</v>
      </c>
      <c r="S259" s="17"/>
      <c r="T259" s="29"/>
      <c r="U259" s="29" t="s">
        <v>378</v>
      </c>
      <c r="V259" s="23">
        <f t="shared" si="288"/>
        <v>23.61</v>
      </c>
      <c r="W259" s="23">
        <f t="shared" si="288"/>
        <v>-6.43</v>
      </c>
      <c r="X259" s="23">
        <f t="shared" si="288"/>
        <v>0.34499999999999997</v>
      </c>
      <c r="Y259" s="29"/>
      <c r="Z259" s="31">
        <f>ABS(V259)/AC259/AD259</f>
        <v>8.1695501730103803</v>
      </c>
      <c r="AA259" s="23">
        <f>ABS(+W259/V259)</f>
        <v>0.27234222786954682</v>
      </c>
      <c r="AB259" s="23">
        <f>ABS(X259/V259)</f>
        <v>1.4612452350698855E-2</v>
      </c>
      <c r="AC259" s="36">
        <f t="shared" si="290"/>
        <v>1.7</v>
      </c>
      <c r="AD259" s="37">
        <f t="shared" si="290"/>
        <v>1.7</v>
      </c>
      <c r="AE259" s="22">
        <f t="shared" si="289"/>
        <v>1.1553155442609064</v>
      </c>
      <c r="AF259" s="22">
        <f t="shared" si="289"/>
        <v>1.6707750952986022</v>
      </c>
      <c r="AG259" s="22">
        <f>AF259*AE259</f>
        <v>1.9302724385624725</v>
      </c>
      <c r="AH259" s="38">
        <f>V259/AG259</f>
        <v>12.231434034038751</v>
      </c>
      <c r="AJ259" s="147" t="s">
        <v>501</v>
      </c>
      <c r="AK259" s="24">
        <f>(MAX(V255:V259)+ABS(MAX(X255:X259))/(AK256/1000))*1000</f>
        <v>42350</v>
      </c>
      <c r="AL259" s="150" t="s">
        <v>505</v>
      </c>
      <c r="AM259" s="24">
        <f>+AR254*0.4/3</f>
        <v>466.66666666666669</v>
      </c>
      <c r="AN259" s="24"/>
      <c r="AO259" s="150" t="s">
        <v>509</v>
      </c>
      <c r="AP259" s="24">
        <f>((AN256/10/2-AK256/10/2)/2)*(MAX(+ABS(MAX(X255:X259)),ABS(MIN(X255:X259)))*100000/(AK256/10))</f>
        <v>70750</v>
      </c>
      <c r="AQ259" s="150" t="s">
        <v>511</v>
      </c>
      <c r="AR259" s="24">
        <f>+AP259/(AL256*AP256*AP256/6/1000)</f>
        <v>1473.9583333333333</v>
      </c>
      <c r="AS259" s="152" t="str">
        <f>IF(AR259&lt;=0.6*AR254*1.1,"OK","REDIS")</f>
        <v>OK</v>
      </c>
      <c r="AT259" s="24" t="s">
        <v>517</v>
      </c>
      <c r="AU259" s="174">
        <f>+AW256*(AP259/100000)/((AN256-AK256)/1000/4)/(AU256-1)</f>
        <v>8.4899999999999984</v>
      </c>
      <c r="AV259" s="24"/>
      <c r="AW259" s="161"/>
      <c r="AX259" s="156" t="s">
        <v>522</v>
      </c>
      <c r="AY259" s="181">
        <f>IF(AY257=(1+3/8),+AV256/3,IF(AY257=(1+1/8),+AV256/6,IF(AY257=1,+AV256/8,IF(AY257=(7/8),+AV256/11,IF(AY257=0.75,+AV256/18,IF(AY257=(9/16),+AV256/45,IF(AY257=(7/16),+AV256/84,"NO HAY DATO")))))))</f>
        <v>4.666666666666667</v>
      </c>
      <c r="AZ259" s="167" t="s">
        <v>527</v>
      </c>
      <c r="BA259" s="386">
        <f>ROUNDUP(+AY258*2.54,0)</f>
        <v>28</v>
      </c>
      <c r="BB259" s="164" t="s">
        <v>523</v>
      </c>
      <c r="BC259" s="129">
        <f>+BC258*BC257*2.54/100</f>
        <v>4.8895</v>
      </c>
      <c r="BD259" s="173" t="s">
        <v>528</v>
      </c>
      <c r="BE259" s="385">
        <f>ROUNDUP(+BC257*2.54,0)</f>
        <v>35</v>
      </c>
      <c r="BG259" s="67" t="s">
        <v>195</v>
      </c>
      <c r="BH259" s="68">
        <f>+BK252*100-5</f>
        <v>25</v>
      </c>
      <c r="BI259" s="94" t="s">
        <v>373</v>
      </c>
      <c r="BJ259" s="96">
        <f>+BJ258*BH256/BH255</f>
        <v>0.14874999999999999</v>
      </c>
      <c r="BK259" s="106"/>
      <c r="BL259" s="48"/>
      <c r="BM259" s="102">
        <f>SQRT(BH255)*0.53*BH258*BH259/1000</f>
        <v>19.201074188701003</v>
      </c>
      <c r="BN259" s="73">
        <f>SQRT(BH255)*0.93*BH258*BH259/1000</f>
        <v>33.692450934890445</v>
      </c>
      <c r="BO259" s="205" t="str">
        <f>IF(BL258&lt;BN259,"OK","REDIS")</f>
        <v>OK</v>
      </c>
      <c r="BR259" s="106"/>
      <c r="BS259" s="48"/>
      <c r="BT259" s="102">
        <f>SQRT(BH255)*0.53*(+BK252*100*4+0.3*2+0.4*2)*BK252*100/1000</f>
        <v>27.972124878099624</v>
      </c>
      <c r="BU259" s="73">
        <f>+BT259*0.93/0.53</f>
        <v>49.083162521948402</v>
      </c>
      <c r="BV259" s="205" t="str">
        <f>IF(BS258&lt;BU259,"OK","REDIS")</f>
        <v>OK</v>
      </c>
    </row>
    <row r="260" spans="1:74" ht="15.75" thickBot="1" x14ac:dyDescent="0.3">
      <c r="A260" s="371" t="s">
        <v>747</v>
      </c>
      <c r="B260" s="371" t="s">
        <v>807</v>
      </c>
      <c r="C260" s="371" t="s">
        <v>389</v>
      </c>
      <c r="D260" s="369"/>
      <c r="E260" s="369"/>
      <c r="F260" s="369"/>
      <c r="G260" s="369"/>
      <c r="H260" s="369"/>
      <c r="I260" s="369"/>
      <c r="K260" s="25" t="s">
        <v>357</v>
      </c>
      <c r="L260" s="26" t="s">
        <v>358</v>
      </c>
      <c r="M260" s="27" t="s">
        <v>359</v>
      </c>
      <c r="N260" s="27" t="s">
        <v>360</v>
      </c>
      <c r="O260" s="27" t="s">
        <v>361</v>
      </c>
      <c r="P260" s="27" t="s">
        <v>362</v>
      </c>
      <c r="Q260" s="27" t="s">
        <v>363</v>
      </c>
      <c r="R260" s="28" t="s">
        <v>364</v>
      </c>
      <c r="S260" s="17"/>
      <c r="T260" s="29" t="s">
        <v>365</v>
      </c>
      <c r="U260" s="29" t="s">
        <v>358</v>
      </c>
      <c r="V260" s="30" t="s">
        <v>361</v>
      </c>
      <c r="W260" s="30" t="s">
        <v>362</v>
      </c>
      <c r="X260" s="30" t="s">
        <v>363</v>
      </c>
      <c r="Y260" s="29" t="s">
        <v>366</v>
      </c>
      <c r="Z260" s="31" t="s">
        <v>367</v>
      </c>
      <c r="AA260" s="23" t="s">
        <v>368</v>
      </c>
      <c r="AB260" s="23" t="s">
        <v>369</v>
      </c>
      <c r="AC260" s="22" t="s">
        <v>0</v>
      </c>
      <c r="AD260" s="22" t="s">
        <v>1</v>
      </c>
      <c r="AE260" s="22" t="s">
        <v>370</v>
      </c>
      <c r="AF260" s="22" t="s">
        <v>371</v>
      </c>
      <c r="AG260" s="22" t="s">
        <v>372</v>
      </c>
      <c r="AH260" s="32" t="s">
        <v>373</v>
      </c>
      <c r="AJ260" s="143" t="s">
        <v>365</v>
      </c>
      <c r="AK260" s="144" t="s">
        <v>498</v>
      </c>
      <c r="AL260" s="145"/>
      <c r="AM260" s="139"/>
      <c r="AN260" s="146" t="s">
        <v>499</v>
      </c>
      <c r="AO260" s="145"/>
      <c r="AP260" s="139"/>
      <c r="AQ260" s="147" t="s">
        <v>506</v>
      </c>
      <c r="AR260" s="48">
        <v>3500</v>
      </c>
      <c r="AS260" s="147" t="s">
        <v>405</v>
      </c>
      <c r="AT260" s="146" t="s">
        <v>512</v>
      </c>
      <c r="AU260" s="145"/>
      <c r="AV260" s="145"/>
      <c r="AW260" s="145"/>
      <c r="AX260" s="382" t="s">
        <v>532</v>
      </c>
      <c r="AY260" s="157" t="s">
        <v>515</v>
      </c>
      <c r="AZ260" s="169">
        <v>6.9</v>
      </c>
      <c r="BA260" s="171" t="str">
        <f>IF(MAX(AU264:AU265)&lt;=AZ260,"OK","REDIS")</f>
        <v>REDIS</v>
      </c>
      <c r="BB260" s="382" t="s">
        <v>536</v>
      </c>
      <c r="BC260" s="170" t="s">
        <v>515</v>
      </c>
      <c r="BD260" s="169">
        <v>8.36</v>
      </c>
      <c r="BE260" s="171" t="str">
        <f>IF(MAX(AU264:AU265)&lt;=BD260,"OK","REDIS")</f>
        <v>REDIS</v>
      </c>
      <c r="BG260" s="71" t="s">
        <v>196</v>
      </c>
      <c r="BH260" s="72">
        <v>5</v>
      </c>
      <c r="BI260" s="95" t="s">
        <v>198</v>
      </c>
      <c r="BJ260" s="97">
        <f>+BH257*BH255*BH258*BH259*BH259*BJ259*(1-0.59*BJ259)/100000</f>
        <v>16.029010634765626</v>
      </c>
      <c r="BK260" s="107"/>
      <c r="BL260" s="80"/>
      <c r="BM260" s="206"/>
      <c r="BN260" s="78"/>
      <c r="BO260" s="108"/>
      <c r="BR260" s="107"/>
      <c r="BS260" s="80"/>
      <c r="BT260" s="206"/>
      <c r="BU260" s="78"/>
      <c r="BV260" s="108"/>
    </row>
    <row r="261" spans="1:74" ht="15" x14ac:dyDescent="0.25">
      <c r="A261" s="371" t="s">
        <v>748</v>
      </c>
      <c r="B261" s="371" t="s">
        <v>351</v>
      </c>
      <c r="C261" s="371" t="s">
        <v>352</v>
      </c>
      <c r="D261" s="378">
        <v>0.52</v>
      </c>
      <c r="E261" s="378">
        <v>0</v>
      </c>
      <c r="F261" s="378">
        <v>28.65</v>
      </c>
      <c r="G261" s="378">
        <v>-0.02</v>
      </c>
      <c r="H261" s="378">
        <v>0.52</v>
      </c>
      <c r="I261" s="378">
        <v>0</v>
      </c>
      <c r="K261" s="33" t="str">
        <f>+A261</f>
        <v>30</v>
      </c>
      <c r="L261" s="17" t="s">
        <v>374</v>
      </c>
      <c r="M261" s="34">
        <f t="shared" ref="M261:R261" si="291">D261+D262</f>
        <v>0.76</v>
      </c>
      <c r="N261" s="34">
        <f t="shared" si="291"/>
        <v>-7.0000000000000007E-2</v>
      </c>
      <c r="O261" s="34">
        <f t="shared" si="291"/>
        <v>42.21</v>
      </c>
      <c r="P261" s="34">
        <f t="shared" si="291"/>
        <v>0.05</v>
      </c>
      <c r="Q261" s="34">
        <f t="shared" si="291"/>
        <v>0.75</v>
      </c>
      <c r="R261" s="35">
        <f t="shared" si="291"/>
        <v>0</v>
      </c>
      <c r="S261" s="17"/>
      <c r="T261" s="29" t="str">
        <f>K261</f>
        <v>30</v>
      </c>
      <c r="U261" s="29" t="s">
        <v>374</v>
      </c>
      <c r="V261" s="23">
        <f t="shared" ref="V261:X265" si="292">O261</f>
        <v>42.21</v>
      </c>
      <c r="W261" s="23">
        <f t="shared" si="292"/>
        <v>0.05</v>
      </c>
      <c r="X261" s="23">
        <f t="shared" si="292"/>
        <v>0.75</v>
      </c>
      <c r="Y261" s="29">
        <v>12</v>
      </c>
      <c r="Z261" s="31">
        <f>ABS(V261)/AC261/AD261</f>
        <v>11.692520775623269</v>
      </c>
      <c r="AA261" s="23">
        <f>ABS(+W261/V261)</f>
        <v>1.1845534233593936E-3</v>
      </c>
      <c r="AB261" s="23">
        <f>ABS(X261/V261)</f>
        <v>1.7768301350390901E-2</v>
      </c>
      <c r="AC261" s="36">
        <v>1.9</v>
      </c>
      <c r="AD261" s="37">
        <v>1.9</v>
      </c>
      <c r="AE261" s="22">
        <f t="shared" ref="AE261:AF265" si="293">AC261-2*AA261</f>
        <v>1.897630893153281</v>
      </c>
      <c r="AF261" s="22">
        <f t="shared" si="293"/>
        <v>1.8644633972992182</v>
      </c>
      <c r="AG261" s="22">
        <f>AF261*AE261</f>
        <v>3.5380633418685159</v>
      </c>
      <c r="AH261" s="38">
        <f>V261/AG261</f>
        <v>11.930255600711808</v>
      </c>
      <c r="AJ261" s="379" t="str">
        <f>+A261</f>
        <v>30</v>
      </c>
      <c r="AK261" s="147" t="s">
        <v>0</v>
      </c>
      <c r="AL261" s="147" t="s">
        <v>1</v>
      </c>
      <c r="AM261" s="147" t="s">
        <v>438</v>
      </c>
      <c r="AN261" s="147" t="s">
        <v>503</v>
      </c>
      <c r="AO261" s="147" t="s">
        <v>504</v>
      </c>
      <c r="AP261" s="147" t="s">
        <v>323</v>
      </c>
      <c r="AQ261" s="48"/>
      <c r="AR261" s="48"/>
      <c r="AS261" s="48"/>
      <c r="AT261" s="147" t="s">
        <v>0</v>
      </c>
      <c r="AU261" s="147" t="s">
        <v>1</v>
      </c>
      <c r="AV261" s="147" t="s">
        <v>513</v>
      </c>
      <c r="AW261" s="159" t="s">
        <v>520</v>
      </c>
      <c r="AX261" s="141" t="s">
        <v>530</v>
      </c>
      <c r="AY261" s="157" t="s">
        <v>178</v>
      </c>
      <c r="AZ261" s="44">
        <v>12</v>
      </c>
      <c r="BA261" s="172" t="str">
        <f>IF(AW264&lt;=AZ261,"OK","REDIS")</f>
        <v>OK</v>
      </c>
      <c r="BB261" s="384" t="s">
        <v>535</v>
      </c>
      <c r="BC261" s="120" t="s">
        <v>178</v>
      </c>
      <c r="BD261" s="44">
        <v>4.3</v>
      </c>
      <c r="BE261" s="172" t="str">
        <f>IF(AW264&lt;=BD261,"OK","REDIS")</f>
        <v>OK</v>
      </c>
    </row>
    <row r="262" spans="1:74" ht="15" x14ac:dyDescent="0.25">
      <c r="A262" s="371" t="s">
        <v>748</v>
      </c>
      <c r="B262" s="371" t="s">
        <v>353</v>
      </c>
      <c r="C262" s="371" t="s">
        <v>352</v>
      </c>
      <c r="D262" s="378">
        <v>0.24</v>
      </c>
      <c r="E262" s="378">
        <v>-7.0000000000000007E-2</v>
      </c>
      <c r="F262" s="378">
        <v>13.56</v>
      </c>
      <c r="G262" s="378">
        <v>7.0000000000000007E-2</v>
      </c>
      <c r="H262" s="378">
        <v>0.23</v>
      </c>
      <c r="I262" s="378">
        <v>0</v>
      </c>
      <c r="K262" s="33"/>
      <c r="L262" t="s">
        <v>800</v>
      </c>
      <c r="M262" s="34">
        <f>D261+D262+D263</f>
        <v>-4.3100000000000005</v>
      </c>
      <c r="N262" s="34">
        <f>E261+E262+E263</f>
        <v>1.999999999999999E-2</v>
      </c>
      <c r="O262" s="34">
        <f>F261+F262+F263</f>
        <v>47.370000000000005</v>
      </c>
      <c r="P262" s="34">
        <f>G261+G262+G263</f>
        <v>-0.12000000000000001</v>
      </c>
      <c r="Q262" s="34">
        <f>H261+0.25*H262+H263</f>
        <v>-3.6625000000000001</v>
      </c>
      <c r="R262" s="35">
        <f>I261+0.25*I262+I263</f>
        <v>0</v>
      </c>
      <c r="S262" s="17"/>
      <c r="T262" s="29"/>
      <c r="U262" s="29" t="s">
        <v>375</v>
      </c>
      <c r="V262" s="23">
        <f t="shared" si="292"/>
        <v>47.370000000000005</v>
      </c>
      <c r="W262" s="23">
        <f t="shared" si="292"/>
        <v>-0.12000000000000001</v>
      </c>
      <c r="X262" s="23">
        <f t="shared" si="292"/>
        <v>-3.6625000000000001</v>
      </c>
      <c r="Y262" s="29">
        <f>1.33*Y261</f>
        <v>15.96</v>
      </c>
      <c r="Z262" s="31">
        <f>ABS(V262)/AC262/AD262</f>
        <v>13.121883656509699</v>
      </c>
      <c r="AA262" s="23">
        <f>ABS(+W262/V262)</f>
        <v>2.5332488917036099E-3</v>
      </c>
      <c r="AB262" s="23">
        <f>ABS(X262/V262)</f>
        <v>7.7316867215537252E-2</v>
      </c>
      <c r="AC262" s="36">
        <f t="shared" ref="AC262:AD265" si="294">AC261</f>
        <v>1.9</v>
      </c>
      <c r="AD262" s="37">
        <f t="shared" si="294"/>
        <v>1.9</v>
      </c>
      <c r="AE262" s="22">
        <f t="shared" si="293"/>
        <v>1.8949335022165927</v>
      </c>
      <c r="AF262" s="22">
        <f t="shared" si="293"/>
        <v>1.7453662655689255</v>
      </c>
      <c r="AG262" s="22">
        <f>AF262*AE262</f>
        <v>3.3073530102652198</v>
      </c>
      <c r="AH262" s="38">
        <f>V262/AG262</f>
        <v>14.322631981822031</v>
      </c>
      <c r="AJ262" s="147" t="s">
        <v>539</v>
      </c>
      <c r="AK262" s="148">
        <v>300</v>
      </c>
      <c r="AL262" s="148">
        <v>500</v>
      </c>
      <c r="AM262" s="148">
        <v>28</v>
      </c>
      <c r="AN262" s="380">
        <v>500</v>
      </c>
      <c r="AO262" s="380">
        <v>700</v>
      </c>
      <c r="AP262" s="380">
        <v>18</v>
      </c>
      <c r="AQ262" s="48"/>
      <c r="AR262" s="48"/>
      <c r="AS262" s="48"/>
      <c r="AT262" s="381">
        <v>6</v>
      </c>
      <c r="AU262" s="381">
        <v>3</v>
      </c>
      <c r="AV262" s="380">
        <f>+AT262*2+(AU262-2)*2</f>
        <v>14</v>
      </c>
      <c r="AW262" s="159">
        <v>1.2</v>
      </c>
      <c r="AX262" s="155" t="s">
        <v>538</v>
      </c>
      <c r="AY262" s="180">
        <f>+AV262</f>
        <v>14</v>
      </c>
      <c r="BA262" s="154"/>
      <c r="BB262" s="177" t="s">
        <v>537</v>
      </c>
      <c r="BC262" s="179">
        <v>1.25</v>
      </c>
      <c r="BD262" s="166" t="s">
        <v>526</v>
      </c>
      <c r="BE262" s="154"/>
      <c r="BG262" s="9" t="s">
        <v>204</v>
      </c>
    </row>
    <row r="263" spans="1:74" ht="15.75" thickBot="1" x14ac:dyDescent="0.3">
      <c r="A263" s="371" t="s">
        <v>748</v>
      </c>
      <c r="B263" s="371" t="s">
        <v>354</v>
      </c>
      <c r="C263" s="371" t="s">
        <v>352</v>
      </c>
      <c r="D263" s="378">
        <v>-5.07</v>
      </c>
      <c r="E263" s="378">
        <v>0.09</v>
      </c>
      <c r="F263" s="378">
        <v>5.16</v>
      </c>
      <c r="G263" s="378">
        <v>-0.17</v>
      </c>
      <c r="H263" s="378">
        <v>-4.24</v>
      </c>
      <c r="I263" s="378">
        <v>0</v>
      </c>
      <c r="K263" s="33"/>
      <c r="L263" t="s">
        <v>801</v>
      </c>
      <c r="M263" s="34">
        <f>D261+D262-D263</f>
        <v>5.83</v>
      </c>
      <c r="N263" s="34">
        <f>E261+E262-E263</f>
        <v>-0.16</v>
      </c>
      <c r="O263" s="34">
        <f>F261+F262-F263</f>
        <v>37.049999999999997</v>
      </c>
      <c r="P263" s="34">
        <f>G261+G262-G263</f>
        <v>0.22000000000000003</v>
      </c>
      <c r="Q263" s="34">
        <f>H261+0.25*H262-H263</f>
        <v>4.8174999999999999</v>
      </c>
      <c r="R263" s="35">
        <f>I261+0.25*I262-I263</f>
        <v>0</v>
      </c>
      <c r="S263" s="17"/>
      <c r="T263" s="29"/>
      <c r="U263" s="29" t="s">
        <v>376</v>
      </c>
      <c r="V263" s="23">
        <f t="shared" si="292"/>
        <v>37.049999999999997</v>
      </c>
      <c r="W263" s="23">
        <f t="shared" si="292"/>
        <v>0.22000000000000003</v>
      </c>
      <c r="X263" s="23">
        <f t="shared" si="292"/>
        <v>4.8174999999999999</v>
      </c>
      <c r="Y263" s="29"/>
      <c r="Z263" s="31">
        <f>ABS(V263)/AC263/AD263</f>
        <v>10.263157894736842</v>
      </c>
      <c r="AA263" s="23">
        <f>ABS(+W263/V263)</f>
        <v>5.9379217273954127E-3</v>
      </c>
      <c r="AB263" s="23">
        <f>ABS(X263/V263)</f>
        <v>0.13002699055330635</v>
      </c>
      <c r="AC263" s="36">
        <f t="shared" si="294"/>
        <v>1.9</v>
      </c>
      <c r="AD263" s="37">
        <f t="shared" si="294"/>
        <v>1.9</v>
      </c>
      <c r="AE263" s="22">
        <f t="shared" si="293"/>
        <v>1.8881241565452092</v>
      </c>
      <c r="AF263" s="22">
        <f t="shared" si="293"/>
        <v>1.6399460188933872</v>
      </c>
      <c r="AG263" s="22">
        <f>AF263*AE263</f>
        <v>3.0964216937027502</v>
      </c>
      <c r="AH263" s="38">
        <f>V263/AG263</f>
        <v>11.965424501239371</v>
      </c>
      <c r="AJ263" s="146" t="s">
        <v>514</v>
      </c>
      <c r="AK263" s="145"/>
      <c r="AL263" s="145"/>
      <c r="AM263" s="145"/>
      <c r="AN263" s="139"/>
      <c r="AO263" s="146" t="s">
        <v>507</v>
      </c>
      <c r="AP263" s="145" t="s">
        <v>626</v>
      </c>
      <c r="AQ263" s="145">
        <f>0.6*AR260</f>
        <v>2100</v>
      </c>
      <c r="AR263" s="212" t="s">
        <v>627</v>
      </c>
      <c r="AS263" s="211">
        <f>+AR264+AR265</f>
        <v>7560.1851851851861</v>
      </c>
      <c r="AT263" s="48" t="s">
        <v>515</v>
      </c>
      <c r="AU263" s="48"/>
      <c r="AV263" s="48" t="s">
        <v>518</v>
      </c>
      <c r="AW263" s="160"/>
      <c r="AX263" s="155" t="s">
        <v>524</v>
      </c>
      <c r="AY263" s="182">
        <f>IF(BC262=(1+1/4),+(1+3/8),IF(BC262=1,(1+1/8),IF(BC262=(7/8),1,IF(BC262=(3/4),+(7/8),IF(BC262=(5/8),+(3/4),IF(BC262=(1/2),(9/16),IF(BC262=(3/8),+(7/16),"no valido")))))))</f>
        <v>1.375</v>
      </c>
      <c r="AZ263" s="165" t="s">
        <v>526</v>
      </c>
      <c r="BA263" s="172" t="s">
        <v>531</v>
      </c>
      <c r="BB263" s="178" t="s">
        <v>529</v>
      </c>
      <c r="BC263" s="158">
        <f>+AY264+3</f>
        <v>13.75</v>
      </c>
      <c r="BD263" s="166" t="s">
        <v>526</v>
      </c>
      <c r="BE263" s="172" t="s">
        <v>531</v>
      </c>
      <c r="BG263" s="109" t="s">
        <v>199</v>
      </c>
      <c r="BH263" s="142">
        <v>1.8</v>
      </c>
      <c r="BJ263" s="109" t="s">
        <v>385</v>
      </c>
      <c r="BK263" s="142">
        <v>0.35</v>
      </c>
      <c r="BM263" s="110" t="s">
        <v>200</v>
      </c>
      <c r="BN263" s="110"/>
      <c r="BO263" s="110">
        <v>12</v>
      </c>
      <c r="BP263" s="110" t="s">
        <v>386</v>
      </c>
      <c r="BQ263" t="s">
        <v>201</v>
      </c>
    </row>
    <row r="264" spans="1:74" ht="15.75" thickBot="1" x14ac:dyDescent="0.3">
      <c r="A264" s="371" t="s">
        <v>748</v>
      </c>
      <c r="B264" s="371" t="s">
        <v>355</v>
      </c>
      <c r="C264" s="371" t="s">
        <v>352</v>
      </c>
      <c r="D264" s="378">
        <v>0.11</v>
      </c>
      <c r="E264" s="378">
        <v>-5.71</v>
      </c>
      <c r="F264" s="378">
        <v>6.3</v>
      </c>
      <c r="G264" s="378">
        <v>7.38</v>
      </c>
      <c r="H264" s="378">
        <v>0.13</v>
      </c>
      <c r="I264" s="378">
        <v>0</v>
      </c>
      <c r="K264" s="33"/>
      <c r="L264" t="s">
        <v>802</v>
      </c>
      <c r="M264" s="34">
        <f>D261+D262+D264</f>
        <v>0.87</v>
      </c>
      <c r="N264" s="34">
        <f>E261+E262+E264</f>
        <v>-5.78</v>
      </c>
      <c r="O264" s="34">
        <f>F261+F262+F264</f>
        <v>48.51</v>
      </c>
      <c r="P264" s="34">
        <f>G261+G262+G264</f>
        <v>7.43</v>
      </c>
      <c r="Q264" s="34">
        <f>H261+0.25*H262+H264</f>
        <v>0.70750000000000002</v>
      </c>
      <c r="R264" s="35">
        <f>I261+0.25*I262+I264</f>
        <v>0</v>
      </c>
      <c r="S264" s="17"/>
      <c r="T264" s="29"/>
      <c r="U264" s="29" t="s">
        <v>377</v>
      </c>
      <c r="V264" s="23">
        <f t="shared" si="292"/>
        <v>48.51</v>
      </c>
      <c r="W264" s="23">
        <f t="shared" si="292"/>
        <v>7.43</v>
      </c>
      <c r="X264" s="23">
        <f t="shared" si="292"/>
        <v>0.70750000000000002</v>
      </c>
      <c r="Y264" s="29"/>
      <c r="Z264" s="31">
        <f>ABS(V264)/AC264/AD264</f>
        <v>13.437673130193906</v>
      </c>
      <c r="AA264" s="23">
        <f>ABS(+W264/V264)</f>
        <v>0.15316429602143888</v>
      </c>
      <c r="AB264" s="23">
        <f>ABS(X264/V264)</f>
        <v>1.4584621727478871E-2</v>
      </c>
      <c r="AC264" s="36">
        <f t="shared" si="294"/>
        <v>1.9</v>
      </c>
      <c r="AD264" s="37">
        <f t="shared" si="294"/>
        <v>1.9</v>
      </c>
      <c r="AE264" s="22">
        <f t="shared" si="293"/>
        <v>1.5936714079571221</v>
      </c>
      <c r="AF264" s="22">
        <f t="shared" si="293"/>
        <v>1.8708307565450422</v>
      </c>
      <c r="AG264" s="22">
        <f>AF264*AE264</f>
        <v>2.9814894858326255</v>
      </c>
      <c r="AH264" s="38">
        <f>V264/AG264</f>
        <v>16.270391101665368</v>
      </c>
      <c r="AJ264" s="147" t="s">
        <v>500</v>
      </c>
      <c r="AK264" s="24">
        <f>(MAX(V261:V265)+ABS(MAX(W261:W265))/(AL262/1000))*1000</f>
        <v>63370</v>
      </c>
      <c r="AL264" s="150" t="s">
        <v>502</v>
      </c>
      <c r="AM264" s="24">
        <f>+ABS(MAX(AK264:AK265))/(+AK262*2/10+AL262*2/10)/(AP262/10)</f>
        <v>224.19560185185185</v>
      </c>
      <c r="AN264" s="151" t="str">
        <f>IF(AM264&lt;=AM265,"OK","REDIS")</f>
        <v>OK</v>
      </c>
      <c r="AO264" s="150" t="s">
        <v>508</v>
      </c>
      <c r="AP264" s="24">
        <f>((AO262/10/2-AL262/10/2)/2)*((MAX(ABS(MAX(W261:W265)),ABS(MIN(W261:W265)))*100000))/(AL262/10)</f>
        <v>74300</v>
      </c>
      <c r="AQ264" s="150" t="s">
        <v>510</v>
      </c>
      <c r="AR264" s="24">
        <f>+AP264/(AK262*AP262*AP262/6/10/10/10)</f>
        <v>4586.4197530864203</v>
      </c>
      <c r="AS264" s="152" t="str">
        <f>IF(AR264&lt;=0.6*AR260*1.1,"OK","REDIS")</f>
        <v>REDIS</v>
      </c>
      <c r="AT264" s="24" t="s">
        <v>516</v>
      </c>
      <c r="AU264" s="174">
        <f>+AW262*(AP264/100000)/((AO262-AL262)/1000/4)/(AT262-1)</f>
        <v>3.5663999999999993</v>
      </c>
      <c r="AV264" s="24" t="s">
        <v>519</v>
      </c>
      <c r="AW264" s="175">
        <f>+AW262*(ABS(MAX(M261:M265))+ABS(MIN(M261:M265)+ABS(MAX(N261:N265))+ABS(MIN(N261:N265))))/AV262</f>
        <v>1.109142857142857</v>
      </c>
      <c r="AX264" s="155" t="s">
        <v>525</v>
      </c>
      <c r="AY264" s="383">
        <f>IF(BC262=(1+1/4),+(11-1/4),IF(BC262=1,(9),IF(BC262=(7/8),(7-7/8),IF(BC262=(3/4),+(6-3/4),IF(BC262=(5/8),+(5-5/8),IF(BC262=(1/2),(4-1/2),IF(BC262=(3-3/8),+(7/16),"no valido")))))))</f>
        <v>10.75</v>
      </c>
      <c r="AZ264" s="166" t="s">
        <v>526</v>
      </c>
      <c r="BA264" s="168" t="s">
        <v>533</v>
      </c>
      <c r="BB264" s="153" t="s">
        <v>521</v>
      </c>
      <c r="BC264" s="44">
        <f>+AV262</f>
        <v>14</v>
      </c>
      <c r="BD264" s="166" t="s">
        <v>527</v>
      </c>
      <c r="BE264" s="162" t="s">
        <v>534</v>
      </c>
      <c r="BG264" s="122" t="s">
        <v>164</v>
      </c>
      <c r="BH264" s="193" t="e">
        <f>+#REF!</f>
        <v>#REF!</v>
      </c>
      <c r="BI264" s="196" t="s">
        <v>165</v>
      </c>
      <c r="BJ264" s="197" t="s">
        <v>166</v>
      </c>
      <c r="BK264" s="74" t="s">
        <v>2</v>
      </c>
      <c r="BL264" s="74" t="s">
        <v>167</v>
      </c>
      <c r="BM264" s="75" t="s">
        <v>168</v>
      </c>
      <c r="BN264" s="74" t="s">
        <v>169</v>
      </c>
      <c r="BO264" s="74" t="s">
        <v>170</v>
      </c>
      <c r="BP264" s="74" t="s">
        <v>171</v>
      </c>
      <c r="BQ264" s="75" t="s">
        <v>172</v>
      </c>
      <c r="BR264" s="74" t="s">
        <v>173</v>
      </c>
      <c r="BS264" s="74" t="s">
        <v>174</v>
      </c>
      <c r="BT264" s="74" t="s">
        <v>165</v>
      </c>
      <c r="BU264" s="74" t="s">
        <v>175</v>
      </c>
      <c r="BV264" s="76" t="s">
        <v>407</v>
      </c>
    </row>
    <row r="265" spans="1:74" ht="15.75" thickBot="1" x14ac:dyDescent="0.3">
      <c r="A265" s="371" t="s">
        <v>748</v>
      </c>
      <c r="B265" s="371" t="s">
        <v>806</v>
      </c>
      <c r="C265" s="371" t="s">
        <v>389</v>
      </c>
      <c r="D265" s="369"/>
      <c r="E265" s="369"/>
      <c r="F265" s="369"/>
      <c r="G265" s="369"/>
      <c r="H265" s="369"/>
      <c r="I265" s="369"/>
      <c r="K265" s="39"/>
      <c r="L265" s="368" t="s">
        <v>803</v>
      </c>
      <c r="M265" s="41">
        <f>D261+D262-D264</f>
        <v>0.65</v>
      </c>
      <c r="N265" s="41">
        <f>E261+E262-E264</f>
        <v>5.64</v>
      </c>
      <c r="O265" s="41">
        <f>F261+F262-F264</f>
        <v>35.910000000000004</v>
      </c>
      <c r="P265" s="41">
        <f>G261+G262-G264</f>
        <v>-7.33</v>
      </c>
      <c r="Q265" s="41">
        <f>H261+0.25*H262-H264</f>
        <v>0.44750000000000001</v>
      </c>
      <c r="R265" s="42">
        <f>I261+0.25*I262-I264</f>
        <v>0</v>
      </c>
      <c r="S265" s="17"/>
      <c r="T265" s="29"/>
      <c r="U265" s="29" t="s">
        <v>378</v>
      </c>
      <c r="V265" s="23">
        <f t="shared" si="292"/>
        <v>35.910000000000004</v>
      </c>
      <c r="W265" s="23">
        <f t="shared" si="292"/>
        <v>-7.33</v>
      </c>
      <c r="X265" s="23">
        <f t="shared" si="292"/>
        <v>0.44750000000000001</v>
      </c>
      <c r="Y265" s="29"/>
      <c r="Z265" s="31">
        <f>ABS(V265)/AC265/AD265</f>
        <v>9.9473684210526336</v>
      </c>
      <c r="AA265" s="23">
        <f>ABS(+W265/V265)</f>
        <v>0.20412141464773043</v>
      </c>
      <c r="AB265" s="23">
        <f>ABS(X265/V265)</f>
        <v>1.2461709830130882E-2</v>
      </c>
      <c r="AC265" s="36">
        <f t="shared" si="294"/>
        <v>1.9</v>
      </c>
      <c r="AD265" s="37">
        <f t="shared" si="294"/>
        <v>1.9</v>
      </c>
      <c r="AE265" s="22">
        <f t="shared" si="293"/>
        <v>1.4917571707045392</v>
      </c>
      <c r="AF265" s="22">
        <f t="shared" si="293"/>
        <v>1.8750765803397382</v>
      </c>
      <c r="AG265" s="22">
        <f>AF265*AE265</f>
        <v>2.7971589343419505</v>
      </c>
      <c r="AH265" s="38">
        <f>V265/AG265</f>
        <v>12.83802631274081</v>
      </c>
      <c r="AJ265" s="147" t="s">
        <v>501</v>
      </c>
      <c r="AK265" s="24">
        <f>(MAX(V261:V265)+ABS(MAX(X261:X265))/(AK262/1000))*1000</f>
        <v>64568.333333333328</v>
      </c>
      <c r="AL265" s="150" t="s">
        <v>505</v>
      </c>
      <c r="AM265" s="24">
        <f>+AR260*0.4/3</f>
        <v>466.66666666666669</v>
      </c>
      <c r="AN265" s="24"/>
      <c r="AO265" s="150" t="s">
        <v>509</v>
      </c>
      <c r="AP265" s="24">
        <f>((AN262/10/2-AK262/10/2)/2)*(MAX(+ABS(MAX(X261:X265)),ABS(MIN(X261:X265)))*100000/(AK262/10))</f>
        <v>80291.666666666672</v>
      </c>
      <c r="AQ265" s="150" t="s">
        <v>511</v>
      </c>
      <c r="AR265" s="24">
        <f>+AP265/(AL262*AP262*AP262/6/1000)</f>
        <v>2973.7654320987658</v>
      </c>
      <c r="AS265" s="152" t="str">
        <f>IF(AR265&lt;=0.6*AR260*1.1,"OK","REDIS")</f>
        <v>REDIS</v>
      </c>
      <c r="AT265" s="24" t="s">
        <v>517</v>
      </c>
      <c r="AU265" s="174">
        <f>+AW262*(AP265/100000)/((AN262-AK262)/1000/4)/(AU262-1)</f>
        <v>9.6349999999999998</v>
      </c>
      <c r="AV265" s="24"/>
      <c r="AW265" s="161"/>
      <c r="AX265" s="156" t="s">
        <v>522</v>
      </c>
      <c r="AY265" s="181">
        <f>IF(AY263=(1+3/8),+AV262/3,IF(AY263=(1+1/8),+AV262/6,IF(AY263=1,+AV262/8,IF(AY263=(7/8),+AV262/11,IF(AY263=0.75,+AV262/18,IF(AY263=(9/16),+AV262/45,IF(AY263=(7/16),+AV262/84,"NO HAY DATO")))))))</f>
        <v>4.666666666666667</v>
      </c>
      <c r="AZ265" s="167" t="s">
        <v>527</v>
      </c>
      <c r="BA265" s="386">
        <f>ROUNDUP(+AY264*2.54,0)</f>
        <v>28</v>
      </c>
      <c r="BB265" s="164" t="s">
        <v>523</v>
      </c>
      <c r="BC265" s="129">
        <f>+BC264*BC263*2.54/100</f>
        <v>4.8895</v>
      </c>
      <c r="BD265" s="173" t="s">
        <v>528</v>
      </c>
      <c r="BE265" s="385">
        <f>ROUNDUP(+BC263*2.54,0)</f>
        <v>35</v>
      </c>
      <c r="BG265" s="123" t="s">
        <v>390</v>
      </c>
      <c r="BH265" s="43">
        <f>1.3*((BH263-0.2)/2)*1*((BH263)/4)*BO263</f>
        <v>5.6160000000000005</v>
      </c>
      <c r="BI265" s="198">
        <f>IF(BQ265=0,BT265,BM267)</f>
        <v>10.000000000000002</v>
      </c>
      <c r="BJ265" s="199">
        <f>IF(BQ265=0,0,BK267)</f>
        <v>0</v>
      </c>
      <c r="BK265" s="82">
        <f>ABS(BH265)*100000/(BH268*BH269*BH270*BH270*BH266)</f>
        <v>3.3015873015873019E-2</v>
      </c>
      <c r="BL265" s="82">
        <f>1-2.36*BK265</f>
        <v>0.92208253968253973</v>
      </c>
      <c r="BM265" s="200" t="str">
        <f>IF(BL265&gt;=0,"OK","OTRA SECCION")</f>
        <v>OK</v>
      </c>
      <c r="BN265" s="83">
        <f>+(BH266/BH267)*((1-SQRT(BL265))/1.18)</f>
        <v>1.684267378708847E-3</v>
      </c>
      <c r="BO265" s="84">
        <f>IF(BH266&gt;280,(IF((0.85-(0.08*(BH266-280)/70))&gt;=0.65,0.65,(0.85-(0.05*(BH266-280)))/70)),0.85)</f>
        <v>0.85</v>
      </c>
      <c r="BP265" s="85">
        <f>0.5*((0.85*BH266*BO265*6000)/(BH267*(6000+BH267)))</f>
        <v>1.0625000000000001E-2</v>
      </c>
      <c r="BQ265" s="200">
        <f>IF(BN265&gt;BP265,1,0)</f>
        <v>0</v>
      </c>
      <c r="BR265" s="86">
        <f>14/BH267*BH269*BH270</f>
        <v>10.000000000000002</v>
      </c>
      <c r="BS265" s="82">
        <f>+BN265*BH269*BH270</f>
        <v>5.0528021361265409</v>
      </c>
      <c r="BT265" s="82">
        <f>IF(BS265&gt;BR265,BS265,BR265)</f>
        <v>10.000000000000002</v>
      </c>
      <c r="BU265" s="82">
        <f>+BJ269*BH269*BH270</f>
        <v>22.312499999999996</v>
      </c>
      <c r="BV265" s="87">
        <f>+BU265*BH267/(0.85*BH266*BH269*BO265)</f>
        <v>6.1764705882352935</v>
      </c>
    </row>
    <row r="266" spans="1:74" ht="15" x14ac:dyDescent="0.25">
      <c r="A266" s="371" t="s">
        <v>748</v>
      </c>
      <c r="B266" s="371" t="s">
        <v>807</v>
      </c>
      <c r="C266" s="371" t="s">
        <v>389</v>
      </c>
      <c r="D266" s="369"/>
      <c r="E266" s="369"/>
      <c r="F266" s="369"/>
      <c r="G266" s="369"/>
      <c r="H266" s="369"/>
      <c r="I266" s="369"/>
      <c r="K266" s="25" t="s">
        <v>357</v>
      </c>
      <c r="L266" s="26" t="s">
        <v>358</v>
      </c>
      <c r="M266" s="27" t="s">
        <v>359</v>
      </c>
      <c r="N266" s="27" t="s">
        <v>360</v>
      </c>
      <c r="O266" s="27" t="s">
        <v>361</v>
      </c>
      <c r="P266" s="27" t="s">
        <v>362</v>
      </c>
      <c r="Q266" s="27" t="s">
        <v>363</v>
      </c>
      <c r="R266" s="28" t="s">
        <v>364</v>
      </c>
      <c r="S266" s="17"/>
      <c r="T266" s="29" t="s">
        <v>365</v>
      </c>
      <c r="U266" s="29" t="s">
        <v>358</v>
      </c>
      <c r="V266" s="30" t="s">
        <v>361</v>
      </c>
      <c r="W266" s="30" t="s">
        <v>362</v>
      </c>
      <c r="X266" s="30" t="s">
        <v>363</v>
      </c>
      <c r="Y266" s="29" t="s">
        <v>366</v>
      </c>
      <c r="Z266" s="31" t="s">
        <v>367</v>
      </c>
      <c r="AA266" s="23" t="s">
        <v>368</v>
      </c>
      <c r="AB266" s="23" t="s">
        <v>369</v>
      </c>
      <c r="AC266" s="22" t="s">
        <v>0</v>
      </c>
      <c r="AD266" s="22" t="s">
        <v>1</v>
      </c>
      <c r="AE266" s="22" t="s">
        <v>370</v>
      </c>
      <c r="AF266" s="22" t="s">
        <v>371</v>
      </c>
      <c r="AG266" s="22" t="s">
        <v>372</v>
      </c>
      <c r="AH266" s="32" t="s">
        <v>373</v>
      </c>
      <c r="AJ266" s="143" t="s">
        <v>365</v>
      </c>
      <c r="AK266" s="144" t="s">
        <v>498</v>
      </c>
      <c r="AL266" s="145"/>
      <c r="AM266" s="139"/>
      <c r="AN266" s="146" t="s">
        <v>499</v>
      </c>
      <c r="AO266" s="145"/>
      <c r="AP266" s="139"/>
      <c r="AQ266" s="147" t="s">
        <v>506</v>
      </c>
      <c r="AR266" s="48">
        <v>3500</v>
      </c>
      <c r="AS266" s="147" t="s">
        <v>405</v>
      </c>
      <c r="AT266" s="146" t="s">
        <v>512</v>
      </c>
      <c r="AU266" s="145"/>
      <c r="AV266" s="145"/>
      <c r="AW266" s="145"/>
      <c r="AX266" s="382" t="s">
        <v>532</v>
      </c>
      <c r="AY266" s="157" t="s">
        <v>515</v>
      </c>
      <c r="AZ266" s="169">
        <v>6.9</v>
      </c>
      <c r="BA266" s="171" t="str">
        <f>IF(MAX(AU270:AU271)&lt;=AZ266,"OK","REDIS")</f>
        <v>OK</v>
      </c>
      <c r="BB266" s="382" t="s">
        <v>536</v>
      </c>
      <c r="BC266" s="170" t="s">
        <v>515</v>
      </c>
      <c r="BD266" s="169">
        <v>8.36</v>
      </c>
      <c r="BE266" s="171" t="str">
        <f>IF(MAX(AU270:AU271)&lt;=BD266,"OK","REDIS")</f>
        <v>OK</v>
      </c>
      <c r="BG266" s="65" t="s">
        <v>179</v>
      </c>
      <c r="BH266" s="66">
        <v>210</v>
      </c>
      <c r="BI266" s="88" t="s">
        <v>180</v>
      </c>
      <c r="BJ266" s="74" t="s">
        <v>181</v>
      </c>
      <c r="BK266" s="74" t="s">
        <v>182</v>
      </c>
      <c r="BL266" s="74" t="s">
        <v>183</v>
      </c>
      <c r="BM266" s="74" t="s">
        <v>165</v>
      </c>
      <c r="BN266" s="74" t="s">
        <v>184</v>
      </c>
      <c r="BO266" s="74" t="s">
        <v>185</v>
      </c>
      <c r="BP266" s="74" t="s">
        <v>186</v>
      </c>
      <c r="BQ266" s="74" t="s">
        <v>187</v>
      </c>
      <c r="BR266" s="74" t="s">
        <v>188</v>
      </c>
      <c r="BS266" s="74" t="s">
        <v>189</v>
      </c>
      <c r="BT266" s="74" t="s">
        <v>190</v>
      </c>
      <c r="BU266" s="75" t="s">
        <v>191</v>
      </c>
      <c r="BV266" s="89"/>
    </row>
    <row r="267" spans="1:74" ht="15.75" thickBot="1" x14ac:dyDescent="0.3">
      <c r="A267" s="371" t="s">
        <v>749</v>
      </c>
      <c r="B267" s="371" t="s">
        <v>351</v>
      </c>
      <c r="C267" s="371" t="s">
        <v>352</v>
      </c>
      <c r="D267" s="378">
        <v>-0.24</v>
      </c>
      <c r="E267" s="378">
        <v>0.04</v>
      </c>
      <c r="F267" s="378">
        <v>12.18</v>
      </c>
      <c r="G267" s="378">
        <v>-7.0000000000000007E-2</v>
      </c>
      <c r="H267" s="378">
        <v>-0.28000000000000003</v>
      </c>
      <c r="I267" s="378">
        <v>0</v>
      </c>
      <c r="K267" s="33" t="str">
        <f>+A267</f>
        <v>31</v>
      </c>
      <c r="L267" s="17" t="s">
        <v>374</v>
      </c>
      <c r="M267" s="34">
        <f t="shared" ref="M267:R267" si="295">D267+D268</f>
        <v>-0.37</v>
      </c>
      <c r="N267" s="34">
        <f t="shared" si="295"/>
        <v>0.06</v>
      </c>
      <c r="O267" s="34">
        <f t="shared" si="295"/>
        <v>16.22</v>
      </c>
      <c r="P267" s="34">
        <f t="shared" si="295"/>
        <v>-0.1</v>
      </c>
      <c r="Q267" s="34">
        <f t="shared" si="295"/>
        <v>-0.44000000000000006</v>
      </c>
      <c r="R267" s="35">
        <f t="shared" si="295"/>
        <v>0</v>
      </c>
      <c r="S267" s="17"/>
      <c r="T267" s="29" t="str">
        <f>K267</f>
        <v>31</v>
      </c>
      <c r="U267" s="29" t="s">
        <v>374</v>
      </c>
      <c r="V267" s="23">
        <f t="shared" ref="V267:X271" si="296">O267</f>
        <v>16.22</v>
      </c>
      <c r="W267" s="23">
        <f t="shared" si="296"/>
        <v>-0.1</v>
      </c>
      <c r="X267" s="23">
        <f t="shared" si="296"/>
        <v>-0.44000000000000006</v>
      </c>
      <c r="Y267" s="29">
        <v>15</v>
      </c>
      <c r="Z267" s="31">
        <f>ABS(V267)/AC267/AD267</f>
        <v>7.2088888888888887</v>
      </c>
      <c r="AA267" s="23">
        <f>ABS(+W267/V267)</f>
        <v>6.1652281134401982E-3</v>
      </c>
      <c r="AB267" s="23">
        <f>ABS(X267/V267)</f>
        <v>2.7127003699136874E-2</v>
      </c>
      <c r="AC267" s="36">
        <v>1.5</v>
      </c>
      <c r="AD267" s="37">
        <v>1.5</v>
      </c>
      <c r="AE267" s="22">
        <f t="shared" ref="AE267:AF271" si="297">AC267-2*AA267</f>
        <v>1.4876695437731196</v>
      </c>
      <c r="AF267" s="22">
        <f t="shared" si="297"/>
        <v>1.4457459926017262</v>
      </c>
      <c r="AG267" s="22">
        <f>AF267*AE267</f>
        <v>2.1507922812256259</v>
      </c>
      <c r="AH267" s="38">
        <f>V267/AG267</f>
        <v>7.5414070161889626</v>
      </c>
      <c r="AJ267" s="379" t="str">
        <f>+A267</f>
        <v>31</v>
      </c>
      <c r="AK267" s="147" t="s">
        <v>0</v>
      </c>
      <c r="AL267" s="147" t="s">
        <v>1</v>
      </c>
      <c r="AM267" s="147" t="s">
        <v>438</v>
      </c>
      <c r="AN267" s="147" t="s">
        <v>503</v>
      </c>
      <c r="AO267" s="147" t="s">
        <v>504</v>
      </c>
      <c r="AP267" s="147" t="s">
        <v>323</v>
      </c>
      <c r="AQ267" s="48"/>
      <c r="AR267" s="48"/>
      <c r="AS267" s="48"/>
      <c r="AT267" s="147" t="s">
        <v>0</v>
      </c>
      <c r="AU267" s="147" t="s">
        <v>1</v>
      </c>
      <c r="AV267" s="147" t="s">
        <v>513</v>
      </c>
      <c r="AW267" s="159" t="s">
        <v>520</v>
      </c>
      <c r="AX267" s="141" t="s">
        <v>530</v>
      </c>
      <c r="AY267" s="157" t="s">
        <v>178</v>
      </c>
      <c r="AZ267" s="44">
        <v>12</v>
      </c>
      <c r="BA267" s="172" t="str">
        <f>IF(AW270&lt;=AZ267,"OK","REDIS")</f>
        <v>OK</v>
      </c>
      <c r="BB267" s="384" t="s">
        <v>535</v>
      </c>
      <c r="BC267" s="120" t="s">
        <v>178</v>
      </c>
      <c r="BD267" s="44">
        <v>4.3</v>
      </c>
      <c r="BE267" s="172" t="str">
        <f>IF(AW270&lt;=BD267,"OK","REDIS")</f>
        <v>OK</v>
      </c>
      <c r="BG267" s="67" t="s">
        <v>192</v>
      </c>
      <c r="BH267" s="68">
        <v>4200</v>
      </c>
      <c r="BI267" s="90">
        <f>IF(6000*(1-BH271/BV265)&gt;BH267,BH267,6000*(1-BH271/BV265))</f>
        <v>1142.8571428571422</v>
      </c>
      <c r="BJ267" s="91">
        <f>ABS(BH265)-BJ271</f>
        <v>-17.465775314062505</v>
      </c>
      <c r="BK267" s="77">
        <f>IF(BQ265=0,0,+BJ267*100000/(BH268*BI267*(BH270-BH271)))</f>
        <v>0</v>
      </c>
      <c r="BL267" s="77">
        <f>+BK267*BI267/BH267</f>
        <v>0</v>
      </c>
      <c r="BM267" s="77">
        <f>+BL267+BU265</f>
        <v>22.312499999999996</v>
      </c>
      <c r="BN267" s="92">
        <f>2*BP265</f>
        <v>2.1250000000000002E-2</v>
      </c>
      <c r="BO267" s="92">
        <f>+BM267/BH269/BH270</f>
        <v>7.4374999999999988E-3</v>
      </c>
      <c r="BP267" s="79">
        <f>+BO267*BK267/BM267</f>
        <v>0</v>
      </c>
      <c r="BQ267" s="77">
        <f>6000*BH269/(6000+BH267)</f>
        <v>58.823529411764703</v>
      </c>
      <c r="BR267" s="79">
        <f>IF(6000*(1-BH271/BQ267)&gt;BH267,BH267,6000*(1-BH271/BQ267))</f>
        <v>4200</v>
      </c>
      <c r="BS267" s="92">
        <f>+BN267+BP267*BR267/BH267</f>
        <v>2.1250000000000002E-2</v>
      </c>
      <c r="BT267" s="92">
        <f>0.5*BS267</f>
        <v>1.0625000000000001E-2</v>
      </c>
      <c r="BU267" s="201" t="str">
        <f>IF(BN265&gt;BT267,"NO DUCTIL","DUCTIL")</f>
        <v>DUCTIL</v>
      </c>
      <c r="BV267" s="81"/>
    </row>
    <row r="268" spans="1:74" ht="15.75" thickBot="1" x14ac:dyDescent="0.3">
      <c r="A268" s="371" t="s">
        <v>749</v>
      </c>
      <c r="B268" s="371" t="s">
        <v>353</v>
      </c>
      <c r="C268" s="371" t="s">
        <v>352</v>
      </c>
      <c r="D268" s="378">
        <v>-0.13</v>
      </c>
      <c r="E268" s="378">
        <v>0.02</v>
      </c>
      <c r="F268" s="378">
        <v>4.04</v>
      </c>
      <c r="G268" s="378">
        <v>-0.03</v>
      </c>
      <c r="H268" s="378">
        <v>-0.16</v>
      </c>
      <c r="I268" s="378">
        <v>0</v>
      </c>
      <c r="K268" s="33"/>
      <c r="L268" t="s">
        <v>800</v>
      </c>
      <c r="M268" s="34">
        <f>D267+D268+D269</f>
        <v>-3.71</v>
      </c>
      <c r="N268" s="34">
        <f>E267+E268+E269</f>
        <v>-2.0000000000000004E-2</v>
      </c>
      <c r="O268" s="34">
        <f>F267+F268+F269</f>
        <v>10.099999999999998</v>
      </c>
      <c r="P268" s="34">
        <f>G267+G268+G269</f>
        <v>-0.23</v>
      </c>
      <c r="Q268" s="34">
        <f>H267+0.25*H268+H269</f>
        <v>-3.55</v>
      </c>
      <c r="R268" s="35">
        <f>I267+0.25*I268+I269</f>
        <v>0</v>
      </c>
      <c r="S268" s="17"/>
      <c r="T268" s="29"/>
      <c r="U268" s="29" t="s">
        <v>375</v>
      </c>
      <c r="V268" s="23">
        <f t="shared" si="296"/>
        <v>10.099999999999998</v>
      </c>
      <c r="W268" s="23">
        <f t="shared" si="296"/>
        <v>-0.23</v>
      </c>
      <c r="X268" s="23">
        <f t="shared" si="296"/>
        <v>-3.55</v>
      </c>
      <c r="Y268" s="29">
        <f>1.33*Y267</f>
        <v>19.950000000000003</v>
      </c>
      <c r="Z268" s="31">
        <f>ABS(V268)/AC268/AD268</f>
        <v>4.488888888888888</v>
      </c>
      <c r="AA268" s="23">
        <f>ABS(+W268/V268)</f>
        <v>2.2772277227722779E-2</v>
      </c>
      <c r="AB268" s="23">
        <f>ABS(X268/V268)</f>
        <v>0.35148514851485152</v>
      </c>
      <c r="AC268" s="36">
        <f t="shared" ref="AC268:AD271" si="298">AC267</f>
        <v>1.5</v>
      </c>
      <c r="AD268" s="37">
        <f t="shared" si="298"/>
        <v>1.5</v>
      </c>
      <c r="AE268" s="22">
        <f t="shared" si="297"/>
        <v>1.4544554455445544</v>
      </c>
      <c r="AF268" s="22">
        <f t="shared" si="297"/>
        <v>0.79702970297029696</v>
      </c>
      <c r="AG268" s="22">
        <f>AF268*AE268</f>
        <v>1.1592441917459071</v>
      </c>
      <c r="AH268" s="38">
        <f>V268/AG268</f>
        <v>8.712573305878422</v>
      </c>
      <c r="AJ268" s="147" t="s">
        <v>539</v>
      </c>
      <c r="AK268" s="148">
        <v>300</v>
      </c>
      <c r="AL268" s="148">
        <v>500</v>
      </c>
      <c r="AM268" s="148">
        <v>28</v>
      </c>
      <c r="AN268" s="380">
        <v>500</v>
      </c>
      <c r="AO268" s="380">
        <v>700</v>
      </c>
      <c r="AP268" s="380">
        <v>50</v>
      </c>
      <c r="AQ268" s="48"/>
      <c r="AR268" s="48"/>
      <c r="AS268" s="48"/>
      <c r="AT268" s="381">
        <v>10</v>
      </c>
      <c r="AU268" s="381">
        <v>6</v>
      </c>
      <c r="AV268" s="380">
        <f>+AT268*2+(AU268-2)*2</f>
        <v>28</v>
      </c>
      <c r="AW268" s="159">
        <v>1.2</v>
      </c>
      <c r="AX268" s="155" t="s">
        <v>538</v>
      </c>
      <c r="AY268" s="180">
        <f>+AV268</f>
        <v>28</v>
      </c>
      <c r="BA268" s="154"/>
      <c r="BB268" s="177" t="s">
        <v>537</v>
      </c>
      <c r="BC268" s="179">
        <v>1.25</v>
      </c>
      <c r="BD268" s="166" t="s">
        <v>526</v>
      </c>
      <c r="BE268" s="154"/>
      <c r="BG268" s="67" t="s">
        <v>193</v>
      </c>
      <c r="BH268" s="68">
        <v>0.9</v>
      </c>
      <c r="BI268" s="202" t="s">
        <v>197</v>
      </c>
      <c r="BJ268" s="93">
        <v>0.7</v>
      </c>
      <c r="BK268" s="98" t="s">
        <v>202</v>
      </c>
      <c r="BL268" s="99"/>
      <c r="BM268" s="203"/>
      <c r="BN268" s="100"/>
      <c r="BO268" s="101"/>
      <c r="BR268" s="98" t="s">
        <v>203</v>
      </c>
      <c r="BS268" s="99"/>
      <c r="BT268" s="203"/>
      <c r="BU268" s="100"/>
      <c r="BV268" s="101"/>
    </row>
    <row r="269" spans="1:74" ht="15" x14ac:dyDescent="0.25">
      <c r="A269" s="371" t="s">
        <v>749</v>
      </c>
      <c r="B269" s="371" t="s">
        <v>354</v>
      </c>
      <c r="C269" s="371" t="s">
        <v>352</v>
      </c>
      <c r="D269" s="378">
        <v>-3.34</v>
      </c>
      <c r="E269" s="378">
        <v>-0.08</v>
      </c>
      <c r="F269" s="378">
        <v>-6.12</v>
      </c>
      <c r="G269" s="378">
        <v>-0.13</v>
      </c>
      <c r="H269" s="378">
        <v>-3.23</v>
      </c>
      <c r="I269" s="378">
        <v>0</v>
      </c>
      <c r="K269" s="33"/>
      <c r="L269" t="s">
        <v>801</v>
      </c>
      <c r="M269" s="34">
        <f>D267+D268-D269</f>
        <v>2.9699999999999998</v>
      </c>
      <c r="N269" s="34">
        <f>E267+E268-E269</f>
        <v>0.14000000000000001</v>
      </c>
      <c r="O269" s="34">
        <f>F267+F268-F269</f>
        <v>22.34</v>
      </c>
      <c r="P269" s="34">
        <f>G267+G268-G269</f>
        <v>0.03</v>
      </c>
      <c r="Q269" s="34">
        <f>H267+0.25*H268-H269</f>
        <v>2.91</v>
      </c>
      <c r="R269" s="35">
        <f>I267+0.25*I268-I269</f>
        <v>0</v>
      </c>
      <c r="S269" s="17"/>
      <c r="T269" s="29"/>
      <c r="U269" s="29" t="s">
        <v>376</v>
      </c>
      <c r="V269" s="23">
        <f t="shared" si="296"/>
        <v>22.34</v>
      </c>
      <c r="W269" s="23">
        <f t="shared" si="296"/>
        <v>0.03</v>
      </c>
      <c r="X269" s="23">
        <f t="shared" si="296"/>
        <v>2.91</v>
      </c>
      <c r="Y269" s="29"/>
      <c r="Z269" s="31">
        <f>ABS(V269)/AC269/AD269</f>
        <v>9.9288888888888884</v>
      </c>
      <c r="AA269" s="23">
        <f>ABS(+W269/V269)</f>
        <v>1.3428827215756489E-3</v>
      </c>
      <c r="AB269" s="23">
        <f>ABS(X269/V269)</f>
        <v>0.13025962399283797</v>
      </c>
      <c r="AC269" s="36">
        <f t="shared" si="298"/>
        <v>1.5</v>
      </c>
      <c r="AD269" s="37">
        <f t="shared" si="298"/>
        <v>1.5</v>
      </c>
      <c r="AE269" s="22">
        <f t="shared" si="297"/>
        <v>1.4973142345568486</v>
      </c>
      <c r="AF269" s="22">
        <f t="shared" si="297"/>
        <v>1.2394807520143241</v>
      </c>
      <c r="AG269" s="22">
        <f>AF269*AE269</f>
        <v>1.8558921734502747</v>
      </c>
      <c r="AH269" s="38">
        <f>V269/AG269</f>
        <v>12.037337254603472</v>
      </c>
      <c r="AJ269" s="146" t="s">
        <v>514</v>
      </c>
      <c r="AK269" s="145"/>
      <c r="AL269" s="145"/>
      <c r="AM269" s="145"/>
      <c r="AN269" s="139"/>
      <c r="AO269" s="146" t="s">
        <v>507</v>
      </c>
      <c r="AP269" s="145" t="s">
        <v>626</v>
      </c>
      <c r="AQ269" s="145">
        <f>0.6*AR266</f>
        <v>2100</v>
      </c>
      <c r="AR269" s="212" t="s">
        <v>627</v>
      </c>
      <c r="AS269" s="211">
        <f>+AR270+AR271</f>
        <v>707.2</v>
      </c>
      <c r="AT269" s="48" t="s">
        <v>515</v>
      </c>
      <c r="AU269" s="48"/>
      <c r="AV269" s="48" t="s">
        <v>518</v>
      </c>
      <c r="AW269" s="160"/>
      <c r="AX269" s="155" t="s">
        <v>524</v>
      </c>
      <c r="AY269" s="182">
        <f>IF(BC268=(1+1/4),+(1+3/8),IF(BC268=1,(1+1/8),IF(BC268=(7/8),1,IF(BC268=(3/4),+(7/8),IF(BC268=(5/8),+(3/4),IF(BC268=(1/2),(9/16),IF(BC268=(3/8),+(7/16),"no valido")))))))</f>
        <v>1.375</v>
      </c>
      <c r="AZ269" s="165" t="s">
        <v>526</v>
      </c>
      <c r="BA269" s="172" t="s">
        <v>531</v>
      </c>
      <c r="BB269" s="178" t="s">
        <v>529</v>
      </c>
      <c r="BC269" s="158">
        <f>+AY270+3</f>
        <v>13.75</v>
      </c>
      <c r="BD269" s="166" t="s">
        <v>526</v>
      </c>
      <c r="BE269" s="172" t="s">
        <v>531</v>
      </c>
      <c r="BG269" s="67" t="s">
        <v>194</v>
      </c>
      <c r="BH269" s="68">
        <v>100</v>
      </c>
      <c r="BI269" s="94" t="s">
        <v>169</v>
      </c>
      <c r="BJ269" s="96">
        <f>+BJ268*BP265</f>
        <v>7.4374999999999997E-3</v>
      </c>
      <c r="BK269" s="204" t="s">
        <v>380</v>
      </c>
      <c r="BL269" s="103">
        <f>1.3*1*(BH263-0.1-BK263)*BO263</f>
        <v>21.060000000000002</v>
      </c>
      <c r="BM269" s="104" t="s">
        <v>176</v>
      </c>
      <c r="BN269" s="74" t="s">
        <v>177</v>
      </c>
      <c r="BO269" s="105" t="s">
        <v>178</v>
      </c>
      <c r="BR269" s="204" t="s">
        <v>380</v>
      </c>
      <c r="BS269" s="103">
        <f>(+BH263*BH263-BK263*BK263)*1.3*BO263</f>
        <v>48.63300000000001</v>
      </c>
      <c r="BT269" s="104" t="s">
        <v>176</v>
      </c>
      <c r="BU269" s="74" t="s">
        <v>177</v>
      </c>
      <c r="BV269" s="105" t="s">
        <v>178</v>
      </c>
    </row>
    <row r="270" spans="1:74" ht="15.75" thickBot="1" x14ac:dyDescent="0.3">
      <c r="A270" s="371" t="s">
        <v>749</v>
      </c>
      <c r="B270" s="371" t="s">
        <v>355</v>
      </c>
      <c r="C270" s="371" t="s">
        <v>352</v>
      </c>
      <c r="D270" s="378">
        <v>-0.01</v>
      </c>
      <c r="E270" s="378">
        <v>-2.85</v>
      </c>
      <c r="F270" s="378">
        <v>-3.13</v>
      </c>
      <c r="G270" s="378">
        <v>5.19</v>
      </c>
      <c r="H270" s="378">
        <v>0.09</v>
      </c>
      <c r="I270" s="378">
        <v>0</v>
      </c>
      <c r="K270" s="33"/>
      <c r="L270" t="s">
        <v>802</v>
      </c>
      <c r="M270" s="34">
        <f>D267+D268+D270</f>
        <v>-0.38</v>
      </c>
      <c r="N270" s="34">
        <f>E267+E268+E270</f>
        <v>-2.79</v>
      </c>
      <c r="O270" s="34">
        <f>F267+F268+F270</f>
        <v>13.09</v>
      </c>
      <c r="P270" s="34">
        <f>G267+G268+G270</f>
        <v>5.0900000000000007</v>
      </c>
      <c r="Q270" s="34">
        <f>H267+0.25*H268+H270</f>
        <v>-0.23</v>
      </c>
      <c r="R270" s="35">
        <f>I267+0.25*I268+I270</f>
        <v>0</v>
      </c>
      <c r="S270" s="17"/>
      <c r="T270" s="29"/>
      <c r="U270" s="29" t="s">
        <v>377</v>
      </c>
      <c r="V270" s="23">
        <f t="shared" si="296"/>
        <v>13.09</v>
      </c>
      <c r="W270" s="23">
        <f t="shared" si="296"/>
        <v>5.0900000000000007</v>
      </c>
      <c r="X270" s="23">
        <f t="shared" si="296"/>
        <v>-0.23</v>
      </c>
      <c r="Y270" s="29"/>
      <c r="Z270" s="31">
        <f>ABS(V270)/AC270/AD270</f>
        <v>5.8177777777777777</v>
      </c>
      <c r="AA270" s="23">
        <f>ABS(+W270/V270)</f>
        <v>0.38884644766997717</v>
      </c>
      <c r="AB270" s="23">
        <f>ABS(X270/V270)</f>
        <v>1.7570664629488159E-2</v>
      </c>
      <c r="AC270" s="36">
        <f t="shared" si="298"/>
        <v>1.5</v>
      </c>
      <c r="AD270" s="37">
        <f t="shared" si="298"/>
        <v>1.5</v>
      </c>
      <c r="AE270" s="22">
        <f t="shared" si="297"/>
        <v>0.72230710466004566</v>
      </c>
      <c r="AF270" s="22">
        <f t="shared" si="297"/>
        <v>1.4648586707410236</v>
      </c>
      <c r="AG270" s="22">
        <f>AF270*AE270</f>
        <v>1.0580778251991119</v>
      </c>
      <c r="AH270" s="38">
        <f>V270/AG270</f>
        <v>12.371490724263774</v>
      </c>
      <c r="AJ270" s="147" t="s">
        <v>500</v>
      </c>
      <c r="AK270" s="24">
        <f>(MAX(V267:V271)+ABS(MAX(W267:W271))/(AL268/1000))*1000</f>
        <v>32520.000000000004</v>
      </c>
      <c r="AL270" s="150" t="s">
        <v>502</v>
      </c>
      <c r="AM270" s="24">
        <f>+ABS(MAX(AK270:AK271))/(+AK268*2/10+AL268*2/10)/(AP268/10)</f>
        <v>40.650000000000006</v>
      </c>
      <c r="AN270" s="151" t="str">
        <f>IF(AM270&lt;=AM271,"OK","REDIS")</f>
        <v>OK</v>
      </c>
      <c r="AO270" s="150" t="s">
        <v>508</v>
      </c>
      <c r="AP270" s="24">
        <f>((AO268/10/2-AL268/10/2)/2)*((MAX(ABS(MAX(W267:W271)),ABS(MIN(W267:W271)))*100000))/(AL268/10)</f>
        <v>52900</v>
      </c>
      <c r="AQ270" s="150" t="s">
        <v>510</v>
      </c>
      <c r="AR270" s="24">
        <f>+AP270/(AK268*AP268*AP268/6/10/10/10)</f>
        <v>423.2</v>
      </c>
      <c r="AS270" s="152" t="str">
        <f>IF(AR270&lt;=0.6*AR266*1.1,"OK","REDIS")</f>
        <v>OK</v>
      </c>
      <c r="AT270" s="24" t="s">
        <v>516</v>
      </c>
      <c r="AU270" s="174">
        <f>+AW268*(AP270/100000)/((AO268-AL268)/1000/4)/(AT268-1)</f>
        <v>1.4106666666666667</v>
      </c>
      <c r="AV270" s="24" t="s">
        <v>519</v>
      </c>
      <c r="AW270" s="175">
        <f>+AW268*(ABS(MAX(M267:M271))+ABS(MIN(M267:M271)+ABS(MAX(N267:N271))+ABS(MIN(N267:N271))))/AV268</f>
        <v>0.21257142857142858</v>
      </c>
      <c r="AX270" s="155" t="s">
        <v>525</v>
      </c>
      <c r="AY270" s="383">
        <f>IF(BC268=(1+1/4),+(11-1/4),IF(BC268=1,(9),IF(BC268=(7/8),(7-7/8),IF(BC268=(3/4),+(6-3/4),IF(BC268=(5/8),+(5-5/8),IF(BC268=(1/2),(4-1/2),IF(BC268=(3-3/8),+(7/16),"no valido")))))))</f>
        <v>10.75</v>
      </c>
      <c r="AZ270" s="166" t="s">
        <v>526</v>
      </c>
      <c r="BA270" s="168" t="s">
        <v>533</v>
      </c>
      <c r="BB270" s="153" t="s">
        <v>521</v>
      </c>
      <c r="BC270" s="44">
        <f>+AV268</f>
        <v>28</v>
      </c>
      <c r="BD270" s="166" t="s">
        <v>527</v>
      </c>
      <c r="BE270" s="162" t="s">
        <v>534</v>
      </c>
      <c r="BG270" s="67" t="s">
        <v>195</v>
      </c>
      <c r="BH270" s="68">
        <f>+BK263*100-5</f>
        <v>30</v>
      </c>
      <c r="BI270" s="94" t="s">
        <v>373</v>
      </c>
      <c r="BJ270" s="96">
        <f>+BJ269*BH267/BH266</f>
        <v>0.14874999999999999</v>
      </c>
      <c r="BK270" s="106"/>
      <c r="BL270" s="48"/>
      <c r="BM270" s="102">
        <f>SQRT(BH266)*0.53*BH269*BH270/1000</f>
        <v>23.041289026441206</v>
      </c>
      <c r="BN270" s="73">
        <f>SQRT(BH266)*0.93*BH269*BH270/1000</f>
        <v>40.430941121868536</v>
      </c>
      <c r="BO270" s="205" t="str">
        <f>IF(BL269&lt;BN270,"OK","REDIS")</f>
        <v>OK</v>
      </c>
      <c r="BR270" s="106"/>
      <c r="BS270" s="48"/>
      <c r="BT270" s="102">
        <f>SQRT(BH266)*0.53*(+BK263*100*4+0.3*2+0.4*2)*BK263*100/1000</f>
        <v>38.010446463952512</v>
      </c>
      <c r="BU270" s="73">
        <f>+BT270*0.93/0.53</f>
        <v>66.69757587070913</v>
      </c>
      <c r="BV270" s="205" t="str">
        <f>IF(BS269&lt;BU270,"OK","REDIS")</f>
        <v>OK</v>
      </c>
    </row>
    <row r="271" spans="1:74" ht="15.75" thickBot="1" x14ac:dyDescent="0.3">
      <c r="A271" s="371" t="s">
        <v>749</v>
      </c>
      <c r="B271" s="371" t="s">
        <v>806</v>
      </c>
      <c r="C271" s="371" t="s">
        <v>389</v>
      </c>
      <c r="D271" s="369"/>
      <c r="E271" s="369"/>
      <c r="F271" s="369"/>
      <c r="G271" s="369"/>
      <c r="H271" s="369"/>
      <c r="I271" s="369"/>
      <c r="K271" s="39"/>
      <c r="L271" s="368" t="s">
        <v>803</v>
      </c>
      <c r="M271" s="41">
        <f>D267+D268-D270</f>
        <v>-0.36</v>
      </c>
      <c r="N271" s="41">
        <f>E267+E268-E270</f>
        <v>2.91</v>
      </c>
      <c r="O271" s="41">
        <f>F267+F268-F270</f>
        <v>19.349999999999998</v>
      </c>
      <c r="P271" s="41">
        <f>G267+G268-G270</f>
        <v>-5.29</v>
      </c>
      <c r="Q271" s="41">
        <f>H267+0.25*H268-H270</f>
        <v>-0.41000000000000003</v>
      </c>
      <c r="R271" s="42">
        <f>I267+0.25*I268-I270</f>
        <v>0</v>
      </c>
      <c r="S271" s="17"/>
      <c r="T271" s="29"/>
      <c r="U271" s="29" t="s">
        <v>378</v>
      </c>
      <c r="V271" s="23">
        <f t="shared" si="296"/>
        <v>19.349999999999998</v>
      </c>
      <c r="W271" s="23">
        <f t="shared" si="296"/>
        <v>-5.29</v>
      </c>
      <c r="X271" s="23">
        <f t="shared" si="296"/>
        <v>-0.41000000000000003</v>
      </c>
      <c r="Y271" s="29"/>
      <c r="Z271" s="31">
        <f>ABS(V271)/AC271/AD271</f>
        <v>8.6</v>
      </c>
      <c r="AA271" s="23">
        <f>ABS(+W271/V271)</f>
        <v>0.2733850129198967</v>
      </c>
      <c r="AB271" s="23">
        <f>ABS(X271/V271)</f>
        <v>2.1188630490956078E-2</v>
      </c>
      <c r="AC271" s="36">
        <f t="shared" si="298"/>
        <v>1.5</v>
      </c>
      <c r="AD271" s="37">
        <f t="shared" si="298"/>
        <v>1.5</v>
      </c>
      <c r="AE271" s="22">
        <f t="shared" si="297"/>
        <v>0.95322997416020661</v>
      </c>
      <c r="AF271" s="22">
        <f t="shared" si="297"/>
        <v>1.4576227390180878</v>
      </c>
      <c r="AG271" s="22">
        <f>AF271*AE271</f>
        <v>1.3894496858495413</v>
      </c>
      <c r="AH271" s="38">
        <f>V271/AG271</f>
        <v>13.926376893718873</v>
      </c>
      <c r="AJ271" s="147" t="s">
        <v>501</v>
      </c>
      <c r="AK271" s="24">
        <f>(MAX(V267:V271)+ABS(MAX(X267:X271))/(AK268/1000))*1000</f>
        <v>32040</v>
      </c>
      <c r="AL271" s="150" t="s">
        <v>505</v>
      </c>
      <c r="AM271" s="24">
        <f>+AR266*0.4/3</f>
        <v>466.66666666666669</v>
      </c>
      <c r="AN271" s="24"/>
      <c r="AO271" s="150" t="s">
        <v>509</v>
      </c>
      <c r="AP271" s="24">
        <f>((AN268/10/2-AK268/10/2)/2)*(MAX(+ABS(MAX(X267:X271)),ABS(MIN(X267:X271)))*100000/(AK268/10))</f>
        <v>59166.666666666672</v>
      </c>
      <c r="AQ271" s="150" t="s">
        <v>511</v>
      </c>
      <c r="AR271" s="24">
        <f>+AP271/(AL268*AP268*AP268/6/1000)</f>
        <v>284</v>
      </c>
      <c r="AS271" s="152" t="str">
        <f>IF(AR271&lt;=0.6*AR266*1.1,"OK","REDIS")</f>
        <v>OK</v>
      </c>
      <c r="AT271" s="24" t="s">
        <v>517</v>
      </c>
      <c r="AU271" s="174">
        <f>+AW268*(AP271/100000)/((AN268-AK268)/1000/4)/(AU268-1)</f>
        <v>2.84</v>
      </c>
      <c r="AV271" s="24"/>
      <c r="AW271" s="161"/>
      <c r="AX271" s="156" t="s">
        <v>522</v>
      </c>
      <c r="AY271" s="181">
        <f>IF(AY269=(1+3/8),+AV268/3,IF(AY269=(1+1/8),+AV268/6,IF(AY269=1,+AV268/8,IF(AY269=(7/8),+AV268/11,IF(AY269=0.75,+AV268/18,IF(AY269=(9/16),+AV268/45,IF(AY269=(7/16),+AV268/84,"NO HAY DATO")))))))</f>
        <v>9.3333333333333339</v>
      </c>
      <c r="AZ271" s="167" t="s">
        <v>527</v>
      </c>
      <c r="BA271" s="386">
        <f>ROUNDUP(+AY270*2.54,0)</f>
        <v>28</v>
      </c>
      <c r="BB271" s="164" t="s">
        <v>523</v>
      </c>
      <c r="BC271" s="129">
        <f>+BC270*BC269*2.54/100</f>
        <v>9.7789999999999999</v>
      </c>
      <c r="BD271" s="173" t="s">
        <v>528</v>
      </c>
      <c r="BE271" s="385">
        <f>ROUNDUP(+BC269*2.54,0)</f>
        <v>35</v>
      </c>
      <c r="BG271" s="71" t="s">
        <v>196</v>
      </c>
      <c r="BH271" s="72">
        <v>5</v>
      </c>
      <c r="BI271" s="95" t="s">
        <v>198</v>
      </c>
      <c r="BJ271" s="97">
        <f>+BH268*BH266*BH269*BH270*BH270*BJ270*(1-0.59*BJ270)/100000</f>
        <v>23.081775314062504</v>
      </c>
      <c r="BK271" s="107"/>
      <c r="BL271" s="80"/>
      <c r="BM271" s="206"/>
      <c r="BN271" s="78"/>
      <c r="BO271" s="108"/>
      <c r="BR271" s="107"/>
      <c r="BS271" s="80"/>
      <c r="BT271" s="206"/>
      <c r="BU271" s="78"/>
      <c r="BV271" s="108"/>
    </row>
    <row r="272" spans="1:74" ht="15" x14ac:dyDescent="0.25">
      <c r="A272" s="371" t="s">
        <v>749</v>
      </c>
      <c r="B272" s="371" t="s">
        <v>807</v>
      </c>
      <c r="C272" s="371" t="s">
        <v>389</v>
      </c>
      <c r="D272" s="369"/>
      <c r="E272" s="369"/>
      <c r="F272" s="369"/>
      <c r="G272" s="369"/>
      <c r="H272" s="369"/>
      <c r="I272" s="369"/>
      <c r="K272" s="25" t="s">
        <v>357</v>
      </c>
      <c r="L272" s="26" t="s">
        <v>358</v>
      </c>
      <c r="M272" s="27" t="s">
        <v>359</v>
      </c>
      <c r="N272" s="27" t="s">
        <v>360</v>
      </c>
      <c r="O272" s="27" t="s">
        <v>361</v>
      </c>
      <c r="P272" s="27" t="s">
        <v>362</v>
      </c>
      <c r="Q272" s="27" t="s">
        <v>363</v>
      </c>
      <c r="R272" s="28" t="s">
        <v>364</v>
      </c>
      <c r="S272" s="17"/>
      <c r="T272" s="29" t="s">
        <v>365</v>
      </c>
      <c r="U272" s="29" t="s">
        <v>358</v>
      </c>
      <c r="V272" s="30" t="s">
        <v>361</v>
      </c>
      <c r="W272" s="30" t="s">
        <v>362</v>
      </c>
      <c r="X272" s="30" t="s">
        <v>363</v>
      </c>
      <c r="Y272" s="29" t="s">
        <v>366</v>
      </c>
      <c r="Z272" s="31" t="s">
        <v>367</v>
      </c>
      <c r="AA272" s="23" t="s">
        <v>368</v>
      </c>
      <c r="AB272" s="23" t="s">
        <v>369</v>
      </c>
      <c r="AC272" s="22" t="s">
        <v>0</v>
      </c>
      <c r="AD272" s="22" t="s">
        <v>1</v>
      </c>
      <c r="AE272" s="22" t="s">
        <v>370</v>
      </c>
      <c r="AF272" s="22" t="s">
        <v>371</v>
      </c>
      <c r="AG272" s="22" t="s">
        <v>372</v>
      </c>
      <c r="AH272" s="32" t="s">
        <v>373</v>
      </c>
      <c r="AJ272" s="143" t="s">
        <v>365</v>
      </c>
      <c r="AK272" s="144" t="s">
        <v>498</v>
      </c>
      <c r="AL272" s="145"/>
      <c r="AM272" s="139"/>
      <c r="AN272" s="146" t="s">
        <v>499</v>
      </c>
      <c r="AO272" s="145"/>
      <c r="AP272" s="139"/>
      <c r="AQ272" s="147" t="s">
        <v>506</v>
      </c>
      <c r="AR272" s="48">
        <v>3500</v>
      </c>
      <c r="AS272" s="147" t="s">
        <v>405</v>
      </c>
      <c r="AT272" s="146" t="s">
        <v>512</v>
      </c>
      <c r="AU272" s="145"/>
      <c r="AV272" s="145"/>
      <c r="AW272" s="145"/>
      <c r="AX272" s="382" t="s">
        <v>532</v>
      </c>
      <c r="AY272" s="157" t="s">
        <v>515</v>
      </c>
      <c r="AZ272" s="169">
        <v>6.9</v>
      </c>
      <c r="BA272" s="171" t="str">
        <f>IF(MAX(AU276:AU277)&lt;=AZ272,"OK","REDIS")</f>
        <v>OK</v>
      </c>
      <c r="BB272" s="382" t="s">
        <v>536</v>
      </c>
      <c r="BC272" s="170" t="s">
        <v>515</v>
      </c>
      <c r="BD272" s="169">
        <v>8.36</v>
      </c>
      <c r="BE272" s="171" t="str">
        <f>IF(MAX(AU276:AU277)&lt;=BD272,"OK","REDIS")</f>
        <v>OK</v>
      </c>
    </row>
    <row r="273" spans="1:74" ht="15" x14ac:dyDescent="0.25">
      <c r="A273" s="371" t="s">
        <v>750</v>
      </c>
      <c r="B273" s="371" t="s">
        <v>351</v>
      </c>
      <c r="C273" s="371" t="s">
        <v>352</v>
      </c>
      <c r="D273" s="378">
        <v>-0.66</v>
      </c>
      <c r="E273" s="378">
        <v>0.05</v>
      </c>
      <c r="F273" s="378">
        <v>31.2</v>
      </c>
      <c r="G273" s="378">
        <v>-0.08</v>
      </c>
      <c r="H273" s="378">
        <v>-0.7</v>
      </c>
      <c r="I273" s="378">
        <v>0</v>
      </c>
      <c r="K273" s="33" t="str">
        <f>+A273</f>
        <v>34</v>
      </c>
      <c r="L273" s="17" t="s">
        <v>374</v>
      </c>
      <c r="M273" s="34">
        <f t="shared" ref="M273:R273" si="299">D273+D274</f>
        <v>-1.04</v>
      </c>
      <c r="N273" s="34">
        <f t="shared" si="299"/>
        <v>7.0000000000000007E-2</v>
      </c>
      <c r="O273" s="34">
        <f t="shared" si="299"/>
        <v>43.34</v>
      </c>
      <c r="P273" s="34">
        <f t="shared" si="299"/>
        <v>-0.11</v>
      </c>
      <c r="Q273" s="34">
        <f t="shared" si="299"/>
        <v>-1.1099999999999999</v>
      </c>
      <c r="R273" s="35">
        <f t="shared" si="299"/>
        <v>0</v>
      </c>
      <c r="S273" s="17"/>
      <c r="T273" s="29" t="str">
        <f>K273</f>
        <v>34</v>
      </c>
      <c r="U273" s="29" t="s">
        <v>374</v>
      </c>
      <c r="V273" s="23">
        <f t="shared" ref="V273:X277" si="300">O273</f>
        <v>43.34</v>
      </c>
      <c r="W273" s="23">
        <f t="shared" si="300"/>
        <v>-0.11</v>
      </c>
      <c r="X273" s="23">
        <f t="shared" si="300"/>
        <v>-1.1099999999999999</v>
      </c>
      <c r="Y273" s="29">
        <v>12</v>
      </c>
      <c r="Z273" s="31">
        <f>ABS(V273)/AC273/AD273</f>
        <v>12.005540166204989</v>
      </c>
      <c r="AA273" s="23">
        <f>ABS(+W273/V273)</f>
        <v>2.5380710659898475E-3</v>
      </c>
      <c r="AB273" s="23">
        <f>ABS(X273/V273)</f>
        <v>2.5611444393170278E-2</v>
      </c>
      <c r="AC273" s="36">
        <v>1.9</v>
      </c>
      <c r="AD273" s="37">
        <v>1.9</v>
      </c>
      <c r="AE273" s="22">
        <f t="shared" ref="AE273:AF277" si="301">AC273-2*AA273</f>
        <v>1.8949238578680203</v>
      </c>
      <c r="AF273" s="22">
        <f t="shared" si="301"/>
        <v>1.8487771112136593</v>
      </c>
      <c r="AG273" s="22">
        <f>AF273*AE273</f>
        <v>3.5032918559190813</v>
      </c>
      <c r="AH273" s="38">
        <f>V273/AG273</f>
        <v>12.371221634524607</v>
      </c>
      <c r="AJ273" s="379" t="str">
        <f>+A273</f>
        <v>34</v>
      </c>
      <c r="AK273" s="147" t="s">
        <v>0</v>
      </c>
      <c r="AL273" s="147" t="s">
        <v>1</v>
      </c>
      <c r="AM273" s="147" t="s">
        <v>438</v>
      </c>
      <c r="AN273" s="147" t="s">
        <v>503</v>
      </c>
      <c r="AO273" s="147" t="s">
        <v>504</v>
      </c>
      <c r="AP273" s="147" t="s">
        <v>323</v>
      </c>
      <c r="AQ273" s="48"/>
      <c r="AR273" s="48"/>
      <c r="AS273" s="48"/>
      <c r="AT273" s="147" t="s">
        <v>0</v>
      </c>
      <c r="AU273" s="147" t="s">
        <v>1</v>
      </c>
      <c r="AV273" s="147" t="s">
        <v>513</v>
      </c>
      <c r="AW273" s="159" t="s">
        <v>520</v>
      </c>
      <c r="AX273" s="141" t="s">
        <v>530</v>
      </c>
      <c r="AY273" s="157" t="s">
        <v>178</v>
      </c>
      <c r="AZ273" s="44">
        <v>12</v>
      </c>
      <c r="BA273" s="172" t="str">
        <f>IF(AW276&lt;=AZ273,"OK","REDIS")</f>
        <v>OK</v>
      </c>
      <c r="BB273" s="384" t="s">
        <v>535</v>
      </c>
      <c r="BC273" s="120" t="s">
        <v>178</v>
      </c>
      <c r="BD273" s="44">
        <v>4.3</v>
      </c>
      <c r="BE273" s="172" t="str">
        <f>IF(AW276&lt;=BD273,"OK","REDIS")</f>
        <v>OK</v>
      </c>
      <c r="BG273" s="9" t="s">
        <v>204</v>
      </c>
    </row>
    <row r="274" spans="1:74" ht="15.75" thickBot="1" x14ac:dyDescent="0.3">
      <c r="A274" s="371" t="s">
        <v>750</v>
      </c>
      <c r="B274" s="371" t="s">
        <v>353</v>
      </c>
      <c r="C274" s="371" t="s">
        <v>352</v>
      </c>
      <c r="D274" s="378">
        <v>-0.38</v>
      </c>
      <c r="E274" s="378">
        <v>0.02</v>
      </c>
      <c r="F274" s="378">
        <v>12.14</v>
      </c>
      <c r="G274" s="378">
        <v>-0.03</v>
      </c>
      <c r="H274" s="378">
        <v>-0.41</v>
      </c>
      <c r="I274" s="378">
        <v>0</v>
      </c>
      <c r="K274" s="33"/>
      <c r="L274" t="s">
        <v>800</v>
      </c>
      <c r="M274" s="34">
        <f>D273+D274+D275</f>
        <v>-6.09</v>
      </c>
      <c r="N274" s="34">
        <f>E273+E274+E275</f>
        <v>0.26</v>
      </c>
      <c r="O274" s="34">
        <f>F273+F274+F275</f>
        <v>36.150000000000006</v>
      </c>
      <c r="P274" s="34">
        <f>G273+G274+G275</f>
        <v>-0.41</v>
      </c>
      <c r="Q274" s="34">
        <f>H273+0.25*H274+H275</f>
        <v>-5.0325000000000006</v>
      </c>
      <c r="R274" s="35">
        <f>I273+0.25*I274+I275</f>
        <v>0</v>
      </c>
      <c r="S274" s="17"/>
      <c r="T274" s="29"/>
      <c r="U274" s="29" t="s">
        <v>375</v>
      </c>
      <c r="V274" s="23">
        <f t="shared" si="300"/>
        <v>36.150000000000006</v>
      </c>
      <c r="W274" s="23">
        <f t="shared" si="300"/>
        <v>-0.41</v>
      </c>
      <c r="X274" s="23">
        <f t="shared" si="300"/>
        <v>-5.0325000000000006</v>
      </c>
      <c r="Y274" s="29">
        <f>1.33*Y273</f>
        <v>15.96</v>
      </c>
      <c r="Z274" s="31">
        <f>ABS(V274)/AC274/AD274</f>
        <v>10.013850415512469</v>
      </c>
      <c r="AA274" s="23">
        <f>ABS(+W274/V274)</f>
        <v>1.1341632088520053E-2</v>
      </c>
      <c r="AB274" s="23">
        <f>ABS(X274/V274)</f>
        <v>0.13921161825726142</v>
      </c>
      <c r="AC274" s="36">
        <f t="shared" ref="AC274:AD277" si="302">AC273</f>
        <v>1.9</v>
      </c>
      <c r="AD274" s="37">
        <f t="shared" si="302"/>
        <v>1.9</v>
      </c>
      <c r="AE274" s="22">
        <f t="shared" si="301"/>
        <v>1.8773167358229599</v>
      </c>
      <c r="AF274" s="22">
        <f t="shared" si="301"/>
        <v>1.6215767634854772</v>
      </c>
      <c r="AG274" s="22">
        <f>AF274*AE274</f>
        <v>3.0442131965129158</v>
      </c>
      <c r="AH274" s="38">
        <f>V274/AG274</f>
        <v>11.87498958397825</v>
      </c>
      <c r="AJ274" s="147" t="s">
        <v>539</v>
      </c>
      <c r="AK274" s="148">
        <v>300</v>
      </c>
      <c r="AL274" s="148">
        <v>500</v>
      </c>
      <c r="AM274" s="148">
        <v>28</v>
      </c>
      <c r="AN274" s="380">
        <v>500</v>
      </c>
      <c r="AO274" s="380">
        <v>700</v>
      </c>
      <c r="AP274" s="380">
        <v>24</v>
      </c>
      <c r="AQ274" s="48"/>
      <c r="AR274" s="48"/>
      <c r="AS274" s="48"/>
      <c r="AT274" s="381">
        <v>10</v>
      </c>
      <c r="AU274" s="381">
        <v>6</v>
      </c>
      <c r="AV274" s="380">
        <f>+AT274*2+(AU274-2)*2</f>
        <v>28</v>
      </c>
      <c r="AW274" s="159">
        <v>1.2</v>
      </c>
      <c r="AX274" s="155" t="s">
        <v>538</v>
      </c>
      <c r="AY274" s="180">
        <f>+AV274</f>
        <v>28</v>
      </c>
      <c r="BA274" s="154"/>
      <c r="BB274" s="177" t="s">
        <v>537</v>
      </c>
      <c r="BC274" s="179">
        <v>1.25</v>
      </c>
      <c r="BD274" s="166" t="s">
        <v>526</v>
      </c>
      <c r="BE274" s="154"/>
      <c r="BG274" s="109" t="s">
        <v>199</v>
      </c>
      <c r="BH274" s="142">
        <v>1.9</v>
      </c>
      <c r="BJ274" s="109" t="s">
        <v>385</v>
      </c>
      <c r="BK274" s="142">
        <v>0.35</v>
      </c>
      <c r="BM274" s="110" t="s">
        <v>200</v>
      </c>
      <c r="BN274" s="110"/>
      <c r="BO274" s="110">
        <v>12</v>
      </c>
      <c r="BP274" s="110" t="s">
        <v>386</v>
      </c>
      <c r="BQ274" t="s">
        <v>201</v>
      </c>
    </row>
    <row r="275" spans="1:74" ht="15" x14ac:dyDescent="0.25">
      <c r="A275" s="371" t="s">
        <v>750</v>
      </c>
      <c r="B275" s="371" t="s">
        <v>354</v>
      </c>
      <c r="C275" s="371" t="s">
        <v>352</v>
      </c>
      <c r="D275" s="378">
        <v>-5.05</v>
      </c>
      <c r="E275" s="378">
        <v>0.19</v>
      </c>
      <c r="F275" s="378">
        <v>-7.19</v>
      </c>
      <c r="G275" s="378">
        <v>-0.3</v>
      </c>
      <c r="H275" s="378">
        <v>-4.2300000000000004</v>
      </c>
      <c r="I275" s="378">
        <v>0</v>
      </c>
      <c r="K275" s="33"/>
      <c r="L275" t="s">
        <v>801</v>
      </c>
      <c r="M275" s="34">
        <f>D273+D274-D275</f>
        <v>4.01</v>
      </c>
      <c r="N275" s="34">
        <f>E273+E274-E275</f>
        <v>-0.12</v>
      </c>
      <c r="O275" s="34">
        <f>F273+F274-F275</f>
        <v>50.53</v>
      </c>
      <c r="P275" s="34">
        <f>G273+G274-G275</f>
        <v>0.19</v>
      </c>
      <c r="Q275" s="34">
        <f>H273+0.25*H274-H275</f>
        <v>3.4275000000000002</v>
      </c>
      <c r="R275" s="35">
        <f>I273+0.25*I274-I275</f>
        <v>0</v>
      </c>
      <c r="S275" s="17"/>
      <c r="T275" s="29"/>
      <c r="U275" s="29" t="s">
        <v>376</v>
      </c>
      <c r="V275" s="23">
        <f t="shared" si="300"/>
        <v>50.53</v>
      </c>
      <c r="W275" s="23">
        <f t="shared" si="300"/>
        <v>0.19</v>
      </c>
      <c r="X275" s="23">
        <f t="shared" si="300"/>
        <v>3.4275000000000002</v>
      </c>
      <c r="Y275" s="29"/>
      <c r="Z275" s="31">
        <f>ABS(V275)/AC275/AD275</f>
        <v>13.99722991689751</v>
      </c>
      <c r="AA275" s="23">
        <f>ABS(+W275/V275)</f>
        <v>3.7601424896101326E-3</v>
      </c>
      <c r="AB275" s="23">
        <f>ABS(X275/V275)</f>
        <v>6.7830991490203843E-2</v>
      </c>
      <c r="AC275" s="36">
        <f t="shared" si="302"/>
        <v>1.9</v>
      </c>
      <c r="AD275" s="37">
        <f t="shared" si="302"/>
        <v>1.9</v>
      </c>
      <c r="AE275" s="22">
        <f t="shared" si="301"/>
        <v>1.8924797150207797</v>
      </c>
      <c r="AF275" s="22">
        <f t="shared" si="301"/>
        <v>1.7643380170195921</v>
      </c>
      <c r="AG275" s="22">
        <f>AF275*AE275</f>
        <v>3.3389739076495655</v>
      </c>
      <c r="AH275" s="38">
        <f>V275/AG275</f>
        <v>15.13339169384826</v>
      </c>
      <c r="AJ275" s="146" t="s">
        <v>514</v>
      </c>
      <c r="AK275" s="145"/>
      <c r="AL275" s="145"/>
      <c r="AM275" s="145"/>
      <c r="AN275" s="139"/>
      <c r="AO275" s="146" t="s">
        <v>507</v>
      </c>
      <c r="AP275" s="145" t="s">
        <v>626</v>
      </c>
      <c r="AQ275" s="145">
        <f>0.6*AR272</f>
        <v>2100</v>
      </c>
      <c r="AR275" s="212" t="s">
        <v>627</v>
      </c>
      <c r="AS275" s="211">
        <f>+AR276+AR277</f>
        <v>4115.4513888888896</v>
      </c>
      <c r="AT275" s="48" t="s">
        <v>515</v>
      </c>
      <c r="AU275" s="48"/>
      <c r="AV275" s="48" t="s">
        <v>518</v>
      </c>
      <c r="AW275" s="160"/>
      <c r="AX275" s="155" t="s">
        <v>524</v>
      </c>
      <c r="AY275" s="182">
        <f>IF(BC274=(1+1/4),+(1+3/8),IF(BC274=1,(1+1/8),IF(BC274=(7/8),1,IF(BC274=(3/4),+(7/8),IF(BC274=(5/8),+(3/4),IF(BC274=(1/2),(9/16),IF(BC274=(3/8),+(7/16),"no valido")))))))</f>
        <v>1.375</v>
      </c>
      <c r="AZ275" s="165" t="s">
        <v>526</v>
      </c>
      <c r="BA275" s="172" t="s">
        <v>531</v>
      </c>
      <c r="BB275" s="178" t="s">
        <v>529</v>
      </c>
      <c r="BC275" s="158">
        <f>+AY276+3</f>
        <v>13.75</v>
      </c>
      <c r="BD275" s="166" t="s">
        <v>526</v>
      </c>
      <c r="BE275" s="172" t="s">
        <v>531</v>
      </c>
      <c r="BG275" s="122" t="s">
        <v>164</v>
      </c>
      <c r="BH275" s="193" t="e">
        <f>+#REF!</f>
        <v>#REF!</v>
      </c>
      <c r="BI275" s="196" t="s">
        <v>165</v>
      </c>
      <c r="BJ275" s="197" t="s">
        <v>166</v>
      </c>
      <c r="BK275" s="74" t="s">
        <v>2</v>
      </c>
      <c r="BL275" s="74" t="s">
        <v>167</v>
      </c>
      <c r="BM275" s="75" t="s">
        <v>168</v>
      </c>
      <c r="BN275" s="74" t="s">
        <v>169</v>
      </c>
      <c r="BO275" s="74" t="s">
        <v>170</v>
      </c>
      <c r="BP275" s="74" t="s">
        <v>171</v>
      </c>
      <c r="BQ275" s="75" t="s">
        <v>172</v>
      </c>
      <c r="BR275" s="74" t="s">
        <v>173</v>
      </c>
      <c r="BS275" s="74" t="s">
        <v>174</v>
      </c>
      <c r="BT275" s="74" t="s">
        <v>165</v>
      </c>
      <c r="BU275" s="74" t="s">
        <v>175</v>
      </c>
      <c r="BV275" s="76" t="s">
        <v>407</v>
      </c>
    </row>
    <row r="276" spans="1:74" ht="15.75" thickBot="1" x14ac:dyDescent="0.3">
      <c r="A276" s="371" t="s">
        <v>750</v>
      </c>
      <c r="B276" s="371" t="s">
        <v>355</v>
      </c>
      <c r="C276" s="371" t="s">
        <v>352</v>
      </c>
      <c r="D276" s="378">
        <v>0.22</v>
      </c>
      <c r="E276" s="378">
        <v>-4.67</v>
      </c>
      <c r="F276" s="378">
        <v>1.69</v>
      </c>
      <c r="G276" s="378">
        <v>6.71</v>
      </c>
      <c r="H276" s="378">
        <v>0.19</v>
      </c>
      <c r="I276" s="378">
        <v>0</v>
      </c>
      <c r="K276" s="33"/>
      <c r="L276" t="s">
        <v>802</v>
      </c>
      <c r="M276" s="34">
        <f>D273+D274+D276</f>
        <v>-0.82000000000000006</v>
      </c>
      <c r="N276" s="34">
        <f>E273+E274+E276</f>
        <v>-4.5999999999999996</v>
      </c>
      <c r="O276" s="34">
        <f>F273+F274+F276</f>
        <v>45.03</v>
      </c>
      <c r="P276" s="34">
        <f>G273+G274+G276</f>
        <v>6.6</v>
      </c>
      <c r="Q276" s="34">
        <f>H273+0.25*H274+H276</f>
        <v>-0.61250000000000004</v>
      </c>
      <c r="R276" s="35">
        <f>I273+0.25*I274+I276</f>
        <v>0</v>
      </c>
      <c r="S276" s="17"/>
      <c r="T276" s="29"/>
      <c r="U276" s="29" t="s">
        <v>377</v>
      </c>
      <c r="V276" s="23">
        <f t="shared" si="300"/>
        <v>45.03</v>
      </c>
      <c r="W276" s="23">
        <f t="shared" si="300"/>
        <v>6.6</v>
      </c>
      <c r="X276" s="23">
        <f t="shared" si="300"/>
        <v>-0.61250000000000004</v>
      </c>
      <c r="Y276" s="29"/>
      <c r="Z276" s="31">
        <f>ABS(V276)/AC276/AD276</f>
        <v>12.473684210526319</v>
      </c>
      <c r="AA276" s="23">
        <f>ABS(+W276/V276)</f>
        <v>0.14656895403064624</v>
      </c>
      <c r="AB276" s="23">
        <f>ABS(X276/V276)</f>
        <v>1.3602043082389518E-2</v>
      </c>
      <c r="AC276" s="36">
        <f t="shared" si="302"/>
        <v>1.9</v>
      </c>
      <c r="AD276" s="37">
        <f t="shared" si="302"/>
        <v>1.9</v>
      </c>
      <c r="AE276" s="22">
        <f t="shared" si="301"/>
        <v>1.6068620919387073</v>
      </c>
      <c r="AF276" s="22">
        <f t="shared" si="301"/>
        <v>1.8727959138352208</v>
      </c>
      <c r="AG276" s="22">
        <f>AF276*AE276</f>
        <v>3.0093247598795259</v>
      </c>
      <c r="AH276" s="38">
        <f>V276/AG276</f>
        <v>14.963489683912584</v>
      </c>
      <c r="AJ276" s="147" t="s">
        <v>500</v>
      </c>
      <c r="AK276" s="24">
        <f>(MAX(V273:V277)+ABS(MAX(W273:W277))/(AL274/1000))*1000</f>
        <v>63730.000000000007</v>
      </c>
      <c r="AL276" s="150" t="s">
        <v>502</v>
      </c>
      <c r="AM276" s="24">
        <f>+ABS(MAX(AK276:AK277))/(+AK274*2/10+AL274*2/10)/(AP274/10)</f>
        <v>165.96354166666669</v>
      </c>
      <c r="AN276" s="151" t="str">
        <f>IF(AM276&lt;=AM277,"OK","REDIS")</f>
        <v>OK</v>
      </c>
      <c r="AO276" s="150" t="s">
        <v>508</v>
      </c>
      <c r="AP276" s="24">
        <f>((AO274/10/2-AL274/10/2)/2)*((MAX(ABS(MAX(W273:W277)),ABS(MIN(W273:W277)))*100000))/(AL274/10)</f>
        <v>68200</v>
      </c>
      <c r="AQ276" s="150" t="s">
        <v>510</v>
      </c>
      <c r="AR276" s="24">
        <f>+AP276/(AK274*AP274*AP274/6/10/10/10)</f>
        <v>2368.0555555555557</v>
      </c>
      <c r="AS276" s="152" t="str">
        <f>IF(AR276&lt;=0.6*AR272*1.1,"OK","REDIS")</f>
        <v>REDIS</v>
      </c>
      <c r="AT276" s="24" t="s">
        <v>516</v>
      </c>
      <c r="AU276" s="174">
        <f>+AW274*(AP276/100000)/((AO274-AL274)/1000/4)/(AT274-1)</f>
        <v>1.8186666666666664</v>
      </c>
      <c r="AV276" s="24" t="s">
        <v>519</v>
      </c>
      <c r="AW276" s="175">
        <f>+AW274*(ABS(MAX(M273:M277))+ABS(MIN(M273:M277)+ABS(MAX(N273:N277))+ABS(MIN(N273:N277))))/AV274</f>
        <v>0.31114285714285711</v>
      </c>
      <c r="AX276" s="155" t="s">
        <v>525</v>
      </c>
      <c r="AY276" s="383">
        <f>IF(BC274=(1+1/4),+(11-1/4),IF(BC274=1,(9),IF(BC274=(7/8),(7-7/8),IF(BC274=(3/4),+(6-3/4),IF(BC274=(5/8),+(5-5/8),IF(BC274=(1/2),(4-1/2),IF(BC274=(3-3/8),+(7/16),"no valido")))))))</f>
        <v>10.75</v>
      </c>
      <c r="AZ276" s="166" t="s">
        <v>526</v>
      </c>
      <c r="BA276" s="168" t="s">
        <v>533</v>
      </c>
      <c r="BB276" s="153" t="s">
        <v>521</v>
      </c>
      <c r="BC276" s="44">
        <f>+AV274</f>
        <v>28</v>
      </c>
      <c r="BD276" s="166" t="s">
        <v>527</v>
      </c>
      <c r="BE276" s="162" t="s">
        <v>534</v>
      </c>
      <c r="BG276" s="123" t="s">
        <v>390</v>
      </c>
      <c r="BH276" s="43">
        <f>1.3*((BH274-0.2)/2)*1*((BH274)/4)*BO274</f>
        <v>6.2984999999999998</v>
      </c>
      <c r="BI276" s="198">
        <f>IF(BQ276=0,BT276,BM278)</f>
        <v>10.000000000000002</v>
      </c>
      <c r="BJ276" s="199">
        <f>IF(BQ276=0,0,BK278)</f>
        <v>0</v>
      </c>
      <c r="BK276" s="82">
        <f>ABS(BH276)*100000/(BH279*BH280*BH281*BH281*BH277)</f>
        <v>3.7028218694885359E-2</v>
      </c>
      <c r="BL276" s="82">
        <f>1-2.36*BK276</f>
        <v>0.91261340388007062</v>
      </c>
      <c r="BM276" s="200" t="str">
        <f>IF(BL276&gt;=0,"OK","OTRA SECCION")</f>
        <v>OK</v>
      </c>
      <c r="BN276" s="83">
        <f>+(BH277/BH278)*((1-SQRT(BL276))/1.18)</f>
        <v>1.8937281700524577E-3</v>
      </c>
      <c r="BO276" s="84">
        <f>IF(BH277&gt;280,(IF((0.85-(0.08*(BH277-280)/70))&gt;=0.65,0.65,(0.85-(0.05*(BH277-280)))/70)),0.85)</f>
        <v>0.85</v>
      </c>
      <c r="BP276" s="85">
        <f>0.5*((0.85*BH277*BO276*6000)/(BH278*(6000+BH278)))</f>
        <v>1.0625000000000001E-2</v>
      </c>
      <c r="BQ276" s="200">
        <f>IF(BN276&gt;BP276,1,0)</f>
        <v>0</v>
      </c>
      <c r="BR276" s="86">
        <f>14/BH278*BH280*BH281</f>
        <v>10.000000000000002</v>
      </c>
      <c r="BS276" s="82">
        <f>+BN276*BH280*BH281</f>
        <v>5.6811845101573732</v>
      </c>
      <c r="BT276" s="82">
        <f>IF(BS276&gt;BR276,BS276,BR276)</f>
        <v>10.000000000000002</v>
      </c>
      <c r="BU276" s="82">
        <f>+BJ280*BH280*BH281</f>
        <v>22.312499999999996</v>
      </c>
      <c r="BV276" s="87">
        <f>+BU276*BH278/(0.85*BH277*BH280*BO276)</f>
        <v>6.1764705882352935</v>
      </c>
    </row>
    <row r="277" spans="1:74" ht="15.75" thickBot="1" x14ac:dyDescent="0.3">
      <c r="A277" s="371" t="s">
        <v>750</v>
      </c>
      <c r="B277" s="371" t="s">
        <v>806</v>
      </c>
      <c r="C277" s="371" t="s">
        <v>389</v>
      </c>
      <c r="D277" s="369"/>
      <c r="E277" s="369"/>
      <c r="F277" s="369"/>
      <c r="G277" s="369"/>
      <c r="H277" s="369"/>
      <c r="I277" s="369"/>
      <c r="K277" s="39"/>
      <c r="L277" s="368" t="s">
        <v>803</v>
      </c>
      <c r="M277" s="41">
        <f>D273+D274-D276</f>
        <v>-1.26</v>
      </c>
      <c r="N277" s="41">
        <f>E273+E274-E276</f>
        <v>4.74</v>
      </c>
      <c r="O277" s="41">
        <f>F273+F274-F276</f>
        <v>41.650000000000006</v>
      </c>
      <c r="P277" s="41">
        <f>G273+G274-G276</f>
        <v>-6.82</v>
      </c>
      <c r="Q277" s="41">
        <f>H273+0.25*H274-H276</f>
        <v>-0.99249999999999994</v>
      </c>
      <c r="R277" s="42">
        <f>I273+0.25*I274-I276</f>
        <v>0</v>
      </c>
      <c r="S277" s="17"/>
      <c r="T277" s="29"/>
      <c r="U277" s="29" t="s">
        <v>378</v>
      </c>
      <c r="V277" s="23">
        <f t="shared" si="300"/>
        <v>41.650000000000006</v>
      </c>
      <c r="W277" s="23">
        <f t="shared" si="300"/>
        <v>-6.82</v>
      </c>
      <c r="X277" s="23">
        <f t="shared" si="300"/>
        <v>-0.99249999999999994</v>
      </c>
      <c r="Y277" s="29"/>
      <c r="Z277" s="31">
        <f>ABS(V277)/AC277/AD277</f>
        <v>11.53739612188366</v>
      </c>
      <c r="AA277" s="23">
        <f>ABS(+W277/V277)</f>
        <v>0.16374549819927969</v>
      </c>
      <c r="AB277" s="23">
        <f>ABS(X277/V277)</f>
        <v>2.3829531812725086E-2</v>
      </c>
      <c r="AC277" s="36">
        <f t="shared" si="302"/>
        <v>1.9</v>
      </c>
      <c r="AD277" s="37">
        <f t="shared" si="302"/>
        <v>1.9</v>
      </c>
      <c r="AE277" s="22">
        <f t="shared" si="301"/>
        <v>1.5725090036014406</v>
      </c>
      <c r="AF277" s="22">
        <f t="shared" si="301"/>
        <v>1.8523409363745498</v>
      </c>
      <c r="AG277" s="22">
        <f>AF277*AE277</f>
        <v>2.9128228001885028</v>
      </c>
      <c r="AH277" s="38">
        <f>V277/AG277</f>
        <v>14.298844405263731</v>
      </c>
      <c r="AJ277" s="147" t="s">
        <v>501</v>
      </c>
      <c r="AK277" s="24">
        <f>(MAX(V273:V277)+ABS(MAX(X273:X277))/(AK274/1000))*1000</f>
        <v>61955</v>
      </c>
      <c r="AL277" s="150" t="s">
        <v>505</v>
      </c>
      <c r="AM277" s="24">
        <f>+AR272*0.4/3</f>
        <v>466.66666666666669</v>
      </c>
      <c r="AN277" s="24"/>
      <c r="AO277" s="150" t="s">
        <v>509</v>
      </c>
      <c r="AP277" s="24">
        <f>((AN274/10/2-AK274/10/2)/2)*(MAX(+ABS(MAX(X273:X277)),ABS(MIN(X273:X277)))*100000/(AK274/10))</f>
        <v>83875.000000000015</v>
      </c>
      <c r="AQ277" s="150" t="s">
        <v>511</v>
      </c>
      <c r="AR277" s="24">
        <f>+AP277/(AL274*AP274*AP274/6/1000)</f>
        <v>1747.3958333333337</v>
      </c>
      <c r="AS277" s="152" t="str">
        <f>IF(AR277&lt;=0.6*AR272*1.1,"OK","REDIS")</f>
        <v>OK</v>
      </c>
      <c r="AT277" s="24" t="s">
        <v>517</v>
      </c>
      <c r="AU277" s="174">
        <f>+AW274*(AP277/100000)/((AN274-AK274)/1000/4)/(AU274-1)</f>
        <v>4.0260000000000007</v>
      </c>
      <c r="AV277" s="24"/>
      <c r="AW277" s="161"/>
      <c r="AX277" s="156" t="s">
        <v>522</v>
      </c>
      <c r="AY277" s="181">
        <f>IF(AY275=(1+3/8),+AV274/3,IF(AY275=(1+1/8),+AV274/6,IF(AY275=1,+AV274/8,IF(AY275=(7/8),+AV274/11,IF(AY275=0.75,+AV274/18,IF(AY275=(9/16),+AV274/45,IF(AY275=(7/16),+AV274/84,"NO HAY DATO")))))))</f>
        <v>9.3333333333333339</v>
      </c>
      <c r="AZ277" s="167" t="s">
        <v>527</v>
      </c>
      <c r="BA277" s="386">
        <f>ROUNDUP(+AY276*2.54,0)</f>
        <v>28</v>
      </c>
      <c r="BB277" s="164" t="s">
        <v>523</v>
      </c>
      <c r="BC277" s="129">
        <f>+BC276*BC275*2.54/100</f>
        <v>9.7789999999999999</v>
      </c>
      <c r="BD277" s="173" t="s">
        <v>528</v>
      </c>
      <c r="BE277" s="385">
        <f>ROUNDUP(+BC275*2.54,0)</f>
        <v>35</v>
      </c>
      <c r="BG277" s="65" t="s">
        <v>179</v>
      </c>
      <c r="BH277" s="66">
        <v>210</v>
      </c>
      <c r="BI277" s="88" t="s">
        <v>180</v>
      </c>
      <c r="BJ277" s="74" t="s">
        <v>181</v>
      </c>
      <c r="BK277" s="74" t="s">
        <v>182</v>
      </c>
      <c r="BL277" s="74" t="s">
        <v>183</v>
      </c>
      <c r="BM277" s="74" t="s">
        <v>165</v>
      </c>
      <c r="BN277" s="74" t="s">
        <v>184</v>
      </c>
      <c r="BO277" s="74" t="s">
        <v>185</v>
      </c>
      <c r="BP277" s="74" t="s">
        <v>186</v>
      </c>
      <c r="BQ277" s="74" t="s">
        <v>187</v>
      </c>
      <c r="BR277" s="74" t="s">
        <v>188</v>
      </c>
      <c r="BS277" s="74" t="s">
        <v>189</v>
      </c>
      <c r="BT277" s="74" t="s">
        <v>190</v>
      </c>
      <c r="BU277" s="75" t="s">
        <v>191</v>
      </c>
      <c r="BV277" s="89"/>
    </row>
    <row r="278" spans="1:74" ht="15.75" thickBot="1" x14ac:dyDescent="0.3">
      <c r="A278" s="371" t="s">
        <v>750</v>
      </c>
      <c r="B278" s="371" t="s">
        <v>807</v>
      </c>
      <c r="C278" s="371" t="s">
        <v>389</v>
      </c>
      <c r="D278" s="369"/>
      <c r="E278" s="369"/>
      <c r="F278" s="369"/>
      <c r="G278" s="369"/>
      <c r="H278" s="369"/>
      <c r="I278" s="369"/>
      <c r="K278" s="25" t="s">
        <v>357</v>
      </c>
      <c r="L278" s="26" t="s">
        <v>358</v>
      </c>
      <c r="M278" s="27" t="s">
        <v>359</v>
      </c>
      <c r="N278" s="27" t="s">
        <v>360</v>
      </c>
      <c r="O278" s="27" t="s">
        <v>361</v>
      </c>
      <c r="P278" s="27" t="s">
        <v>362</v>
      </c>
      <c r="Q278" s="27" t="s">
        <v>363</v>
      </c>
      <c r="R278" s="28" t="s">
        <v>364</v>
      </c>
      <c r="S278" s="17"/>
      <c r="T278" s="29" t="s">
        <v>365</v>
      </c>
      <c r="U278" s="29" t="s">
        <v>358</v>
      </c>
      <c r="V278" s="30" t="s">
        <v>361</v>
      </c>
      <c r="W278" s="30" t="s">
        <v>362</v>
      </c>
      <c r="X278" s="30" t="s">
        <v>363</v>
      </c>
      <c r="Y278" s="29" t="s">
        <v>366</v>
      </c>
      <c r="Z278" s="31" t="s">
        <v>367</v>
      </c>
      <c r="AA278" s="23" t="s">
        <v>368</v>
      </c>
      <c r="AB278" s="23" t="s">
        <v>369</v>
      </c>
      <c r="AC278" s="22" t="s">
        <v>0</v>
      </c>
      <c r="AD278" s="22" t="s">
        <v>1</v>
      </c>
      <c r="AE278" s="22" t="s">
        <v>370</v>
      </c>
      <c r="AF278" s="22" t="s">
        <v>371</v>
      </c>
      <c r="AG278" s="22" t="s">
        <v>372</v>
      </c>
      <c r="AH278" s="32" t="s">
        <v>373</v>
      </c>
      <c r="AJ278" s="143" t="s">
        <v>365</v>
      </c>
      <c r="AK278" s="144" t="s">
        <v>498</v>
      </c>
      <c r="AL278" s="145"/>
      <c r="AM278" s="139"/>
      <c r="AN278" s="146" t="s">
        <v>499</v>
      </c>
      <c r="AO278" s="145"/>
      <c r="AP278" s="139"/>
      <c r="AQ278" s="147" t="s">
        <v>506</v>
      </c>
      <c r="AR278" s="48">
        <v>3500</v>
      </c>
      <c r="AS278" s="147" t="s">
        <v>405</v>
      </c>
      <c r="AT278" s="146" t="s">
        <v>512</v>
      </c>
      <c r="AU278" s="145"/>
      <c r="AV278" s="145"/>
      <c r="AW278" s="145"/>
      <c r="AX278" s="382" t="s">
        <v>532</v>
      </c>
      <c r="AY278" s="157" t="s">
        <v>515</v>
      </c>
      <c r="AZ278" s="169">
        <v>6.9</v>
      </c>
      <c r="BA278" s="171" t="str">
        <f>IF(MAX(AU282:AU283)&lt;=AZ278,"OK","REDIS")</f>
        <v>OK</v>
      </c>
      <c r="BB278" s="382" t="s">
        <v>536</v>
      </c>
      <c r="BC278" s="170" t="s">
        <v>515</v>
      </c>
      <c r="BD278" s="169">
        <v>8.36</v>
      </c>
      <c r="BE278" s="171" t="str">
        <f>IF(MAX(AU282:AU283)&lt;=BD278,"OK","REDIS")</f>
        <v>OK</v>
      </c>
      <c r="BG278" s="67" t="s">
        <v>192</v>
      </c>
      <c r="BH278" s="68">
        <v>4200</v>
      </c>
      <c r="BI278" s="90">
        <f>IF(6000*(1-BH282/BV276)&gt;BH278,BH278,6000*(1-BH282/BV276))</f>
        <v>1142.8571428571422</v>
      </c>
      <c r="BJ278" s="91">
        <f>ABS(BH276)-BJ282</f>
        <v>-16.783275314062504</v>
      </c>
      <c r="BK278" s="77">
        <f>IF(BQ276=0,0,+BJ278*100000/(BH279*BI278*(BH281-BH282)))</f>
        <v>0</v>
      </c>
      <c r="BL278" s="77">
        <f>+BK278*BI278/BH278</f>
        <v>0</v>
      </c>
      <c r="BM278" s="77">
        <f>+BL278+BU276</f>
        <v>22.312499999999996</v>
      </c>
      <c r="BN278" s="92">
        <f>2*BP276</f>
        <v>2.1250000000000002E-2</v>
      </c>
      <c r="BO278" s="92">
        <f>+BM278/BH280/BH281</f>
        <v>7.4374999999999988E-3</v>
      </c>
      <c r="BP278" s="79">
        <f>+BO278*BK278/BM278</f>
        <v>0</v>
      </c>
      <c r="BQ278" s="77">
        <f>6000*BH280/(6000+BH278)</f>
        <v>58.823529411764703</v>
      </c>
      <c r="BR278" s="79">
        <f>IF(6000*(1-BH282/BQ278)&gt;BH278,BH278,6000*(1-BH282/BQ278))</f>
        <v>4200</v>
      </c>
      <c r="BS278" s="92">
        <f>+BN278+BP278*BR278/BH278</f>
        <v>2.1250000000000002E-2</v>
      </c>
      <c r="BT278" s="92">
        <f>0.5*BS278</f>
        <v>1.0625000000000001E-2</v>
      </c>
      <c r="BU278" s="201" t="str">
        <f>IF(BN276&gt;BT278,"NO DUCTIL","DUCTIL")</f>
        <v>DUCTIL</v>
      </c>
      <c r="BV278" s="81"/>
    </row>
    <row r="279" spans="1:74" ht="15.75" thickBot="1" x14ac:dyDescent="0.3">
      <c r="A279" s="371" t="s">
        <v>751</v>
      </c>
      <c r="B279" s="371" t="s">
        <v>351</v>
      </c>
      <c r="C279" s="371" t="s">
        <v>352</v>
      </c>
      <c r="D279" s="378">
        <v>-0.78</v>
      </c>
      <c r="E279" s="378">
        <v>0</v>
      </c>
      <c r="F279" s="378">
        <v>34.270000000000003</v>
      </c>
      <c r="G279" s="378">
        <v>-0.04</v>
      </c>
      <c r="H279" s="378">
        <v>-0.83</v>
      </c>
      <c r="I279" s="378">
        <v>0</v>
      </c>
      <c r="K279" s="33" t="str">
        <f>+A279</f>
        <v>37</v>
      </c>
      <c r="L279" s="17" t="s">
        <v>374</v>
      </c>
      <c r="M279" s="34">
        <f t="shared" ref="M279:R279" si="303">D279+D280</f>
        <v>-1.24</v>
      </c>
      <c r="N279" s="34">
        <f t="shared" si="303"/>
        <v>0</v>
      </c>
      <c r="O279" s="34">
        <f t="shared" si="303"/>
        <v>47.760000000000005</v>
      </c>
      <c r="P279" s="34">
        <f t="shared" si="303"/>
        <v>-0.04</v>
      </c>
      <c r="Q279" s="34">
        <f t="shared" si="303"/>
        <v>-1.33</v>
      </c>
      <c r="R279" s="35">
        <f t="shared" si="303"/>
        <v>0</v>
      </c>
      <c r="S279" s="17"/>
      <c r="T279" s="29" t="str">
        <f>K279</f>
        <v>37</v>
      </c>
      <c r="U279" s="29" t="s">
        <v>374</v>
      </c>
      <c r="V279" s="23">
        <f t="shared" ref="V279:X283" si="304">O279</f>
        <v>47.760000000000005</v>
      </c>
      <c r="W279" s="23">
        <f t="shared" si="304"/>
        <v>-0.04</v>
      </c>
      <c r="X279" s="23">
        <f t="shared" si="304"/>
        <v>-1.33</v>
      </c>
      <c r="Y279" s="29">
        <v>12</v>
      </c>
      <c r="Z279" s="31">
        <f>ABS(V279)/AC279/AD279</f>
        <v>13.229916897506929</v>
      </c>
      <c r="AA279" s="23">
        <f>ABS(+W279/V279)</f>
        <v>8.3752093802345049E-4</v>
      </c>
      <c r="AB279" s="23">
        <f>ABS(X279/V279)</f>
        <v>2.7847571189279729E-2</v>
      </c>
      <c r="AC279" s="36">
        <v>1.9</v>
      </c>
      <c r="AD279" s="37">
        <v>1.9</v>
      </c>
      <c r="AE279" s="22">
        <f t="shared" ref="AE279:AF283" si="305">AC279-2*AA279</f>
        <v>1.898324958123953</v>
      </c>
      <c r="AF279" s="22">
        <f t="shared" si="305"/>
        <v>1.8443048576214405</v>
      </c>
      <c r="AG279" s="22">
        <f>AF279*AE279</f>
        <v>3.5010899416120238</v>
      </c>
      <c r="AH279" s="38">
        <f>V279/AG279</f>
        <v>13.641466170963216</v>
      </c>
      <c r="AJ279" s="379" t="str">
        <f>+A279</f>
        <v>37</v>
      </c>
      <c r="AK279" s="147" t="s">
        <v>0</v>
      </c>
      <c r="AL279" s="147" t="s">
        <v>1</v>
      </c>
      <c r="AM279" s="147" t="s">
        <v>438</v>
      </c>
      <c r="AN279" s="147" t="s">
        <v>503</v>
      </c>
      <c r="AO279" s="147" t="s">
        <v>504</v>
      </c>
      <c r="AP279" s="147" t="s">
        <v>323</v>
      </c>
      <c r="AQ279" s="48"/>
      <c r="AR279" s="48"/>
      <c r="AS279" s="48"/>
      <c r="AT279" s="147" t="s">
        <v>0</v>
      </c>
      <c r="AU279" s="147" t="s">
        <v>1</v>
      </c>
      <c r="AV279" s="147" t="s">
        <v>513</v>
      </c>
      <c r="AW279" s="159" t="s">
        <v>520</v>
      </c>
      <c r="AX279" s="141" t="s">
        <v>530</v>
      </c>
      <c r="AY279" s="157" t="s">
        <v>178</v>
      </c>
      <c r="AZ279" s="44">
        <v>12</v>
      </c>
      <c r="BA279" s="172" t="str">
        <f>IF(AW282&lt;=AZ279,"OK","REDIS")</f>
        <v>OK</v>
      </c>
      <c r="BB279" s="384" t="s">
        <v>535</v>
      </c>
      <c r="BC279" s="120" t="s">
        <v>178</v>
      </c>
      <c r="BD279" s="44">
        <v>4.3</v>
      </c>
      <c r="BE279" s="172" t="str">
        <f>IF(AW282&lt;=BD279,"OK","REDIS")</f>
        <v>OK</v>
      </c>
      <c r="BG279" s="67" t="s">
        <v>193</v>
      </c>
      <c r="BH279" s="68">
        <v>0.9</v>
      </c>
      <c r="BI279" s="202" t="s">
        <v>197</v>
      </c>
      <c r="BJ279" s="93">
        <v>0.7</v>
      </c>
      <c r="BK279" s="98" t="s">
        <v>202</v>
      </c>
      <c r="BL279" s="99"/>
      <c r="BM279" s="203"/>
      <c r="BN279" s="100"/>
      <c r="BO279" s="101"/>
      <c r="BR279" s="98" t="s">
        <v>203</v>
      </c>
      <c r="BS279" s="99"/>
      <c r="BT279" s="203"/>
      <c r="BU279" s="100"/>
      <c r="BV279" s="101"/>
    </row>
    <row r="280" spans="1:74" ht="15" x14ac:dyDescent="0.25">
      <c r="A280" s="371" t="s">
        <v>751</v>
      </c>
      <c r="B280" s="371" t="s">
        <v>353</v>
      </c>
      <c r="C280" s="371" t="s">
        <v>352</v>
      </c>
      <c r="D280" s="378">
        <v>-0.46</v>
      </c>
      <c r="E280" s="378">
        <v>0</v>
      </c>
      <c r="F280" s="378">
        <v>13.49</v>
      </c>
      <c r="G280" s="378">
        <v>0</v>
      </c>
      <c r="H280" s="378">
        <v>-0.5</v>
      </c>
      <c r="I280" s="378">
        <v>0</v>
      </c>
      <c r="K280" s="33"/>
      <c r="L280" t="s">
        <v>800</v>
      </c>
      <c r="M280" s="34">
        <f>D279+D280+D281</f>
        <v>-6.17</v>
      </c>
      <c r="N280" s="34">
        <f>E279+E280+E281</f>
        <v>0.19</v>
      </c>
      <c r="O280" s="34">
        <f>F279+F280+F281</f>
        <v>42.06</v>
      </c>
      <c r="P280" s="34">
        <f>G279+G280+G281</f>
        <v>-0.33999999999999997</v>
      </c>
      <c r="Q280" s="34">
        <f>H279+0.25*H280+H281</f>
        <v>-5.1550000000000002</v>
      </c>
      <c r="R280" s="35">
        <f>I279+0.25*I280+I281</f>
        <v>0</v>
      </c>
      <c r="S280" s="17"/>
      <c r="T280" s="29"/>
      <c r="U280" s="29" t="s">
        <v>375</v>
      </c>
      <c r="V280" s="23">
        <f t="shared" si="304"/>
        <v>42.06</v>
      </c>
      <c r="W280" s="23">
        <f t="shared" si="304"/>
        <v>-0.33999999999999997</v>
      </c>
      <c r="X280" s="23">
        <f t="shared" si="304"/>
        <v>-5.1550000000000002</v>
      </c>
      <c r="Y280" s="29">
        <f>1.33*Y279</f>
        <v>15.96</v>
      </c>
      <c r="Z280" s="31">
        <f>ABS(V280)/AC280/AD280</f>
        <v>11.650969529085874</v>
      </c>
      <c r="AA280" s="23">
        <f>ABS(+W280/V280)</f>
        <v>8.0836899667142172E-3</v>
      </c>
      <c r="AB280" s="23">
        <f>ABS(X280/V280)</f>
        <v>0.12256300523062291</v>
      </c>
      <c r="AC280" s="36">
        <f t="shared" ref="AC280:AD283" si="306">AC279</f>
        <v>1.9</v>
      </c>
      <c r="AD280" s="37">
        <f t="shared" si="306"/>
        <v>1.9</v>
      </c>
      <c r="AE280" s="22">
        <f t="shared" si="305"/>
        <v>1.8838326200665714</v>
      </c>
      <c r="AF280" s="22">
        <f t="shared" si="305"/>
        <v>1.6548739895387541</v>
      </c>
      <c r="AG280" s="22">
        <f>AF280*AE280</f>
        <v>3.1175056035928108</v>
      </c>
      <c r="AH280" s="38">
        <f>V280/AG280</f>
        <v>13.491555540919444</v>
      </c>
      <c r="AJ280" s="147" t="s">
        <v>539</v>
      </c>
      <c r="AK280" s="148">
        <v>300</v>
      </c>
      <c r="AL280" s="148">
        <v>500</v>
      </c>
      <c r="AM280" s="148">
        <v>28</v>
      </c>
      <c r="AN280" s="380">
        <v>400</v>
      </c>
      <c r="AO280" s="380">
        <v>600</v>
      </c>
      <c r="AP280" s="380">
        <v>24</v>
      </c>
      <c r="AQ280" s="48"/>
      <c r="AR280" s="48"/>
      <c r="AS280" s="48"/>
      <c r="AT280" s="381">
        <v>12</v>
      </c>
      <c r="AU280" s="381">
        <v>8</v>
      </c>
      <c r="AV280" s="380">
        <f>+AT280*2+(AU280-2)*2</f>
        <v>36</v>
      </c>
      <c r="AW280" s="159">
        <v>1.2</v>
      </c>
      <c r="AX280" s="155" t="s">
        <v>538</v>
      </c>
      <c r="AY280" s="180">
        <f>+AV280</f>
        <v>36</v>
      </c>
      <c r="BA280" s="154"/>
      <c r="BB280" s="177" t="s">
        <v>537</v>
      </c>
      <c r="BC280" s="179">
        <v>1.25</v>
      </c>
      <c r="BD280" s="166" t="s">
        <v>526</v>
      </c>
      <c r="BE280" s="154"/>
      <c r="BG280" s="67" t="s">
        <v>194</v>
      </c>
      <c r="BH280" s="68">
        <v>100</v>
      </c>
      <c r="BI280" s="94" t="s">
        <v>169</v>
      </c>
      <c r="BJ280" s="96">
        <f>+BJ279*BP276</f>
        <v>7.4374999999999997E-3</v>
      </c>
      <c r="BK280" s="204" t="s">
        <v>380</v>
      </c>
      <c r="BL280" s="103">
        <f>1.3*1*(BH274-0.1-BK274)*BO274</f>
        <v>22.619999999999997</v>
      </c>
      <c r="BM280" s="104" t="s">
        <v>176</v>
      </c>
      <c r="BN280" s="74" t="s">
        <v>177</v>
      </c>
      <c r="BO280" s="105" t="s">
        <v>178</v>
      </c>
      <c r="BR280" s="204" t="s">
        <v>380</v>
      </c>
      <c r="BS280" s="103">
        <f>(+BH274*BH274-BK274*BK274)*1.3*BO274</f>
        <v>54.404999999999994</v>
      </c>
      <c r="BT280" s="104" t="s">
        <v>176</v>
      </c>
      <c r="BU280" s="74" t="s">
        <v>177</v>
      </c>
      <c r="BV280" s="105" t="s">
        <v>178</v>
      </c>
    </row>
    <row r="281" spans="1:74" ht="15" x14ac:dyDescent="0.25">
      <c r="A281" s="371" t="s">
        <v>751</v>
      </c>
      <c r="B281" s="371" t="s">
        <v>354</v>
      </c>
      <c r="C281" s="371" t="s">
        <v>352</v>
      </c>
      <c r="D281" s="378">
        <v>-4.93</v>
      </c>
      <c r="E281" s="378">
        <v>0.19</v>
      </c>
      <c r="F281" s="378">
        <v>-5.7</v>
      </c>
      <c r="G281" s="378">
        <v>-0.3</v>
      </c>
      <c r="H281" s="378">
        <v>-4.2</v>
      </c>
      <c r="I281" s="378">
        <v>0</v>
      </c>
      <c r="K281" s="33"/>
      <c r="L281" t="s">
        <v>801</v>
      </c>
      <c r="M281" s="34">
        <f>D279+D280-D281</f>
        <v>3.6899999999999995</v>
      </c>
      <c r="N281" s="34">
        <f>E279+E280-E281</f>
        <v>-0.19</v>
      </c>
      <c r="O281" s="34">
        <f>F279+F280-F281</f>
        <v>53.460000000000008</v>
      </c>
      <c r="P281" s="34">
        <f>G279+G280-G281</f>
        <v>0.26</v>
      </c>
      <c r="Q281" s="34">
        <f>H279+0.25*H280-H281</f>
        <v>3.2450000000000001</v>
      </c>
      <c r="R281" s="35">
        <f>I279+0.25*I280-I281</f>
        <v>0</v>
      </c>
      <c r="S281" s="17"/>
      <c r="T281" s="29"/>
      <c r="U281" s="29" t="s">
        <v>376</v>
      </c>
      <c r="V281" s="23">
        <f t="shared" si="304"/>
        <v>53.460000000000008</v>
      </c>
      <c r="W281" s="23">
        <f t="shared" si="304"/>
        <v>0.26</v>
      </c>
      <c r="X281" s="23">
        <f t="shared" si="304"/>
        <v>3.2450000000000001</v>
      </c>
      <c r="Y281" s="29"/>
      <c r="Z281" s="31">
        <f>ABS(V281)/AC281/AD281</f>
        <v>14.808864265927982</v>
      </c>
      <c r="AA281" s="23">
        <f>ABS(+W281/V281)</f>
        <v>4.8634493078937519E-3</v>
      </c>
      <c r="AB281" s="23">
        <f>ABS(X281/V281)</f>
        <v>6.0699588477366249E-2</v>
      </c>
      <c r="AC281" s="36">
        <f t="shared" si="306"/>
        <v>1.9</v>
      </c>
      <c r="AD281" s="37">
        <f t="shared" si="306"/>
        <v>1.9</v>
      </c>
      <c r="AE281" s="22">
        <f t="shared" si="305"/>
        <v>1.8902731013842125</v>
      </c>
      <c r="AF281" s="22">
        <f t="shared" si="305"/>
        <v>1.7786008230452675</v>
      </c>
      <c r="AG281" s="22">
        <f>AF281*AE281</f>
        <v>3.3620412939022906</v>
      </c>
      <c r="AH281" s="38">
        <f>V281/AG281</f>
        <v>15.901053951050516</v>
      </c>
      <c r="AJ281" s="146" t="s">
        <v>514</v>
      </c>
      <c r="AK281" s="145"/>
      <c r="AL281" s="145"/>
      <c r="AM281" s="145"/>
      <c r="AN281" s="139"/>
      <c r="AO281" s="146" t="s">
        <v>507</v>
      </c>
      <c r="AP281" s="145" t="s">
        <v>626</v>
      </c>
      <c r="AQ281" s="145">
        <f>0.6*AR278</f>
        <v>2100</v>
      </c>
      <c r="AR281" s="212" t="s">
        <v>627</v>
      </c>
      <c r="AS281" s="211">
        <f>+AR282+AR283</f>
        <v>2059.895833333333</v>
      </c>
      <c r="AT281" s="48" t="s">
        <v>515</v>
      </c>
      <c r="AU281" s="48"/>
      <c r="AV281" s="48" t="s">
        <v>518</v>
      </c>
      <c r="AW281" s="160"/>
      <c r="AX281" s="155" t="s">
        <v>524</v>
      </c>
      <c r="AY281" s="182">
        <f>IF(BC280=(1+1/4),+(1+3/8),IF(BC280=1,(1+1/8),IF(BC280=(7/8),1,IF(BC280=(3/4),+(7/8),IF(BC280=(5/8),+(3/4),IF(BC280=(1/2),(9/16),IF(BC280=(3/8),+(7/16),"no valido")))))))</f>
        <v>1.375</v>
      </c>
      <c r="AZ281" s="165" t="s">
        <v>526</v>
      </c>
      <c r="BA281" s="172" t="s">
        <v>531</v>
      </c>
      <c r="BB281" s="178" t="s">
        <v>529</v>
      </c>
      <c r="BC281" s="158">
        <f>+AY282+3</f>
        <v>13.75</v>
      </c>
      <c r="BD281" s="166" t="s">
        <v>526</v>
      </c>
      <c r="BE281" s="172" t="s">
        <v>531</v>
      </c>
      <c r="BG281" s="67" t="s">
        <v>195</v>
      </c>
      <c r="BH281" s="68">
        <f>+BK274*100-5</f>
        <v>30</v>
      </c>
      <c r="BI281" s="94" t="s">
        <v>373</v>
      </c>
      <c r="BJ281" s="96">
        <f>+BJ280*BH278/BH277</f>
        <v>0.14874999999999999</v>
      </c>
      <c r="BK281" s="106"/>
      <c r="BL281" s="48"/>
      <c r="BM281" s="102">
        <f>SQRT(BH277)*0.53*BH280*BH281/1000</f>
        <v>23.041289026441206</v>
      </c>
      <c r="BN281" s="73">
        <f>SQRT(BH277)*0.93*BH280*BH281/1000</f>
        <v>40.430941121868536</v>
      </c>
      <c r="BO281" s="205" t="str">
        <f>IF(BL280&lt;BN281,"OK","REDIS")</f>
        <v>OK</v>
      </c>
      <c r="BR281" s="106"/>
      <c r="BS281" s="48"/>
      <c r="BT281" s="102">
        <f>SQRT(BH277)*0.53*(+BK274*100*4+0.3*2+0.4*2)*BK274*100/1000</f>
        <v>38.010446463952512</v>
      </c>
      <c r="BU281" s="73">
        <f>+BT281*0.93/0.53</f>
        <v>66.69757587070913</v>
      </c>
      <c r="BV281" s="205" t="str">
        <f>IF(BS280&lt;BU281,"OK","REDIS")</f>
        <v>OK</v>
      </c>
    </row>
    <row r="282" spans="1:74" ht="15.75" thickBot="1" x14ac:dyDescent="0.3">
      <c r="A282" s="371" t="s">
        <v>751</v>
      </c>
      <c r="B282" s="371" t="s">
        <v>355</v>
      </c>
      <c r="C282" s="371" t="s">
        <v>352</v>
      </c>
      <c r="D282" s="378">
        <v>0.08</v>
      </c>
      <c r="E282" s="378">
        <v>-4.58</v>
      </c>
      <c r="F282" s="378">
        <v>-0.24</v>
      </c>
      <c r="G282" s="378">
        <v>6.67</v>
      </c>
      <c r="H282" s="378">
        <v>7.0000000000000007E-2</v>
      </c>
      <c r="I282" s="378">
        <v>0</v>
      </c>
      <c r="K282" s="33"/>
      <c r="L282" t="s">
        <v>802</v>
      </c>
      <c r="M282" s="34">
        <f>D279+D280+D282</f>
        <v>-1.1599999999999999</v>
      </c>
      <c r="N282" s="34">
        <f>E279+E280+E282</f>
        <v>-4.58</v>
      </c>
      <c r="O282" s="34">
        <f>F279+F280+F282</f>
        <v>47.52</v>
      </c>
      <c r="P282" s="34">
        <f>G279+G280+G282</f>
        <v>6.63</v>
      </c>
      <c r="Q282" s="34">
        <f>H279+0.25*H280+H282</f>
        <v>-0.88500000000000001</v>
      </c>
      <c r="R282" s="35">
        <f>I279+0.25*I280+I282</f>
        <v>0</v>
      </c>
      <c r="S282" s="17"/>
      <c r="T282" s="29"/>
      <c r="U282" s="29" t="s">
        <v>377</v>
      </c>
      <c r="V282" s="23">
        <f t="shared" si="304"/>
        <v>47.52</v>
      </c>
      <c r="W282" s="23">
        <f t="shared" si="304"/>
        <v>6.63</v>
      </c>
      <c r="X282" s="23">
        <f t="shared" si="304"/>
        <v>-0.88500000000000001</v>
      </c>
      <c r="Y282" s="29"/>
      <c r="Z282" s="31">
        <f>ABS(V282)/AC282/AD282</f>
        <v>13.163434903047094</v>
      </c>
      <c r="AA282" s="23">
        <f>ABS(+W282/V282)</f>
        <v>0.13952020202020202</v>
      </c>
      <c r="AB282" s="23">
        <f>ABS(X282/V282)</f>
        <v>1.8623737373737372E-2</v>
      </c>
      <c r="AC282" s="36">
        <f t="shared" si="306"/>
        <v>1.9</v>
      </c>
      <c r="AD282" s="37">
        <f t="shared" si="306"/>
        <v>1.9</v>
      </c>
      <c r="AE282" s="22">
        <f t="shared" si="305"/>
        <v>1.6209595959595959</v>
      </c>
      <c r="AF282" s="22">
        <f t="shared" si="305"/>
        <v>1.8627525252525252</v>
      </c>
      <c r="AG282" s="22">
        <f>AF282*AE282</f>
        <v>3.0194465807060502</v>
      </c>
      <c r="AH282" s="38">
        <f>V282/AG282</f>
        <v>15.73798334557328</v>
      </c>
      <c r="AJ282" s="147" t="s">
        <v>500</v>
      </c>
      <c r="AK282" s="24">
        <f>(MAX(V279:V283)+ABS(MAX(W279:W283))/(AL280/1000))*1000</f>
        <v>66720.000000000015</v>
      </c>
      <c r="AL282" s="150" t="s">
        <v>502</v>
      </c>
      <c r="AM282" s="24">
        <f>+ABS(MAX(AK282:AK283))/(+AK280*2/10+AL280*2/10)/(AP280/10)</f>
        <v>173.75000000000006</v>
      </c>
      <c r="AN282" s="151" t="str">
        <f>IF(AM282&lt;=AM283,"OK","REDIS")</f>
        <v>OK</v>
      </c>
      <c r="AO282" s="150" t="s">
        <v>508</v>
      </c>
      <c r="AP282" s="24">
        <f>((AO280/10/2-AL280/10/2)/2)*((MAX(ABS(MAX(W279:W283)),ABS(MIN(W279:W283)))*100000))/(AL280/10)</f>
        <v>33550</v>
      </c>
      <c r="AQ282" s="150" t="s">
        <v>510</v>
      </c>
      <c r="AR282" s="24">
        <f>+AP282/(AK280*AP280*AP280/6/10/10/10)</f>
        <v>1164.9305555555554</v>
      </c>
      <c r="AS282" s="152" t="str">
        <f>IF(AR282&lt;=0.6*AR278*1.1,"OK","REDIS")</f>
        <v>OK</v>
      </c>
      <c r="AT282" s="24" t="s">
        <v>516</v>
      </c>
      <c r="AU282" s="174">
        <f>+AW280*(AP282/100000)/((AO280-AL280)/1000/4)/(AT280-1)</f>
        <v>1.464</v>
      </c>
      <c r="AV282" s="24" t="s">
        <v>519</v>
      </c>
      <c r="AW282" s="175">
        <f>+AW280*(ABS(MAX(M279:M283))+ABS(MIN(M279:M283)+ABS(MAX(N279:N283))+ABS(MIN(N279:N283))))/AV280</f>
        <v>0.22266666666666668</v>
      </c>
      <c r="AX282" s="155" t="s">
        <v>525</v>
      </c>
      <c r="AY282" s="383">
        <f>IF(BC280=(1+1/4),+(11-1/4),IF(BC280=1,(9),IF(BC280=(7/8),(7-7/8),IF(BC280=(3/4),+(6-3/4),IF(BC280=(5/8),+(5-5/8),IF(BC280=(1/2),(4-1/2),IF(BC280=(3-3/8),+(7/16),"no valido")))))))</f>
        <v>10.75</v>
      </c>
      <c r="AZ282" s="166" t="s">
        <v>526</v>
      </c>
      <c r="BA282" s="168" t="s">
        <v>533</v>
      </c>
      <c r="BB282" s="153" t="s">
        <v>521</v>
      </c>
      <c r="BC282" s="44">
        <f>+AV280</f>
        <v>36</v>
      </c>
      <c r="BD282" s="166" t="s">
        <v>527</v>
      </c>
      <c r="BE282" s="162" t="s">
        <v>534</v>
      </c>
      <c r="BG282" s="71" t="s">
        <v>196</v>
      </c>
      <c r="BH282" s="72">
        <v>5</v>
      </c>
      <c r="BI282" s="95" t="s">
        <v>198</v>
      </c>
      <c r="BJ282" s="97">
        <f>+BH279*BH277*BH280*BH281*BH281*BJ281*(1-0.59*BJ281)/100000</f>
        <v>23.081775314062504</v>
      </c>
      <c r="BK282" s="107"/>
      <c r="BL282" s="80"/>
      <c r="BM282" s="206"/>
      <c r="BN282" s="78"/>
      <c r="BO282" s="108"/>
      <c r="BR282" s="107"/>
      <c r="BS282" s="80"/>
      <c r="BT282" s="206"/>
      <c r="BU282" s="78"/>
      <c r="BV282" s="108"/>
    </row>
    <row r="283" spans="1:74" ht="15.75" thickBot="1" x14ac:dyDescent="0.3">
      <c r="A283" s="371" t="s">
        <v>751</v>
      </c>
      <c r="B283" s="371" t="s">
        <v>806</v>
      </c>
      <c r="C283" s="371" t="s">
        <v>389</v>
      </c>
      <c r="D283" s="369"/>
      <c r="E283" s="369"/>
      <c r="F283" s="369"/>
      <c r="G283" s="369"/>
      <c r="H283" s="369"/>
      <c r="I283" s="369"/>
      <c r="K283" s="39"/>
      <c r="L283" s="368" t="s">
        <v>803</v>
      </c>
      <c r="M283" s="41">
        <f>D279+D280-D282</f>
        <v>-1.32</v>
      </c>
      <c r="N283" s="41">
        <f>E279+E280-E282</f>
        <v>4.58</v>
      </c>
      <c r="O283" s="41">
        <f>F279+F280-F282</f>
        <v>48.000000000000007</v>
      </c>
      <c r="P283" s="41">
        <f>G279+G280-G282</f>
        <v>-6.71</v>
      </c>
      <c r="Q283" s="41">
        <f>H279+0.25*H280-H282</f>
        <v>-1.0249999999999999</v>
      </c>
      <c r="R283" s="42">
        <f>I279+0.25*I280-I282</f>
        <v>0</v>
      </c>
      <c r="S283" s="17"/>
      <c r="T283" s="29"/>
      <c r="U283" s="29" t="s">
        <v>378</v>
      </c>
      <c r="V283" s="23">
        <f t="shared" si="304"/>
        <v>48.000000000000007</v>
      </c>
      <c r="W283" s="23">
        <f t="shared" si="304"/>
        <v>-6.71</v>
      </c>
      <c r="X283" s="23">
        <f t="shared" si="304"/>
        <v>-1.0249999999999999</v>
      </c>
      <c r="Y283" s="29"/>
      <c r="Z283" s="31">
        <f>ABS(V283)/AC283/AD283</f>
        <v>13.296398891966762</v>
      </c>
      <c r="AA283" s="23">
        <f>ABS(+W283/V283)</f>
        <v>0.13979166666666665</v>
      </c>
      <c r="AB283" s="23">
        <f>ABS(X283/V283)</f>
        <v>2.135416666666666E-2</v>
      </c>
      <c r="AC283" s="36">
        <f t="shared" si="306"/>
        <v>1.9</v>
      </c>
      <c r="AD283" s="37">
        <f t="shared" si="306"/>
        <v>1.9</v>
      </c>
      <c r="AE283" s="22">
        <f t="shared" si="305"/>
        <v>1.6204166666666666</v>
      </c>
      <c r="AF283" s="22">
        <f t="shared" si="305"/>
        <v>1.8572916666666666</v>
      </c>
      <c r="AG283" s="22">
        <f>AF283*AE283</f>
        <v>3.0095863715277775</v>
      </c>
      <c r="AH283" s="38">
        <f>V283/AG283</f>
        <v>15.949035539934821</v>
      </c>
      <c r="AJ283" s="147" t="s">
        <v>501</v>
      </c>
      <c r="AK283" s="24">
        <f>(MAX(V279:V283)+ABS(MAX(X279:X283))/(AK280/1000))*1000</f>
        <v>64276.666666666672</v>
      </c>
      <c r="AL283" s="150" t="s">
        <v>505</v>
      </c>
      <c r="AM283" s="24">
        <f>+AR278*0.4/3</f>
        <v>466.66666666666669</v>
      </c>
      <c r="AN283" s="24"/>
      <c r="AO283" s="150" t="s">
        <v>509</v>
      </c>
      <c r="AP283" s="24">
        <f>((AN280/10/2-AK280/10/2)/2)*(MAX(+ABS(MAX(X279:X283)),ABS(MIN(X279:X283)))*100000/(AK280/10))</f>
        <v>42958.333333333328</v>
      </c>
      <c r="AQ283" s="150" t="s">
        <v>511</v>
      </c>
      <c r="AR283" s="24">
        <f>+AP283/(AL280*AP280*AP280/6/1000)</f>
        <v>894.96527777777771</v>
      </c>
      <c r="AS283" s="152" t="str">
        <f>IF(AR283&lt;=0.6*AR278*1.1,"OK","REDIS")</f>
        <v>OK</v>
      </c>
      <c r="AT283" s="24" t="s">
        <v>517</v>
      </c>
      <c r="AU283" s="174">
        <f>+AW280*(AP283/100000)/((AN280-AK280)/1000/4)/(AU280-1)</f>
        <v>2.9457142857142848</v>
      </c>
      <c r="AV283" s="24"/>
      <c r="AW283" s="161"/>
      <c r="AX283" s="156" t="s">
        <v>522</v>
      </c>
      <c r="AY283" s="181">
        <f>IF(AY281=(1+3/8),+AV280/3,IF(AY281=(1+1/8),+AV280/6,IF(AY281=1,+AV280/8,IF(AY281=(7/8),+AV280/11,IF(AY281=0.75,+AV280/18,IF(AY281=(9/16),+AV280/45,IF(AY281=(7/16),+AV280/84,"NO HAY DATO")))))))</f>
        <v>12</v>
      </c>
      <c r="AZ283" s="167" t="s">
        <v>527</v>
      </c>
      <c r="BA283" s="386">
        <f>ROUNDUP(+AY282*2.54,0)</f>
        <v>28</v>
      </c>
      <c r="BB283" s="164" t="s">
        <v>523</v>
      </c>
      <c r="BC283" s="129">
        <f>+BC282*BC281*2.54/100</f>
        <v>12.573</v>
      </c>
      <c r="BD283" s="173" t="s">
        <v>528</v>
      </c>
      <c r="BE283" s="385">
        <f>ROUNDUP(+BC281*2.54,0)</f>
        <v>35</v>
      </c>
    </row>
    <row r="284" spans="1:74" ht="15" x14ac:dyDescent="0.25">
      <c r="A284" s="371" t="s">
        <v>751</v>
      </c>
      <c r="B284" s="371" t="s">
        <v>807</v>
      </c>
      <c r="C284" s="371" t="s">
        <v>389</v>
      </c>
      <c r="D284" s="369"/>
      <c r="E284" s="369"/>
      <c r="F284" s="369"/>
      <c r="G284" s="369"/>
      <c r="H284" s="369"/>
      <c r="I284" s="369"/>
      <c r="K284" s="25" t="s">
        <v>357</v>
      </c>
      <c r="L284" s="26" t="s">
        <v>358</v>
      </c>
      <c r="M284" s="27" t="s">
        <v>359</v>
      </c>
      <c r="N284" s="27" t="s">
        <v>360</v>
      </c>
      <c r="O284" s="27" t="s">
        <v>361</v>
      </c>
      <c r="P284" s="27" t="s">
        <v>362</v>
      </c>
      <c r="Q284" s="27" t="s">
        <v>363</v>
      </c>
      <c r="R284" s="28" t="s">
        <v>364</v>
      </c>
      <c r="S284" s="17"/>
      <c r="T284" s="29" t="s">
        <v>365</v>
      </c>
      <c r="U284" s="29" t="s">
        <v>358</v>
      </c>
      <c r="V284" s="30" t="s">
        <v>361</v>
      </c>
      <c r="W284" s="30" t="s">
        <v>362</v>
      </c>
      <c r="X284" s="30" t="s">
        <v>363</v>
      </c>
      <c r="Y284" s="29" t="s">
        <v>366</v>
      </c>
      <c r="Z284" s="31" t="s">
        <v>367</v>
      </c>
      <c r="AA284" s="23" t="s">
        <v>368</v>
      </c>
      <c r="AB284" s="23" t="s">
        <v>369</v>
      </c>
      <c r="AC284" s="22" t="s">
        <v>0</v>
      </c>
      <c r="AD284" s="22" t="s">
        <v>1</v>
      </c>
      <c r="AE284" s="22" t="s">
        <v>370</v>
      </c>
      <c r="AF284" s="22" t="s">
        <v>371</v>
      </c>
      <c r="AG284" s="22" t="s">
        <v>372</v>
      </c>
      <c r="AH284" s="32" t="s">
        <v>373</v>
      </c>
      <c r="AJ284" s="143" t="s">
        <v>365</v>
      </c>
      <c r="AK284" s="144" t="s">
        <v>498</v>
      </c>
      <c r="AL284" s="145"/>
      <c r="AM284" s="139"/>
      <c r="AN284" s="146" t="s">
        <v>499</v>
      </c>
      <c r="AO284" s="145"/>
      <c r="AP284" s="139"/>
      <c r="AQ284" s="147" t="s">
        <v>506</v>
      </c>
      <c r="AR284" s="48">
        <v>3500</v>
      </c>
      <c r="AS284" s="147" t="s">
        <v>405</v>
      </c>
      <c r="AT284" s="146" t="s">
        <v>512</v>
      </c>
      <c r="AU284" s="145"/>
      <c r="AV284" s="145"/>
      <c r="AW284" s="145"/>
      <c r="AX284" s="382" t="s">
        <v>532</v>
      </c>
      <c r="AY284" s="157" t="s">
        <v>515</v>
      </c>
      <c r="AZ284" s="169">
        <v>6.9</v>
      </c>
      <c r="BA284" s="171" t="str">
        <f>IF(MAX(AU288:AU289)&lt;=AZ284,"OK","REDIS")</f>
        <v>OK</v>
      </c>
      <c r="BB284" s="382" t="s">
        <v>536</v>
      </c>
      <c r="BC284" s="170" t="s">
        <v>515</v>
      </c>
      <c r="BD284" s="169">
        <v>8.36</v>
      </c>
      <c r="BE284" s="171" t="str">
        <f>IF(MAX(AU288:AU289)&lt;=BD284,"OK","REDIS")</f>
        <v>OK</v>
      </c>
    </row>
    <row r="285" spans="1:74" ht="15" x14ac:dyDescent="0.25">
      <c r="A285" s="371" t="s">
        <v>752</v>
      </c>
      <c r="B285" s="371" t="s">
        <v>351</v>
      </c>
      <c r="C285" s="371" t="s">
        <v>352</v>
      </c>
      <c r="D285" s="378">
        <v>-0.41</v>
      </c>
      <c r="E285" s="378">
        <v>-0.21</v>
      </c>
      <c r="F285" s="378">
        <v>17.46</v>
      </c>
      <c r="G285" s="378">
        <v>0.17</v>
      </c>
      <c r="H285" s="378">
        <v>-0.45</v>
      </c>
      <c r="I285" s="378">
        <v>0</v>
      </c>
      <c r="K285" s="33" t="str">
        <f>+A285</f>
        <v>40</v>
      </c>
      <c r="L285" s="17" t="s">
        <v>374</v>
      </c>
      <c r="M285" s="34">
        <f t="shared" ref="M285:R285" si="307">D285+D286</f>
        <v>-0.64999999999999991</v>
      </c>
      <c r="N285" s="34">
        <f t="shared" si="307"/>
        <v>-0.35</v>
      </c>
      <c r="O285" s="34">
        <f t="shared" si="307"/>
        <v>23.55</v>
      </c>
      <c r="P285" s="34">
        <f t="shared" si="307"/>
        <v>0.30000000000000004</v>
      </c>
      <c r="Q285" s="34">
        <f t="shared" si="307"/>
        <v>-0.72</v>
      </c>
      <c r="R285" s="35">
        <f t="shared" si="307"/>
        <v>0</v>
      </c>
      <c r="S285" s="17"/>
      <c r="T285" s="29" t="str">
        <f>K285</f>
        <v>40</v>
      </c>
      <c r="U285" s="29" t="s">
        <v>374</v>
      </c>
      <c r="V285" s="23">
        <f t="shared" ref="V285:X289" si="308">O285</f>
        <v>23.55</v>
      </c>
      <c r="W285" s="23">
        <f t="shared" si="308"/>
        <v>0.30000000000000004</v>
      </c>
      <c r="X285" s="23">
        <f t="shared" si="308"/>
        <v>-0.72</v>
      </c>
      <c r="Y285" s="29">
        <v>12</v>
      </c>
      <c r="Z285" s="31">
        <f>ABS(V285)/AC285/AD285</f>
        <v>9.19921875</v>
      </c>
      <c r="AA285" s="23">
        <f>ABS(+W285/V285)</f>
        <v>1.2738853503184714E-2</v>
      </c>
      <c r="AB285" s="23">
        <f>ABS(X285/V285)</f>
        <v>3.0573248407643309E-2</v>
      </c>
      <c r="AC285" s="36">
        <v>1.6</v>
      </c>
      <c r="AD285" s="37">
        <v>1.6</v>
      </c>
      <c r="AE285" s="22">
        <f t="shared" ref="AE285:AF289" si="309">AC285-2*AA285</f>
        <v>1.5745222929936307</v>
      </c>
      <c r="AF285" s="22">
        <f t="shared" si="309"/>
        <v>1.5388535031847135</v>
      </c>
      <c r="AG285" s="22">
        <f>AF285*AE285</f>
        <v>2.4229591464156766</v>
      </c>
      <c r="AH285" s="38">
        <f>V285/AG285</f>
        <v>9.7195200483829467</v>
      </c>
      <c r="AJ285" s="379" t="str">
        <f>+A285</f>
        <v>40</v>
      </c>
      <c r="AK285" s="147" t="s">
        <v>0</v>
      </c>
      <c r="AL285" s="147" t="s">
        <v>1</v>
      </c>
      <c r="AM285" s="147" t="s">
        <v>438</v>
      </c>
      <c r="AN285" s="147" t="s">
        <v>503</v>
      </c>
      <c r="AO285" s="147" t="s">
        <v>504</v>
      </c>
      <c r="AP285" s="147" t="s">
        <v>323</v>
      </c>
      <c r="AQ285" s="48"/>
      <c r="AR285" s="48"/>
      <c r="AS285" s="48"/>
      <c r="AT285" s="147" t="s">
        <v>0</v>
      </c>
      <c r="AU285" s="147" t="s">
        <v>1</v>
      </c>
      <c r="AV285" s="147" t="s">
        <v>513</v>
      </c>
      <c r="AW285" s="159" t="s">
        <v>520</v>
      </c>
      <c r="AX285" s="141" t="s">
        <v>530</v>
      </c>
      <c r="AY285" s="157" t="s">
        <v>178</v>
      </c>
      <c r="AZ285" s="44">
        <v>12</v>
      </c>
      <c r="BA285" s="172" t="str">
        <f>IF(AW288&lt;=AZ285,"OK","REDIS")</f>
        <v>OK</v>
      </c>
      <c r="BB285" s="384" t="s">
        <v>535</v>
      </c>
      <c r="BC285" s="120" t="s">
        <v>178</v>
      </c>
      <c r="BD285" s="44">
        <v>4.3</v>
      </c>
      <c r="BE285" s="172" t="str">
        <f>IF(AW288&lt;=BD285,"OK","REDIS")</f>
        <v>OK</v>
      </c>
    </row>
    <row r="286" spans="1:74" ht="15" x14ac:dyDescent="0.25">
      <c r="A286" s="371" t="s">
        <v>752</v>
      </c>
      <c r="B286" s="371" t="s">
        <v>353</v>
      </c>
      <c r="C286" s="371" t="s">
        <v>352</v>
      </c>
      <c r="D286" s="378">
        <v>-0.24</v>
      </c>
      <c r="E286" s="378">
        <v>-0.14000000000000001</v>
      </c>
      <c r="F286" s="378">
        <v>6.09</v>
      </c>
      <c r="G286" s="378">
        <v>0.13</v>
      </c>
      <c r="H286" s="378">
        <v>-0.27</v>
      </c>
      <c r="I286" s="378">
        <v>0</v>
      </c>
      <c r="K286" s="33"/>
      <c r="L286" t="s">
        <v>800</v>
      </c>
      <c r="M286" s="34">
        <f>D285+D286+D287</f>
        <v>-5.16</v>
      </c>
      <c r="N286" s="34">
        <f>E285+E286+E287</f>
        <v>-0.21999999999999997</v>
      </c>
      <c r="O286" s="34">
        <f>F285+F286+F287</f>
        <v>18.240000000000002</v>
      </c>
      <c r="P286" s="34">
        <f>G285+G286+G287</f>
        <v>3.0000000000000027E-2</v>
      </c>
      <c r="Q286" s="34">
        <f>H285+0.25*H286+H287</f>
        <v>-4.5175000000000001</v>
      </c>
      <c r="R286" s="35">
        <f>I285+0.25*I286+I287</f>
        <v>0</v>
      </c>
      <c r="S286" s="17"/>
      <c r="T286" s="29"/>
      <c r="U286" s="29" t="s">
        <v>375</v>
      </c>
      <c r="V286" s="23">
        <f t="shared" si="308"/>
        <v>18.240000000000002</v>
      </c>
      <c r="W286" s="23">
        <f t="shared" si="308"/>
        <v>3.0000000000000027E-2</v>
      </c>
      <c r="X286" s="23">
        <f t="shared" si="308"/>
        <v>-4.5175000000000001</v>
      </c>
      <c r="Y286" s="29">
        <f>1.33*Y285</f>
        <v>15.96</v>
      </c>
      <c r="Z286" s="31">
        <f>ABS(V286)/AC286/AD286</f>
        <v>7.125</v>
      </c>
      <c r="AA286" s="23">
        <f>ABS(+W286/V286)</f>
        <v>1.6447368421052644E-3</v>
      </c>
      <c r="AB286" s="23">
        <f>ABS(X286/V286)</f>
        <v>0.24766995614035087</v>
      </c>
      <c r="AC286" s="36">
        <f t="shared" ref="AC286:AD289" si="310">AC285</f>
        <v>1.6</v>
      </c>
      <c r="AD286" s="37">
        <f t="shared" si="310"/>
        <v>1.6</v>
      </c>
      <c r="AE286" s="22">
        <f t="shared" si="309"/>
        <v>1.5967105263157895</v>
      </c>
      <c r="AF286" s="22">
        <f t="shared" si="309"/>
        <v>1.1046600877192985</v>
      </c>
      <c r="AG286" s="22">
        <f>AF286*AE286</f>
        <v>1.7638223900623273</v>
      </c>
      <c r="AH286" s="38">
        <f>V286/AG286</f>
        <v>10.341177265220828</v>
      </c>
      <c r="AJ286" s="147" t="s">
        <v>539</v>
      </c>
      <c r="AK286" s="148">
        <v>300</v>
      </c>
      <c r="AL286" s="148">
        <v>500</v>
      </c>
      <c r="AM286" s="148">
        <v>28</v>
      </c>
      <c r="AN286" s="380">
        <v>500</v>
      </c>
      <c r="AO286" s="380">
        <v>700</v>
      </c>
      <c r="AP286" s="380">
        <v>32</v>
      </c>
      <c r="AQ286" s="48"/>
      <c r="AR286" s="48"/>
      <c r="AS286" s="48"/>
      <c r="AT286" s="381">
        <v>6</v>
      </c>
      <c r="AU286" s="381">
        <v>4</v>
      </c>
      <c r="AV286" s="380">
        <f>+AT286*2+(AU286-2)*2</f>
        <v>16</v>
      </c>
      <c r="AW286" s="159">
        <v>1.2</v>
      </c>
      <c r="AX286" s="155" t="s">
        <v>538</v>
      </c>
      <c r="AY286" s="180">
        <f>+AV286</f>
        <v>16</v>
      </c>
      <c r="BA286" s="154"/>
      <c r="BB286" s="177" t="s">
        <v>537</v>
      </c>
      <c r="BC286" s="179">
        <v>1.25</v>
      </c>
      <c r="BD286" s="166" t="s">
        <v>526</v>
      </c>
      <c r="BE286" s="154"/>
    </row>
    <row r="287" spans="1:74" ht="15" x14ac:dyDescent="0.25">
      <c r="A287" s="371" t="s">
        <v>752</v>
      </c>
      <c r="B287" s="371" t="s">
        <v>354</v>
      </c>
      <c r="C287" s="371" t="s">
        <v>352</v>
      </c>
      <c r="D287" s="378">
        <v>-4.51</v>
      </c>
      <c r="E287" s="378">
        <v>0.13</v>
      </c>
      <c r="F287" s="378">
        <v>-5.31</v>
      </c>
      <c r="G287" s="378">
        <v>-0.27</v>
      </c>
      <c r="H287" s="378">
        <v>-4</v>
      </c>
      <c r="I287" s="378">
        <v>0</v>
      </c>
      <c r="K287" s="33"/>
      <c r="L287" t="s">
        <v>801</v>
      </c>
      <c r="M287" s="34">
        <f>D285+D286-D287</f>
        <v>3.86</v>
      </c>
      <c r="N287" s="34">
        <f>E285+E286-E287</f>
        <v>-0.48</v>
      </c>
      <c r="O287" s="34">
        <f>F285+F286-F287</f>
        <v>28.86</v>
      </c>
      <c r="P287" s="34">
        <f>G285+G286-G287</f>
        <v>0.57000000000000006</v>
      </c>
      <c r="Q287" s="34">
        <f>H285+0.25*H286-H287</f>
        <v>3.4824999999999999</v>
      </c>
      <c r="R287" s="35">
        <f>I285+0.25*I286-I287</f>
        <v>0</v>
      </c>
      <c r="S287" s="17"/>
      <c r="T287" s="29"/>
      <c r="U287" s="29" t="s">
        <v>376</v>
      </c>
      <c r="V287" s="23">
        <f t="shared" si="308"/>
        <v>28.86</v>
      </c>
      <c r="W287" s="23">
        <f t="shared" si="308"/>
        <v>0.57000000000000006</v>
      </c>
      <c r="X287" s="23">
        <f t="shared" si="308"/>
        <v>3.4824999999999999</v>
      </c>
      <c r="Y287" s="29"/>
      <c r="Z287" s="31">
        <f>ABS(V287)/AC287/AD287</f>
        <v>11.273437499999998</v>
      </c>
      <c r="AA287" s="23">
        <f>ABS(+W287/V287)</f>
        <v>1.9750519750519752E-2</v>
      </c>
      <c r="AB287" s="23">
        <f>ABS(X287/V287)</f>
        <v>0.12066874566874566</v>
      </c>
      <c r="AC287" s="36">
        <f t="shared" si="310"/>
        <v>1.6</v>
      </c>
      <c r="AD287" s="37">
        <f t="shared" si="310"/>
        <v>1.6</v>
      </c>
      <c r="AE287" s="22">
        <f t="shared" si="309"/>
        <v>1.5604989604989605</v>
      </c>
      <c r="AF287" s="22">
        <f t="shared" si="309"/>
        <v>1.3586625086625088</v>
      </c>
      <c r="AG287" s="22">
        <f>AF287*AE287</f>
        <v>2.120191432436755</v>
      </c>
      <c r="AH287" s="38">
        <f>V287/AG287</f>
        <v>13.611978408398219</v>
      </c>
      <c r="AJ287" s="146" t="s">
        <v>514</v>
      </c>
      <c r="AK287" s="145"/>
      <c r="AL287" s="145"/>
      <c r="AM287" s="145"/>
      <c r="AN287" s="139"/>
      <c r="AO287" s="146" t="s">
        <v>507</v>
      </c>
      <c r="AP287" s="145" t="s">
        <v>626</v>
      </c>
      <c r="AQ287" s="145">
        <f>0.6*AR284</f>
        <v>2100</v>
      </c>
      <c r="AR287" s="212" t="s">
        <v>627</v>
      </c>
      <c r="AS287" s="211">
        <f>+AR288+AR289</f>
        <v>2220.21484375</v>
      </c>
      <c r="AT287" s="48" t="s">
        <v>515</v>
      </c>
      <c r="AU287" s="48"/>
      <c r="AV287" s="48" t="s">
        <v>518</v>
      </c>
      <c r="AW287" s="160"/>
      <c r="AX287" s="155" t="s">
        <v>524</v>
      </c>
      <c r="AY287" s="182">
        <f>IF(BC286=(1+1/4),+(1+3/8),IF(BC286=1,(1+1/8),IF(BC286=(7/8),1,IF(BC286=(3/4),+(7/8),IF(BC286=(5/8),+(3/4),IF(BC286=(1/2),(9/16),IF(BC286=(3/8),+(7/16),"no valido")))))))</f>
        <v>1.375</v>
      </c>
      <c r="AZ287" s="165" t="s">
        <v>526</v>
      </c>
      <c r="BA287" s="172" t="s">
        <v>531</v>
      </c>
      <c r="BB287" s="178" t="s">
        <v>529</v>
      </c>
      <c r="BC287" s="158">
        <f>+AY288+3</f>
        <v>13.75</v>
      </c>
      <c r="BD287" s="166" t="s">
        <v>526</v>
      </c>
      <c r="BE287" s="172" t="s">
        <v>531</v>
      </c>
    </row>
    <row r="288" spans="1:74" ht="15.75" thickBot="1" x14ac:dyDescent="0.3">
      <c r="A288" s="371" t="s">
        <v>752</v>
      </c>
      <c r="B288" s="371" t="s">
        <v>355</v>
      </c>
      <c r="C288" s="371" t="s">
        <v>352</v>
      </c>
      <c r="D288" s="378">
        <v>-7.0000000000000007E-2</v>
      </c>
      <c r="E288" s="378">
        <v>-4.33</v>
      </c>
      <c r="F288" s="378">
        <v>1.95</v>
      </c>
      <c r="G288" s="378">
        <v>6.55</v>
      </c>
      <c r="H288" s="378">
        <v>-0.05</v>
      </c>
      <c r="I288" s="378">
        <v>0</v>
      </c>
      <c r="K288" s="33"/>
      <c r="L288" t="s">
        <v>802</v>
      </c>
      <c r="M288" s="34">
        <f>D285+D286+D288</f>
        <v>-0.72</v>
      </c>
      <c r="N288" s="34">
        <f>E285+E286+E288</f>
        <v>-4.68</v>
      </c>
      <c r="O288" s="34">
        <f>F285+F286+F288</f>
        <v>25.5</v>
      </c>
      <c r="P288" s="34">
        <f>G285+G286+G288</f>
        <v>6.85</v>
      </c>
      <c r="Q288" s="34">
        <f>H285+0.25*H286+H288</f>
        <v>-0.56750000000000012</v>
      </c>
      <c r="R288" s="35">
        <f>I285+0.25*I286+I288</f>
        <v>0</v>
      </c>
      <c r="S288" s="17"/>
      <c r="T288" s="29"/>
      <c r="U288" s="29" t="s">
        <v>377</v>
      </c>
      <c r="V288" s="23">
        <f t="shared" si="308"/>
        <v>25.5</v>
      </c>
      <c r="W288" s="23">
        <f t="shared" si="308"/>
        <v>6.85</v>
      </c>
      <c r="X288" s="23">
        <f t="shared" si="308"/>
        <v>-0.56750000000000012</v>
      </c>
      <c r="Y288" s="29"/>
      <c r="Z288" s="31">
        <f>ABS(V288)/AC288/AD288</f>
        <v>9.9609375</v>
      </c>
      <c r="AA288" s="23">
        <f>ABS(+W288/V288)</f>
        <v>0.26862745098039215</v>
      </c>
      <c r="AB288" s="23">
        <f>ABS(X288/V288)</f>
        <v>2.2254901960784317E-2</v>
      </c>
      <c r="AC288" s="36">
        <f t="shared" si="310"/>
        <v>1.6</v>
      </c>
      <c r="AD288" s="37">
        <f t="shared" si="310"/>
        <v>1.6</v>
      </c>
      <c r="AE288" s="22">
        <f t="shared" si="309"/>
        <v>1.0627450980392159</v>
      </c>
      <c r="AF288" s="22">
        <f t="shared" si="309"/>
        <v>1.5554901960784315</v>
      </c>
      <c r="AG288" s="22">
        <f>AF288*AE288</f>
        <v>1.6530895809304118</v>
      </c>
      <c r="AH288" s="38">
        <f>V288/AG288</f>
        <v>15.425661315733285</v>
      </c>
      <c r="AJ288" s="147" t="s">
        <v>500</v>
      </c>
      <c r="AK288" s="24">
        <f>(MAX(V285:V289)+ABS(MAX(W285:W289))/(AL286/1000))*1000</f>
        <v>42560</v>
      </c>
      <c r="AL288" s="150" t="s">
        <v>502</v>
      </c>
      <c r="AM288" s="24">
        <f>+ABS(MAX(AK288:AK289))/(+AK286*2/10+AL286*2/10)/(AP286/10)</f>
        <v>83.125</v>
      </c>
      <c r="AN288" s="151" t="str">
        <f>IF(AM288&lt;=AM289,"OK","REDIS")</f>
        <v>OK</v>
      </c>
      <c r="AO288" s="150" t="s">
        <v>508</v>
      </c>
      <c r="AP288" s="24">
        <f>((AO286/10/2-AL286/10/2)/2)*((MAX(ABS(MAX(W285:W289)),ABS(MIN(W285:W289)))*100000))/(AL286/10)</f>
        <v>68500</v>
      </c>
      <c r="AQ288" s="150" t="s">
        <v>510</v>
      </c>
      <c r="AR288" s="24">
        <f>+AP288/(AK286*AP286*AP286/6/10/10/10)</f>
        <v>1337.890625</v>
      </c>
      <c r="AS288" s="152" t="str">
        <f>IF(AR288&lt;=0.6*AR284*1.1,"OK","REDIS")</f>
        <v>OK</v>
      </c>
      <c r="AT288" s="24" t="s">
        <v>516</v>
      </c>
      <c r="AU288" s="174">
        <f>+AW286*(AP288/100000)/((AO286-AL286)/1000/4)/(AT286-1)</f>
        <v>3.2880000000000003</v>
      </c>
      <c r="AV288" s="24" t="s">
        <v>519</v>
      </c>
      <c r="AW288" s="175">
        <f>+AW286*(ABS(MAX(M285:M289))+ABS(MIN(M285:M289)+ABS(MAX(N285:N289))+ABS(MIN(N285:N289))))/AV286</f>
        <v>0.55199999999999994</v>
      </c>
      <c r="AX288" s="155" t="s">
        <v>525</v>
      </c>
      <c r="AY288" s="383">
        <f>IF(BC286=(1+1/4),+(11-1/4),IF(BC286=1,(9),IF(BC286=(7/8),(7-7/8),IF(BC286=(3/4),+(6-3/4),IF(BC286=(5/8),+(5-5/8),IF(BC286=(1/2),(4-1/2),IF(BC286=(3-3/8),+(7/16),"no valido")))))))</f>
        <v>10.75</v>
      </c>
      <c r="AZ288" s="166" t="s">
        <v>526</v>
      </c>
      <c r="BA288" s="168" t="s">
        <v>533</v>
      </c>
      <c r="BB288" s="153" t="s">
        <v>521</v>
      </c>
      <c r="BC288" s="44">
        <f>+AV286</f>
        <v>16</v>
      </c>
      <c r="BD288" s="166" t="s">
        <v>527</v>
      </c>
      <c r="BE288" s="162" t="s">
        <v>534</v>
      </c>
    </row>
    <row r="289" spans="1:57" ht="15.75" thickBot="1" x14ac:dyDescent="0.3">
      <c r="A289" s="371" t="s">
        <v>752</v>
      </c>
      <c r="B289" s="371" t="s">
        <v>806</v>
      </c>
      <c r="C289" s="371" t="s">
        <v>389</v>
      </c>
      <c r="D289" s="369"/>
      <c r="E289" s="369"/>
      <c r="F289" s="369"/>
      <c r="G289" s="369"/>
      <c r="H289" s="369"/>
      <c r="I289" s="369"/>
      <c r="K289" s="39"/>
      <c r="L289" s="368" t="s">
        <v>803</v>
      </c>
      <c r="M289" s="41">
        <f>D285+D286-D288</f>
        <v>-0.57999999999999985</v>
      </c>
      <c r="N289" s="41">
        <f>E285+E286-E288</f>
        <v>3.98</v>
      </c>
      <c r="O289" s="41">
        <f>F285+F286-F288</f>
        <v>21.6</v>
      </c>
      <c r="P289" s="41">
        <f>G285+G286-G288</f>
        <v>-6.25</v>
      </c>
      <c r="Q289" s="41">
        <f>H285+0.25*H286-H288</f>
        <v>-0.46750000000000008</v>
      </c>
      <c r="R289" s="42">
        <f>I285+0.25*I286-I288</f>
        <v>0</v>
      </c>
      <c r="S289" s="17"/>
      <c r="T289" s="29"/>
      <c r="U289" s="29" t="s">
        <v>378</v>
      </c>
      <c r="V289" s="23">
        <f t="shared" si="308"/>
        <v>21.6</v>
      </c>
      <c r="W289" s="23">
        <f t="shared" si="308"/>
        <v>-6.25</v>
      </c>
      <c r="X289" s="23">
        <f t="shared" si="308"/>
        <v>-0.46750000000000008</v>
      </c>
      <c r="Y289" s="29"/>
      <c r="Z289" s="31">
        <f>ABS(V289)/AC289/AD289</f>
        <v>8.4375</v>
      </c>
      <c r="AA289" s="23">
        <f>ABS(+W289/V289)</f>
        <v>0.28935185185185186</v>
      </c>
      <c r="AB289" s="23">
        <f>ABS(X289/V289)</f>
        <v>2.164351851851852E-2</v>
      </c>
      <c r="AC289" s="36">
        <f t="shared" si="310"/>
        <v>1.6</v>
      </c>
      <c r="AD289" s="37">
        <f t="shared" si="310"/>
        <v>1.6</v>
      </c>
      <c r="AE289" s="22">
        <f t="shared" si="309"/>
        <v>1.0212962962962964</v>
      </c>
      <c r="AF289" s="22">
        <f t="shared" si="309"/>
        <v>1.556712962962963</v>
      </c>
      <c r="AG289" s="22">
        <f>AF289*AE289</f>
        <v>1.5898651834705078</v>
      </c>
      <c r="AH289" s="38">
        <f>V289/AG289</f>
        <v>13.586057625873336</v>
      </c>
      <c r="AJ289" s="147" t="s">
        <v>501</v>
      </c>
      <c r="AK289" s="24">
        <f>(MAX(V285:V289)+ABS(MAX(X285:X289))/(AK286/1000))*1000</f>
        <v>40468.333333333336</v>
      </c>
      <c r="AL289" s="150" t="s">
        <v>505</v>
      </c>
      <c r="AM289" s="24">
        <f>+AR284*0.4/3</f>
        <v>466.66666666666669</v>
      </c>
      <c r="AN289" s="24"/>
      <c r="AO289" s="150" t="s">
        <v>509</v>
      </c>
      <c r="AP289" s="24">
        <f>((AN286/10/2-AK286/10/2)/2)*(MAX(+ABS(MAX(X285:X289)),ABS(MIN(X285:X289)))*100000/(AK286/10))</f>
        <v>75291.666666666672</v>
      </c>
      <c r="AQ289" s="150" t="s">
        <v>511</v>
      </c>
      <c r="AR289" s="24">
        <f>+AP289/(AL286*AP286*AP286/6/1000)</f>
        <v>882.32421875000011</v>
      </c>
      <c r="AS289" s="152" t="str">
        <f>IF(AR289&lt;=0.6*AR284*1.1,"OK","REDIS")</f>
        <v>OK</v>
      </c>
      <c r="AT289" s="24" t="s">
        <v>517</v>
      </c>
      <c r="AU289" s="174">
        <f>+AW286*(AP289/100000)/((AN286-AK286)/1000/4)/(AU286-1)</f>
        <v>6.0233333333333325</v>
      </c>
      <c r="AV289" s="24"/>
      <c r="AW289" s="161"/>
      <c r="AX289" s="156" t="s">
        <v>522</v>
      </c>
      <c r="AY289" s="181">
        <f>IF(AY287=(1+3/8),+AV286/3,IF(AY287=(1+1/8),+AV286/6,IF(AY287=1,+AV286/8,IF(AY287=(7/8),+AV286/11,IF(AY287=0.75,+AV286/18,IF(AY287=(9/16),+AV286/45,IF(AY287=(7/16),+AV286/84,"NO HAY DATO")))))))</f>
        <v>5.333333333333333</v>
      </c>
      <c r="AZ289" s="167" t="s">
        <v>527</v>
      </c>
      <c r="BA289" s="386">
        <f>ROUNDUP(+AY288*2.54,0)</f>
        <v>28</v>
      </c>
      <c r="BB289" s="164" t="s">
        <v>523</v>
      </c>
      <c r="BC289" s="129">
        <f>+BC288*BC287*2.54/100</f>
        <v>5.5879999999999992</v>
      </c>
      <c r="BD289" s="173" t="s">
        <v>528</v>
      </c>
      <c r="BE289" s="385">
        <f>ROUNDUP(+BC287*2.54,0)</f>
        <v>35</v>
      </c>
    </row>
    <row r="290" spans="1:57" ht="15" x14ac:dyDescent="0.25">
      <c r="A290" s="371" t="s">
        <v>752</v>
      </c>
      <c r="B290" s="371" t="s">
        <v>807</v>
      </c>
      <c r="C290" s="371" t="s">
        <v>389</v>
      </c>
      <c r="D290" s="369"/>
      <c r="E290" s="369"/>
      <c r="F290" s="369"/>
      <c r="G290" s="369"/>
      <c r="H290" s="369"/>
      <c r="I290" s="369"/>
      <c r="K290" s="25" t="s">
        <v>357</v>
      </c>
      <c r="L290" s="26" t="s">
        <v>358</v>
      </c>
      <c r="M290" s="27" t="s">
        <v>359</v>
      </c>
      <c r="N290" s="27" t="s">
        <v>360</v>
      </c>
      <c r="O290" s="27" t="s">
        <v>361</v>
      </c>
      <c r="P290" s="27" t="s">
        <v>362</v>
      </c>
      <c r="Q290" s="27" t="s">
        <v>363</v>
      </c>
      <c r="R290" s="28" t="s">
        <v>364</v>
      </c>
      <c r="S290" s="17"/>
      <c r="T290" s="29" t="s">
        <v>365</v>
      </c>
      <c r="U290" s="29" t="s">
        <v>358</v>
      </c>
      <c r="V290" s="30" t="s">
        <v>361</v>
      </c>
      <c r="W290" s="30" t="s">
        <v>362</v>
      </c>
      <c r="X290" s="30" t="s">
        <v>363</v>
      </c>
      <c r="Y290" s="29" t="s">
        <v>366</v>
      </c>
      <c r="Z290" s="31" t="s">
        <v>367</v>
      </c>
      <c r="AA290" s="23" t="s">
        <v>368</v>
      </c>
      <c r="AB290" s="23" t="s">
        <v>369</v>
      </c>
      <c r="AC290" s="22" t="s">
        <v>0</v>
      </c>
      <c r="AD290" s="22" t="s">
        <v>1</v>
      </c>
      <c r="AE290" s="22" t="s">
        <v>370</v>
      </c>
      <c r="AF290" s="22" t="s">
        <v>371</v>
      </c>
      <c r="AG290" s="22" t="s">
        <v>372</v>
      </c>
      <c r="AH290" s="32" t="s">
        <v>373</v>
      </c>
      <c r="AJ290" s="143" t="s">
        <v>365</v>
      </c>
      <c r="AK290" s="144" t="s">
        <v>498</v>
      </c>
      <c r="AL290" s="145"/>
      <c r="AM290" s="139"/>
      <c r="AN290" s="146" t="s">
        <v>499</v>
      </c>
      <c r="AO290" s="145"/>
      <c r="AP290" s="139"/>
      <c r="AQ290" s="147" t="s">
        <v>506</v>
      </c>
      <c r="AR290" s="48">
        <v>3500</v>
      </c>
      <c r="AS290" s="147" t="s">
        <v>405</v>
      </c>
      <c r="AT290" s="146" t="s">
        <v>512</v>
      </c>
      <c r="AU290" s="145"/>
      <c r="AV290" s="145"/>
      <c r="AW290" s="145"/>
      <c r="AX290" s="382" t="s">
        <v>532</v>
      </c>
      <c r="AY290" s="157" t="s">
        <v>515</v>
      </c>
      <c r="AZ290" s="169">
        <v>6.9</v>
      </c>
      <c r="BA290" s="171" t="str">
        <f>IF(MAX(AU294:AU295)&lt;=AZ290,"OK","REDIS")</f>
        <v>OK</v>
      </c>
      <c r="BB290" s="382" t="s">
        <v>536</v>
      </c>
      <c r="BC290" s="170" t="s">
        <v>515</v>
      </c>
      <c r="BD290" s="169">
        <v>8.36</v>
      </c>
      <c r="BE290" s="171" t="str">
        <f>IF(MAX(AU294:AU295)&lt;=BD290,"OK","REDIS")</f>
        <v>OK</v>
      </c>
    </row>
    <row r="291" spans="1:57" ht="15" x14ac:dyDescent="0.25">
      <c r="A291" s="371" t="s">
        <v>753</v>
      </c>
      <c r="B291" s="371" t="s">
        <v>351</v>
      </c>
      <c r="C291" s="371" t="s">
        <v>352</v>
      </c>
      <c r="D291" s="378">
        <v>0</v>
      </c>
      <c r="E291" s="378">
        <v>0.05</v>
      </c>
      <c r="F291" s="378">
        <f>4.29+7.89</f>
        <v>12.18</v>
      </c>
      <c r="G291" s="378">
        <v>-0.08</v>
      </c>
      <c r="H291" s="378">
        <v>-0.02</v>
      </c>
      <c r="I291" s="378">
        <v>0</v>
      </c>
      <c r="K291" s="33" t="str">
        <f>+A291</f>
        <v>43</v>
      </c>
      <c r="L291" s="17" t="s">
        <v>374</v>
      </c>
      <c r="M291" s="34">
        <f t="shared" ref="M291:R291" si="311">D291+D292</f>
        <v>-0.01</v>
      </c>
      <c r="N291" s="34">
        <f t="shared" si="311"/>
        <v>0.08</v>
      </c>
      <c r="O291" s="34">
        <f t="shared" si="311"/>
        <v>17.18</v>
      </c>
      <c r="P291" s="34">
        <f t="shared" si="311"/>
        <v>-0.12</v>
      </c>
      <c r="Q291" s="34">
        <f t="shared" si="311"/>
        <v>-0.04</v>
      </c>
      <c r="R291" s="35">
        <f t="shared" si="311"/>
        <v>0</v>
      </c>
      <c r="S291" s="17"/>
      <c r="T291" s="29" t="str">
        <f>K291</f>
        <v>43</v>
      </c>
      <c r="U291" s="29" t="s">
        <v>374</v>
      </c>
      <c r="V291" s="23">
        <f t="shared" ref="V291:X295" si="312">O291</f>
        <v>17.18</v>
      </c>
      <c r="W291" s="23">
        <f t="shared" si="312"/>
        <v>-0.12</v>
      </c>
      <c r="X291" s="23">
        <f t="shared" si="312"/>
        <v>-0.04</v>
      </c>
      <c r="Y291" s="29">
        <v>15</v>
      </c>
      <c r="Z291" s="31">
        <f>ABS(V291)/AC291/AD291</f>
        <v>7.6355555555555554</v>
      </c>
      <c r="AA291" s="23">
        <f>ABS(+W291/V291)</f>
        <v>6.9848661233993014E-3</v>
      </c>
      <c r="AB291" s="23">
        <f>ABS(X291/V291)</f>
        <v>2.3282887077997671E-3</v>
      </c>
      <c r="AC291" s="36">
        <v>1.5</v>
      </c>
      <c r="AD291" s="37">
        <v>1.5</v>
      </c>
      <c r="AE291" s="22">
        <f t="shared" ref="AE291:AF295" si="313">AC291-2*AA291</f>
        <v>1.4860302677532014</v>
      </c>
      <c r="AF291" s="22">
        <f t="shared" si="313"/>
        <v>1.4953434225844005</v>
      </c>
      <c r="AG291" s="22">
        <f>AF291*AE291</f>
        <v>2.2221255866460852</v>
      </c>
      <c r="AH291" s="38">
        <f>V291/AG291</f>
        <v>7.731336204957814</v>
      </c>
      <c r="AJ291" s="379" t="str">
        <f>+A291</f>
        <v>43</v>
      </c>
      <c r="AK291" s="147" t="s">
        <v>0</v>
      </c>
      <c r="AL291" s="147" t="s">
        <v>1</v>
      </c>
      <c r="AM291" s="147" t="s">
        <v>438</v>
      </c>
      <c r="AN291" s="147" t="s">
        <v>503</v>
      </c>
      <c r="AO291" s="147" t="s">
        <v>504</v>
      </c>
      <c r="AP291" s="147" t="s">
        <v>323</v>
      </c>
      <c r="AQ291" s="48"/>
      <c r="AR291" s="48"/>
      <c r="AS291" s="48"/>
      <c r="AT291" s="147" t="s">
        <v>0</v>
      </c>
      <c r="AU291" s="147" t="s">
        <v>1</v>
      </c>
      <c r="AV291" s="147" t="s">
        <v>513</v>
      </c>
      <c r="AW291" s="159" t="s">
        <v>520</v>
      </c>
      <c r="AX291" s="141" t="s">
        <v>530</v>
      </c>
      <c r="AY291" s="157" t="s">
        <v>178</v>
      </c>
      <c r="AZ291" s="44">
        <v>12</v>
      </c>
      <c r="BA291" s="172" t="str">
        <f>IF(AW294&lt;=AZ291,"OK","REDIS")</f>
        <v>OK</v>
      </c>
      <c r="BB291" s="384" t="s">
        <v>535</v>
      </c>
      <c r="BC291" s="120" t="s">
        <v>178</v>
      </c>
      <c r="BD291" s="44">
        <v>4.3</v>
      </c>
      <c r="BE291" s="172" t="str">
        <f>IF(AW294&lt;=BD291,"OK","REDIS")</f>
        <v>OK</v>
      </c>
    </row>
    <row r="292" spans="1:57" ht="15" x14ac:dyDescent="0.25">
      <c r="A292" s="371" t="s">
        <v>753</v>
      </c>
      <c r="B292" s="371" t="s">
        <v>353</v>
      </c>
      <c r="C292" s="371" t="s">
        <v>352</v>
      </c>
      <c r="D292" s="378">
        <v>-0.01</v>
      </c>
      <c r="E292" s="378">
        <v>0.03</v>
      </c>
      <c r="F292" s="378">
        <f>1.14+3.86</f>
        <v>5</v>
      </c>
      <c r="G292" s="378">
        <v>-0.04</v>
      </c>
      <c r="H292" s="378">
        <v>-0.02</v>
      </c>
      <c r="I292" s="378">
        <v>0</v>
      </c>
      <c r="K292" s="33"/>
      <c r="L292" t="s">
        <v>800</v>
      </c>
      <c r="M292" s="34">
        <f>D291+D292+D293</f>
        <v>-2.9499999999999997</v>
      </c>
      <c r="N292" s="34">
        <f>E291+E292+E293</f>
        <v>7.0000000000000007E-2</v>
      </c>
      <c r="O292" s="34">
        <f>F291+F292+F293</f>
        <v>25.09</v>
      </c>
      <c r="P292" s="34">
        <f>G291+G292+G293</f>
        <v>-0.32</v>
      </c>
      <c r="Q292" s="34">
        <f>H291+0.25*H292+H293</f>
        <v>-3.0249999999999999</v>
      </c>
      <c r="R292" s="35">
        <f>I291+0.25*I292+I293</f>
        <v>0</v>
      </c>
      <c r="S292" s="17"/>
      <c r="T292" s="29"/>
      <c r="U292" s="29" t="s">
        <v>375</v>
      </c>
      <c r="V292" s="23">
        <f t="shared" si="312"/>
        <v>25.09</v>
      </c>
      <c r="W292" s="23">
        <f t="shared" si="312"/>
        <v>-0.32</v>
      </c>
      <c r="X292" s="23">
        <f t="shared" si="312"/>
        <v>-3.0249999999999999</v>
      </c>
      <c r="Y292" s="29">
        <f>1.33*Y291</f>
        <v>19.950000000000003</v>
      </c>
      <c r="Z292" s="31">
        <f>ABS(V292)/AC292/AD292</f>
        <v>11.151111111111112</v>
      </c>
      <c r="AA292" s="23">
        <f>ABS(+W292/V292)</f>
        <v>1.2754085292945397E-2</v>
      </c>
      <c r="AB292" s="23">
        <f>ABS(X292/V292)</f>
        <v>0.12056596253487445</v>
      </c>
      <c r="AC292" s="36">
        <f t="shared" ref="AC292:AD295" si="314">AC291</f>
        <v>1.5</v>
      </c>
      <c r="AD292" s="37">
        <f t="shared" si="314"/>
        <v>1.5</v>
      </c>
      <c r="AE292" s="22">
        <f t="shared" si="313"/>
        <v>1.4744918294141092</v>
      </c>
      <c r="AF292" s="22">
        <f t="shared" si="313"/>
        <v>1.258868074930251</v>
      </c>
      <c r="AG292" s="22">
        <f>AF292*AE292</f>
        <v>1.8561906907949237</v>
      </c>
      <c r="AH292" s="38">
        <f>V292/AG292</f>
        <v>13.516930197109797</v>
      </c>
      <c r="AJ292" s="147" t="s">
        <v>539</v>
      </c>
      <c r="AK292" s="148">
        <v>300</v>
      </c>
      <c r="AL292" s="148">
        <v>500</v>
      </c>
      <c r="AM292" s="148">
        <v>28</v>
      </c>
      <c r="AN292" s="380">
        <v>500</v>
      </c>
      <c r="AO292" s="380">
        <v>700</v>
      </c>
      <c r="AP292" s="380">
        <v>24</v>
      </c>
      <c r="AQ292" s="48"/>
      <c r="AR292" s="48"/>
      <c r="AS292" s="48"/>
      <c r="AT292" s="381">
        <v>6</v>
      </c>
      <c r="AU292" s="381">
        <v>4</v>
      </c>
      <c r="AV292" s="380">
        <f>+AT292*2+(AU292-2)*2</f>
        <v>16</v>
      </c>
      <c r="AW292" s="159">
        <v>1.2</v>
      </c>
      <c r="AX292" s="155" t="s">
        <v>538</v>
      </c>
      <c r="AY292" s="180">
        <f>+AV292</f>
        <v>16</v>
      </c>
      <c r="BA292" s="154"/>
      <c r="BB292" s="177" t="s">
        <v>537</v>
      </c>
      <c r="BC292" s="179">
        <v>1.25</v>
      </c>
      <c r="BD292" s="166" t="s">
        <v>526</v>
      </c>
      <c r="BE292" s="154"/>
    </row>
    <row r="293" spans="1:57" ht="15" x14ac:dyDescent="0.25">
      <c r="A293" s="371" t="s">
        <v>753</v>
      </c>
      <c r="B293" s="371" t="s">
        <v>354</v>
      </c>
      <c r="C293" s="371" t="s">
        <v>352</v>
      </c>
      <c r="D293" s="378">
        <v>-2.94</v>
      </c>
      <c r="E293" s="378">
        <v>-0.01</v>
      </c>
      <c r="F293" s="378">
        <v>7.91</v>
      </c>
      <c r="G293" s="378">
        <v>-0.2</v>
      </c>
      <c r="H293" s="378">
        <v>-3</v>
      </c>
      <c r="I293" s="378">
        <v>0</v>
      </c>
      <c r="K293" s="33"/>
      <c r="L293" t="s">
        <v>801</v>
      </c>
      <c r="M293" s="34">
        <f>D291+D292-D293</f>
        <v>2.93</v>
      </c>
      <c r="N293" s="34">
        <f>E291+E292-E293</f>
        <v>0.09</v>
      </c>
      <c r="O293" s="34">
        <f>F291+F292-F293</f>
        <v>9.27</v>
      </c>
      <c r="P293" s="34">
        <f>G291+G292-G293</f>
        <v>8.0000000000000016E-2</v>
      </c>
      <c r="Q293" s="34">
        <f>H291+0.25*H292-H293</f>
        <v>2.9750000000000001</v>
      </c>
      <c r="R293" s="35">
        <f>I291+0.25*I292-I293</f>
        <v>0</v>
      </c>
      <c r="S293" s="17"/>
      <c r="T293" s="29"/>
      <c r="U293" s="29" t="s">
        <v>376</v>
      </c>
      <c r="V293" s="23">
        <f t="shared" si="312"/>
        <v>9.27</v>
      </c>
      <c r="W293" s="23">
        <f t="shared" si="312"/>
        <v>8.0000000000000016E-2</v>
      </c>
      <c r="X293" s="23">
        <f t="shared" si="312"/>
        <v>2.9750000000000001</v>
      </c>
      <c r="Y293" s="29"/>
      <c r="Z293" s="31">
        <f>ABS(V293)/AC293/AD293</f>
        <v>4.12</v>
      </c>
      <c r="AA293" s="23">
        <f>ABS(+W293/V293)</f>
        <v>8.6299892125134871E-3</v>
      </c>
      <c r="AB293" s="23">
        <f>ABS(X293/V293)</f>
        <v>0.32092772384034524</v>
      </c>
      <c r="AC293" s="36">
        <f t="shared" si="314"/>
        <v>1.5</v>
      </c>
      <c r="AD293" s="37">
        <f t="shared" si="314"/>
        <v>1.5</v>
      </c>
      <c r="AE293" s="22">
        <f t="shared" si="313"/>
        <v>1.4827400215749731</v>
      </c>
      <c r="AF293" s="22">
        <f t="shared" si="313"/>
        <v>0.85814455231930953</v>
      </c>
      <c r="AG293" s="22">
        <f>AF293*AE293</f>
        <v>1.2724052720203787</v>
      </c>
      <c r="AH293" s="38">
        <f>V293/AG293</f>
        <v>7.2854146425224275</v>
      </c>
      <c r="AJ293" s="146" t="s">
        <v>514</v>
      </c>
      <c r="AK293" s="145"/>
      <c r="AL293" s="145"/>
      <c r="AM293" s="145"/>
      <c r="AN293" s="139"/>
      <c r="AO293" s="146" t="s">
        <v>507</v>
      </c>
      <c r="AP293" s="145" t="s">
        <v>626</v>
      </c>
      <c r="AQ293" s="145">
        <f>0.6*AR290</f>
        <v>2100</v>
      </c>
      <c r="AR293" s="212" t="s">
        <v>627</v>
      </c>
      <c r="AS293" s="211">
        <f>+AR294+AR295</f>
        <v>2869.791666666667</v>
      </c>
      <c r="AT293" s="48" t="s">
        <v>515</v>
      </c>
      <c r="AU293" s="48"/>
      <c r="AV293" s="48" t="s">
        <v>518</v>
      </c>
      <c r="AW293" s="160"/>
      <c r="AX293" s="155" t="s">
        <v>524</v>
      </c>
      <c r="AY293" s="182">
        <f>IF(BC292=(1+1/4),+(1+3/8),IF(BC292=1,(1+1/8),IF(BC292=(7/8),1,IF(BC292=(3/4),+(7/8),IF(BC292=(5/8),+(3/4),IF(BC292=(1/2),(9/16),IF(BC292=(3/8),+(7/16),"no valido")))))))</f>
        <v>1.375</v>
      </c>
      <c r="AZ293" s="165" t="s">
        <v>526</v>
      </c>
      <c r="BA293" s="172" t="s">
        <v>531</v>
      </c>
      <c r="BB293" s="178" t="s">
        <v>529</v>
      </c>
      <c r="BC293" s="158">
        <f>+AY294+3</f>
        <v>13.75</v>
      </c>
      <c r="BD293" s="166" t="s">
        <v>526</v>
      </c>
      <c r="BE293" s="172" t="s">
        <v>531</v>
      </c>
    </row>
    <row r="294" spans="1:57" ht="15.75" thickBot="1" x14ac:dyDescent="0.3">
      <c r="A294" s="371" t="s">
        <v>753</v>
      </c>
      <c r="B294" s="371" t="s">
        <v>355</v>
      </c>
      <c r="C294" s="371" t="s">
        <v>352</v>
      </c>
      <c r="D294" s="378">
        <v>0.01</v>
      </c>
      <c r="E294" s="378">
        <v>-2.81</v>
      </c>
      <c r="F294" s="378">
        <v>-3.11</v>
      </c>
      <c r="G294" s="378">
        <v>5.12</v>
      </c>
      <c r="H294" s="378">
        <v>0.09</v>
      </c>
      <c r="I294" s="378">
        <v>0</v>
      </c>
      <c r="K294" s="33"/>
      <c r="L294" t="s">
        <v>802</v>
      </c>
      <c r="M294" s="34">
        <f>D291+D292+D294</f>
        <v>0</v>
      </c>
      <c r="N294" s="34">
        <f>E291+E292+E294</f>
        <v>-2.73</v>
      </c>
      <c r="O294" s="34">
        <f>F291+F292+F294</f>
        <v>14.07</v>
      </c>
      <c r="P294" s="34">
        <f>G291+G292+G294</f>
        <v>5</v>
      </c>
      <c r="Q294" s="34">
        <f>H291+0.25*H292+H294</f>
        <v>6.5000000000000002E-2</v>
      </c>
      <c r="R294" s="35">
        <f>I291+0.25*I292+I294</f>
        <v>0</v>
      </c>
      <c r="S294" s="17"/>
      <c r="T294" s="29"/>
      <c r="U294" s="29" t="s">
        <v>377</v>
      </c>
      <c r="V294" s="23">
        <f t="shared" si="312"/>
        <v>14.07</v>
      </c>
      <c r="W294" s="23">
        <f t="shared" si="312"/>
        <v>5</v>
      </c>
      <c r="X294" s="23">
        <f t="shared" si="312"/>
        <v>6.5000000000000002E-2</v>
      </c>
      <c r="Y294" s="29"/>
      <c r="Z294" s="31">
        <f>ABS(V294)/AC294/AD294</f>
        <v>6.2533333333333339</v>
      </c>
      <c r="AA294" s="23">
        <f>ABS(+W294/V294)</f>
        <v>0.35536602700781805</v>
      </c>
      <c r="AB294" s="23">
        <f>ABS(X294/V294)</f>
        <v>4.6197583511016346E-3</v>
      </c>
      <c r="AC294" s="36">
        <f t="shared" si="314"/>
        <v>1.5</v>
      </c>
      <c r="AD294" s="37">
        <f t="shared" si="314"/>
        <v>1.5</v>
      </c>
      <c r="AE294" s="22">
        <f t="shared" si="313"/>
        <v>0.78926794598436389</v>
      </c>
      <c r="AF294" s="22">
        <f t="shared" si="313"/>
        <v>1.4907604832977968</v>
      </c>
      <c r="AG294" s="22">
        <f>AF294*AE294</f>
        <v>1.1766094646071097</v>
      </c>
      <c r="AH294" s="38">
        <f>V294/AG294</f>
        <v>11.958088408457787</v>
      </c>
      <c r="AJ294" s="147" t="s">
        <v>500</v>
      </c>
      <c r="AK294" s="24">
        <f>(MAX(V291:V295)+ABS(MAX(W291:W295))/(AL292/1000))*1000</f>
        <v>35090</v>
      </c>
      <c r="AL294" s="150" t="s">
        <v>502</v>
      </c>
      <c r="AM294" s="24">
        <f>+ABS(MAX(AK294:AK295))/(+AK292*2/10+AL292*2/10)/(AP292/10)</f>
        <v>91.380208333333343</v>
      </c>
      <c r="AN294" s="151" t="str">
        <f>IF(AM294&lt;=AM295,"OK","REDIS")</f>
        <v>OK</v>
      </c>
      <c r="AO294" s="150" t="s">
        <v>508</v>
      </c>
      <c r="AP294" s="24">
        <f>((AO292/10/2-AL292/10/2)/2)*((MAX(ABS(MAX(W291:W295)),ABS(MIN(W291:W295)))*100000))/(AL292/10)</f>
        <v>52400</v>
      </c>
      <c r="AQ294" s="150" t="s">
        <v>510</v>
      </c>
      <c r="AR294" s="24">
        <f>+AP294/(AK292*AP292*AP292/6/10/10/10)</f>
        <v>1819.4444444444443</v>
      </c>
      <c r="AS294" s="152" t="str">
        <f>IF(AR294&lt;=0.6*AR290*1.1,"OK","REDIS")</f>
        <v>OK</v>
      </c>
      <c r="AT294" s="24" t="s">
        <v>516</v>
      </c>
      <c r="AU294" s="174">
        <f>+AW292*(AP294/100000)/((AO292-AL292)/1000/4)/(AT292-1)</f>
        <v>2.5152000000000001</v>
      </c>
      <c r="AV294" s="24" t="s">
        <v>519</v>
      </c>
      <c r="AW294" s="175">
        <f>+AW292*(ABS(MAX(M291:M295))+ABS(MIN(M291:M295)+ABS(MAX(N291:N295))+ABS(MIN(N291:N295))))/AV292</f>
        <v>0.42000000000000004</v>
      </c>
      <c r="AX294" s="155" t="s">
        <v>525</v>
      </c>
      <c r="AY294" s="383">
        <f>IF(BC292=(1+1/4),+(11-1/4),IF(BC292=1,(9),IF(BC292=(7/8),(7-7/8),IF(BC292=(3/4),+(6-3/4),IF(BC292=(5/8),+(5-5/8),IF(BC292=(1/2),(4-1/2),IF(BC292=(3-3/8),+(7/16),"no valido")))))))</f>
        <v>10.75</v>
      </c>
      <c r="AZ294" s="166" t="s">
        <v>526</v>
      </c>
      <c r="BA294" s="168" t="s">
        <v>533</v>
      </c>
      <c r="BB294" s="153" t="s">
        <v>521</v>
      </c>
      <c r="BC294" s="44">
        <f>+AV292</f>
        <v>16</v>
      </c>
      <c r="BD294" s="166" t="s">
        <v>527</v>
      </c>
      <c r="BE294" s="162" t="s">
        <v>534</v>
      </c>
    </row>
    <row r="295" spans="1:57" ht="15.75" thickBot="1" x14ac:dyDescent="0.3">
      <c r="A295" s="371" t="s">
        <v>753</v>
      </c>
      <c r="B295" s="371" t="s">
        <v>806</v>
      </c>
      <c r="C295" s="371" t="s">
        <v>389</v>
      </c>
      <c r="D295" s="369"/>
      <c r="E295" s="369"/>
      <c r="F295" s="369"/>
      <c r="G295" s="369"/>
      <c r="H295" s="369"/>
      <c r="I295" s="369"/>
      <c r="K295" s="39"/>
      <c r="L295" s="368" t="s">
        <v>803</v>
      </c>
      <c r="M295" s="41">
        <f>D291+D292-D294</f>
        <v>-0.02</v>
      </c>
      <c r="N295" s="41">
        <f>E291+E292-E294</f>
        <v>2.89</v>
      </c>
      <c r="O295" s="41">
        <f>F291+F292-F294</f>
        <v>20.29</v>
      </c>
      <c r="P295" s="41">
        <f>G291+G292-G294</f>
        <v>-5.24</v>
      </c>
      <c r="Q295" s="41">
        <f>H291+0.25*H292-H294</f>
        <v>-0.11499999999999999</v>
      </c>
      <c r="R295" s="42">
        <f>I291+0.25*I292-I294</f>
        <v>0</v>
      </c>
      <c r="S295" s="17"/>
      <c r="T295" s="29"/>
      <c r="U295" s="29" t="s">
        <v>378</v>
      </c>
      <c r="V295" s="23">
        <f t="shared" si="312"/>
        <v>20.29</v>
      </c>
      <c r="W295" s="23">
        <f t="shared" si="312"/>
        <v>-5.24</v>
      </c>
      <c r="X295" s="23">
        <f t="shared" si="312"/>
        <v>-0.11499999999999999</v>
      </c>
      <c r="Y295" s="29"/>
      <c r="Z295" s="31">
        <f>ABS(V295)/AC295/AD295</f>
        <v>9.017777777777777</v>
      </c>
      <c r="AA295" s="23">
        <f>ABS(+W295/V295)</f>
        <v>0.25825529817644161</v>
      </c>
      <c r="AB295" s="23">
        <f>ABS(X295/V295)</f>
        <v>5.6678166584524393E-3</v>
      </c>
      <c r="AC295" s="36">
        <f t="shared" si="314"/>
        <v>1.5</v>
      </c>
      <c r="AD295" s="37">
        <f t="shared" si="314"/>
        <v>1.5</v>
      </c>
      <c r="AE295" s="22">
        <f t="shared" si="313"/>
        <v>0.98348940364711679</v>
      </c>
      <c r="AF295" s="22">
        <f t="shared" si="313"/>
        <v>1.4886643666830952</v>
      </c>
      <c r="AG295" s="22">
        <f>AF295*AE295</f>
        <v>1.4640856302198701</v>
      </c>
      <c r="AH295" s="38">
        <f>V295/AG295</f>
        <v>13.858479026908373</v>
      </c>
      <c r="AJ295" s="147" t="s">
        <v>501</v>
      </c>
      <c r="AK295" s="24">
        <f>(MAX(V291:V295)+ABS(MAX(X291:X295))/(AK292/1000))*1000</f>
        <v>35006.666666666664</v>
      </c>
      <c r="AL295" s="150" t="s">
        <v>505</v>
      </c>
      <c r="AM295" s="24">
        <f>+AR290*0.4/3</f>
        <v>466.66666666666669</v>
      </c>
      <c r="AN295" s="24"/>
      <c r="AO295" s="150" t="s">
        <v>509</v>
      </c>
      <c r="AP295" s="24">
        <f>((AN292/10/2-AK292/10/2)/2)*(MAX(+ABS(MAX(X291:X295)),ABS(MIN(X291:X295)))*100000/(AK292/10))</f>
        <v>50416.666666666672</v>
      </c>
      <c r="AQ295" s="150" t="s">
        <v>511</v>
      </c>
      <c r="AR295" s="24">
        <f>+AP295/(AL292*AP292*AP292/6/1000)</f>
        <v>1050.3472222222224</v>
      </c>
      <c r="AS295" s="152" t="str">
        <f>IF(AR295&lt;=0.6*AR290*1.1,"OK","REDIS")</f>
        <v>OK</v>
      </c>
      <c r="AT295" s="24" t="s">
        <v>517</v>
      </c>
      <c r="AU295" s="174">
        <f>+AW292*(AP295/100000)/((AN292-AK292)/1000/4)/(AU292-1)</f>
        <v>4.0333333333333341</v>
      </c>
      <c r="AV295" s="24"/>
      <c r="AW295" s="161"/>
      <c r="AX295" s="156" t="s">
        <v>522</v>
      </c>
      <c r="AY295" s="181">
        <f>IF(AY293=(1+3/8),+AV292/3,IF(AY293=(1+1/8),+AV292/6,IF(AY293=1,+AV292/8,IF(AY293=(7/8),+AV292/11,IF(AY293=0.75,+AV292/18,IF(AY293=(9/16),+AV292/45,IF(AY293=(7/16),+AV292/84,"NO HAY DATO")))))))</f>
        <v>5.333333333333333</v>
      </c>
      <c r="AZ295" s="167" t="s">
        <v>527</v>
      </c>
      <c r="BA295" s="386">
        <f>ROUNDUP(+AY294*2.54,0)</f>
        <v>28</v>
      </c>
      <c r="BB295" s="164" t="s">
        <v>523</v>
      </c>
      <c r="BC295" s="129">
        <f>+BC294*BC293*2.54/100</f>
        <v>5.5879999999999992</v>
      </c>
      <c r="BD295" s="173" t="s">
        <v>528</v>
      </c>
      <c r="BE295" s="385">
        <f>ROUNDUP(+BC293*2.54,0)</f>
        <v>35</v>
      </c>
    </row>
    <row r="296" spans="1:57" ht="15" x14ac:dyDescent="0.25">
      <c r="A296" s="371" t="s">
        <v>753</v>
      </c>
      <c r="B296" s="371" t="s">
        <v>807</v>
      </c>
      <c r="C296" s="371" t="s">
        <v>389</v>
      </c>
      <c r="D296" s="369"/>
      <c r="E296" s="369"/>
      <c r="F296" s="369"/>
      <c r="G296" s="369"/>
      <c r="H296" s="369"/>
      <c r="I296" s="369"/>
      <c r="K296" s="25" t="s">
        <v>357</v>
      </c>
      <c r="L296" s="26" t="s">
        <v>358</v>
      </c>
      <c r="M296" s="27" t="s">
        <v>359</v>
      </c>
      <c r="N296" s="27" t="s">
        <v>360</v>
      </c>
      <c r="O296" s="27" t="s">
        <v>361</v>
      </c>
      <c r="P296" s="27" t="s">
        <v>362</v>
      </c>
      <c r="Q296" s="27" t="s">
        <v>363</v>
      </c>
      <c r="R296" s="28" t="s">
        <v>364</v>
      </c>
      <c r="S296" s="17"/>
      <c r="T296" s="29" t="s">
        <v>365</v>
      </c>
      <c r="U296" s="29" t="s">
        <v>358</v>
      </c>
      <c r="V296" s="30" t="s">
        <v>361</v>
      </c>
      <c r="W296" s="30" t="s">
        <v>362</v>
      </c>
      <c r="X296" s="30" t="s">
        <v>363</v>
      </c>
      <c r="Y296" s="29" t="s">
        <v>366</v>
      </c>
      <c r="Z296" s="31" t="s">
        <v>367</v>
      </c>
      <c r="AA296" s="23" t="s">
        <v>368</v>
      </c>
      <c r="AB296" s="23" t="s">
        <v>369</v>
      </c>
      <c r="AC296" s="22" t="s">
        <v>0</v>
      </c>
      <c r="AD296" s="22" t="s">
        <v>1</v>
      </c>
      <c r="AE296" s="22" t="s">
        <v>370</v>
      </c>
      <c r="AF296" s="22" t="s">
        <v>371</v>
      </c>
      <c r="AG296" s="22" t="s">
        <v>372</v>
      </c>
      <c r="AH296" s="32" t="s">
        <v>373</v>
      </c>
      <c r="AJ296" s="143" t="s">
        <v>365</v>
      </c>
      <c r="AK296" s="144" t="s">
        <v>498</v>
      </c>
      <c r="AL296" s="145"/>
      <c r="AM296" s="139"/>
      <c r="AN296" s="146" t="s">
        <v>499</v>
      </c>
      <c r="AO296" s="145"/>
      <c r="AP296" s="139"/>
      <c r="AQ296" s="147" t="s">
        <v>506</v>
      </c>
      <c r="AR296" s="48">
        <v>3500</v>
      </c>
      <c r="AS296" s="147" t="s">
        <v>405</v>
      </c>
      <c r="AT296" s="146" t="s">
        <v>512</v>
      </c>
      <c r="AU296" s="145"/>
      <c r="AV296" s="145"/>
      <c r="AW296" s="145"/>
      <c r="AX296" s="382" t="s">
        <v>532</v>
      </c>
      <c r="AY296" s="157" t="s">
        <v>515</v>
      </c>
      <c r="AZ296" s="169">
        <v>6.9</v>
      </c>
      <c r="BA296" s="171" t="str">
        <f>IF(MAX(AU300:AU301)&lt;=AZ296,"OK","REDIS")</f>
        <v>OK</v>
      </c>
      <c r="BB296" s="382" t="s">
        <v>536</v>
      </c>
      <c r="BC296" s="170" t="s">
        <v>515</v>
      </c>
      <c r="BD296" s="169">
        <v>8.36</v>
      </c>
      <c r="BE296" s="171" t="str">
        <f>IF(MAX(AU300:AU301)&lt;=BD296,"OK","REDIS")</f>
        <v>OK</v>
      </c>
    </row>
    <row r="297" spans="1:57" ht="15" x14ac:dyDescent="0.25">
      <c r="A297" s="371" t="s">
        <v>754</v>
      </c>
      <c r="B297" s="371" t="s">
        <v>351</v>
      </c>
      <c r="C297" s="371" t="s">
        <v>352</v>
      </c>
      <c r="D297" s="378">
        <v>-0.03</v>
      </c>
      <c r="E297" s="378">
        <v>0.04</v>
      </c>
      <c r="F297" s="378">
        <v>9.1999999999999993</v>
      </c>
      <c r="G297" s="378">
        <v>-0.08</v>
      </c>
      <c r="H297" s="378">
        <v>-0.05</v>
      </c>
      <c r="I297" s="378">
        <v>0</v>
      </c>
      <c r="K297" s="33" t="str">
        <f>+A297</f>
        <v>46</v>
      </c>
      <c r="L297" s="17" t="s">
        <v>374</v>
      </c>
      <c r="M297" s="34">
        <f t="shared" ref="M297:R297" si="315">D297+D298</f>
        <v>-0.05</v>
      </c>
      <c r="N297" s="34">
        <f t="shared" si="315"/>
        <v>0.06</v>
      </c>
      <c r="O297" s="34">
        <f t="shared" si="315"/>
        <v>11.989999999999998</v>
      </c>
      <c r="P297" s="34">
        <f t="shared" si="315"/>
        <v>-0.11</v>
      </c>
      <c r="Q297" s="34">
        <f t="shared" si="315"/>
        <v>-0.09</v>
      </c>
      <c r="R297" s="35">
        <f t="shared" si="315"/>
        <v>0</v>
      </c>
      <c r="S297" s="17"/>
      <c r="T297" s="29" t="str">
        <f>K297</f>
        <v>46</v>
      </c>
      <c r="U297" s="29" t="s">
        <v>374</v>
      </c>
      <c r="V297" s="23">
        <f t="shared" ref="V297:X301" si="316">O297</f>
        <v>11.989999999999998</v>
      </c>
      <c r="W297" s="23">
        <f t="shared" si="316"/>
        <v>-0.11</v>
      </c>
      <c r="X297" s="23">
        <f t="shared" si="316"/>
        <v>-0.09</v>
      </c>
      <c r="Y297" s="29">
        <v>15</v>
      </c>
      <c r="Z297" s="31">
        <f>ABS(V297)/AC297/AD297</f>
        <v>4.14878892733564</v>
      </c>
      <c r="AA297" s="23">
        <f>ABS(+W297/V297)</f>
        <v>9.1743119266055051E-3</v>
      </c>
      <c r="AB297" s="23">
        <f>ABS(X297/V297)</f>
        <v>7.5062552126772316E-3</v>
      </c>
      <c r="AC297" s="36">
        <v>1.7</v>
      </c>
      <c r="AD297" s="37">
        <v>1.7</v>
      </c>
      <c r="AE297" s="22">
        <f t="shared" ref="AE297:AF301" si="317">AC297-2*AA297</f>
        <v>1.6816513761467888</v>
      </c>
      <c r="AF297" s="22">
        <f t="shared" si="317"/>
        <v>1.6849874895746455</v>
      </c>
      <c r="AG297" s="22">
        <f>AF297*AE297</f>
        <v>2.8335615306333257</v>
      </c>
      <c r="AH297" s="38">
        <f>V297/AG297</f>
        <v>4.231423906055122</v>
      </c>
      <c r="AJ297" s="379" t="str">
        <f>+A297</f>
        <v>46</v>
      </c>
      <c r="AK297" s="147" t="s">
        <v>0</v>
      </c>
      <c r="AL297" s="147" t="s">
        <v>1</v>
      </c>
      <c r="AM297" s="147" t="s">
        <v>438</v>
      </c>
      <c r="AN297" s="147" t="s">
        <v>503</v>
      </c>
      <c r="AO297" s="147" t="s">
        <v>504</v>
      </c>
      <c r="AP297" s="147" t="s">
        <v>323</v>
      </c>
      <c r="AQ297" s="48"/>
      <c r="AR297" s="48"/>
      <c r="AS297" s="48"/>
      <c r="AT297" s="147" t="s">
        <v>0</v>
      </c>
      <c r="AU297" s="147" t="s">
        <v>1</v>
      </c>
      <c r="AV297" s="147" t="s">
        <v>513</v>
      </c>
      <c r="AW297" s="159" t="s">
        <v>520</v>
      </c>
      <c r="AX297" s="141" t="s">
        <v>530</v>
      </c>
      <c r="AY297" s="157" t="s">
        <v>178</v>
      </c>
      <c r="AZ297" s="44">
        <v>12</v>
      </c>
      <c r="BA297" s="172" t="str">
        <f>IF(AW300&lt;=AZ297,"OK","REDIS")</f>
        <v>OK</v>
      </c>
      <c r="BB297" s="384" t="s">
        <v>535</v>
      </c>
      <c r="BC297" s="120" t="s">
        <v>178</v>
      </c>
      <c r="BD297" s="44">
        <v>4.3</v>
      </c>
      <c r="BE297" s="172" t="str">
        <f>IF(AW300&lt;=BD297,"OK","REDIS")</f>
        <v>OK</v>
      </c>
    </row>
    <row r="298" spans="1:57" ht="15" x14ac:dyDescent="0.25">
      <c r="A298" s="371" t="s">
        <v>754</v>
      </c>
      <c r="B298" s="371" t="s">
        <v>353</v>
      </c>
      <c r="C298" s="371" t="s">
        <v>352</v>
      </c>
      <c r="D298" s="378">
        <v>-0.02</v>
      </c>
      <c r="E298" s="378">
        <v>0.02</v>
      </c>
      <c r="F298" s="378">
        <v>2.79</v>
      </c>
      <c r="G298" s="378">
        <v>-0.03</v>
      </c>
      <c r="H298" s="378">
        <v>-0.04</v>
      </c>
      <c r="I298" s="378">
        <v>0</v>
      </c>
      <c r="K298" s="33"/>
      <c r="L298" t="s">
        <v>800</v>
      </c>
      <c r="M298" s="34">
        <f>D297+D298+D299</f>
        <v>-4.41</v>
      </c>
      <c r="N298" s="34">
        <f>E297+E298+E299</f>
        <v>0.29000000000000004</v>
      </c>
      <c r="O298" s="34">
        <f>F297+F298+F299</f>
        <v>18.169999999999998</v>
      </c>
      <c r="P298" s="34">
        <f>G297+G298+G299</f>
        <v>-0.47</v>
      </c>
      <c r="Q298" s="34">
        <f>H297+0.25*H298+H299</f>
        <v>-3.94</v>
      </c>
      <c r="R298" s="35">
        <f>I297+0.25*I298+I299</f>
        <v>0</v>
      </c>
      <c r="S298" s="17"/>
      <c r="T298" s="29"/>
      <c r="U298" s="29" t="s">
        <v>375</v>
      </c>
      <c r="V298" s="23">
        <f t="shared" si="316"/>
        <v>18.169999999999998</v>
      </c>
      <c r="W298" s="23">
        <f t="shared" si="316"/>
        <v>-0.47</v>
      </c>
      <c r="X298" s="23">
        <f t="shared" si="316"/>
        <v>-3.94</v>
      </c>
      <c r="Y298" s="29">
        <f>1.33*Y297</f>
        <v>19.950000000000003</v>
      </c>
      <c r="Z298" s="31">
        <f>ABS(V298)/AC298/AD298</f>
        <v>6.2871972318339102</v>
      </c>
      <c r="AA298" s="23">
        <f>ABS(+W298/V298)</f>
        <v>2.5866813428728676E-2</v>
      </c>
      <c r="AB298" s="23">
        <f>ABS(X298/V298)</f>
        <v>0.21684094661529996</v>
      </c>
      <c r="AC298" s="36">
        <f t="shared" ref="AC298:AD301" si="318">AC297</f>
        <v>1.7</v>
      </c>
      <c r="AD298" s="37">
        <f t="shared" si="318"/>
        <v>1.7</v>
      </c>
      <c r="AE298" s="22">
        <f t="shared" si="317"/>
        <v>1.6482663731425427</v>
      </c>
      <c r="AF298" s="22">
        <f t="shared" si="317"/>
        <v>1.2663181067694</v>
      </c>
      <c r="AG298" s="22">
        <f>AF298*AE298</f>
        <v>2.08722955308953</v>
      </c>
      <c r="AH298" s="38">
        <f>V298/AG298</f>
        <v>8.7053194379624674</v>
      </c>
      <c r="AJ298" s="147" t="s">
        <v>539</v>
      </c>
      <c r="AK298" s="148">
        <v>300</v>
      </c>
      <c r="AL298" s="148">
        <v>500</v>
      </c>
      <c r="AM298" s="148">
        <v>28</v>
      </c>
      <c r="AN298" s="380">
        <v>500</v>
      </c>
      <c r="AO298" s="380">
        <v>700</v>
      </c>
      <c r="AP298" s="380">
        <v>24</v>
      </c>
      <c r="AQ298" s="48"/>
      <c r="AR298" s="48"/>
      <c r="AS298" s="48"/>
      <c r="AT298" s="381">
        <v>6</v>
      </c>
      <c r="AU298" s="381">
        <v>4</v>
      </c>
      <c r="AV298" s="380">
        <f>+AT298*2+(AU298-2)*2</f>
        <v>16</v>
      </c>
      <c r="AW298" s="159">
        <v>1.2</v>
      </c>
      <c r="AX298" s="155" t="s">
        <v>538</v>
      </c>
      <c r="AY298" s="180">
        <f>+AV298</f>
        <v>16</v>
      </c>
      <c r="BA298" s="154"/>
      <c r="BB298" s="177" t="s">
        <v>537</v>
      </c>
      <c r="BC298" s="179">
        <v>1.25</v>
      </c>
      <c r="BD298" s="166" t="s">
        <v>526</v>
      </c>
      <c r="BE298" s="154"/>
    </row>
    <row r="299" spans="1:57" ht="15" x14ac:dyDescent="0.25">
      <c r="A299" s="371" t="s">
        <v>754</v>
      </c>
      <c r="B299" s="371" t="s">
        <v>354</v>
      </c>
      <c r="C299" s="371" t="s">
        <v>352</v>
      </c>
      <c r="D299" s="378">
        <v>-4.3600000000000003</v>
      </c>
      <c r="E299" s="378">
        <v>0.23</v>
      </c>
      <c r="F299" s="378">
        <v>6.18</v>
      </c>
      <c r="G299" s="378">
        <v>-0.36</v>
      </c>
      <c r="H299" s="378">
        <v>-3.88</v>
      </c>
      <c r="I299" s="378">
        <v>0</v>
      </c>
      <c r="K299" s="33"/>
      <c r="L299" t="s">
        <v>801</v>
      </c>
      <c r="M299" s="34">
        <f>D297+D298-D299</f>
        <v>4.3100000000000005</v>
      </c>
      <c r="N299" s="34">
        <f>E297+E298-E299</f>
        <v>-0.17</v>
      </c>
      <c r="O299" s="34">
        <f>F297+F298-F299</f>
        <v>5.8099999999999987</v>
      </c>
      <c r="P299" s="34">
        <f>G297+G298-G299</f>
        <v>0.25</v>
      </c>
      <c r="Q299" s="34">
        <f>H297+0.25*H298-H299</f>
        <v>3.82</v>
      </c>
      <c r="R299" s="35">
        <f>I297+0.25*I298-I299</f>
        <v>0</v>
      </c>
      <c r="S299" s="17"/>
      <c r="T299" s="29"/>
      <c r="U299" s="29" t="s">
        <v>376</v>
      </c>
      <c r="V299" s="23">
        <f t="shared" si="316"/>
        <v>5.8099999999999987</v>
      </c>
      <c r="W299" s="23">
        <f t="shared" si="316"/>
        <v>0.25</v>
      </c>
      <c r="X299" s="23">
        <f t="shared" si="316"/>
        <v>3.82</v>
      </c>
      <c r="Y299" s="29"/>
      <c r="Z299" s="31">
        <f>ABS(V299)/AC299/AD299</f>
        <v>2.0103806228373697</v>
      </c>
      <c r="AA299" s="23">
        <f>ABS(+W299/V299)</f>
        <v>4.3029259896729788E-2</v>
      </c>
      <c r="AB299" s="23">
        <f>ABS(X299/V299)</f>
        <v>0.65748709122203108</v>
      </c>
      <c r="AC299" s="36">
        <f t="shared" si="318"/>
        <v>1.7</v>
      </c>
      <c r="AD299" s="37">
        <f t="shared" si="318"/>
        <v>1.7</v>
      </c>
      <c r="AE299" s="22">
        <f t="shared" si="317"/>
        <v>1.6139414802065404</v>
      </c>
      <c r="AF299" s="22">
        <f t="shared" si="317"/>
        <v>0.38502581755593779</v>
      </c>
      <c r="AG299" s="22">
        <f>AF299*AE299</f>
        <v>0.62140913790396357</v>
      </c>
      <c r="AH299" s="38">
        <f>V299/AG299</f>
        <v>9.3497176748918562</v>
      </c>
      <c r="AJ299" s="146" t="s">
        <v>514</v>
      </c>
      <c r="AK299" s="145"/>
      <c r="AL299" s="145"/>
      <c r="AM299" s="145"/>
      <c r="AN299" s="139"/>
      <c r="AO299" s="146" t="s">
        <v>507</v>
      </c>
      <c r="AP299" s="145" t="s">
        <v>626</v>
      </c>
      <c r="AQ299" s="145">
        <f>0.6*AR296</f>
        <v>2100</v>
      </c>
      <c r="AR299" s="212" t="s">
        <v>627</v>
      </c>
      <c r="AS299" s="211">
        <f>+AR300+AR301</f>
        <v>3701.3888888888896</v>
      </c>
      <c r="AT299" s="48" t="s">
        <v>515</v>
      </c>
      <c r="AU299" s="48"/>
      <c r="AV299" s="48" t="s">
        <v>518</v>
      </c>
      <c r="AW299" s="160"/>
      <c r="AX299" s="155" t="s">
        <v>524</v>
      </c>
      <c r="AY299" s="182">
        <f>IF(BC298=(1+1/4),+(1+3/8),IF(BC298=1,(1+1/8),IF(BC298=(7/8),1,IF(BC298=(3/4),+(7/8),IF(BC298=(5/8),+(3/4),IF(BC298=(1/2),(9/16),IF(BC298=(3/8),+(7/16),"no valido")))))))</f>
        <v>1.375</v>
      </c>
      <c r="AZ299" s="165" t="s">
        <v>526</v>
      </c>
      <c r="BA299" s="172" t="s">
        <v>531</v>
      </c>
      <c r="BB299" s="178" t="s">
        <v>529</v>
      </c>
      <c r="BC299" s="158">
        <f>+AY300+3</f>
        <v>13.75</v>
      </c>
      <c r="BD299" s="166" t="s">
        <v>526</v>
      </c>
      <c r="BE299" s="172" t="s">
        <v>531</v>
      </c>
    </row>
    <row r="300" spans="1:57" ht="15.75" thickBot="1" x14ac:dyDescent="0.3">
      <c r="A300" s="371" t="s">
        <v>754</v>
      </c>
      <c r="B300" s="371" t="s">
        <v>355</v>
      </c>
      <c r="C300" s="371" t="s">
        <v>352</v>
      </c>
      <c r="D300" s="378">
        <v>0.17</v>
      </c>
      <c r="E300" s="378">
        <v>-4.6100000000000003</v>
      </c>
      <c r="F300" s="378">
        <v>1.1299999999999999</v>
      </c>
      <c r="G300" s="378">
        <v>6.61</v>
      </c>
      <c r="H300" s="378">
        <v>0.16</v>
      </c>
      <c r="I300" s="378">
        <v>0</v>
      </c>
      <c r="K300" s="33"/>
      <c r="L300" t="s">
        <v>802</v>
      </c>
      <c r="M300" s="34">
        <f>D297+D298+D300</f>
        <v>0.12000000000000001</v>
      </c>
      <c r="N300" s="34">
        <f>E297+E298+E300</f>
        <v>-4.5500000000000007</v>
      </c>
      <c r="O300" s="34">
        <f>F297+F298+F300</f>
        <v>13.119999999999997</v>
      </c>
      <c r="P300" s="34">
        <f>G297+G298+G300</f>
        <v>6.5</v>
      </c>
      <c r="Q300" s="34">
        <f>H297+0.25*H298+H300</f>
        <v>0.1</v>
      </c>
      <c r="R300" s="35">
        <f>I297+0.25*I298+I300</f>
        <v>0</v>
      </c>
      <c r="S300" s="17"/>
      <c r="T300" s="29"/>
      <c r="U300" s="29" t="s">
        <v>377</v>
      </c>
      <c r="V300" s="23">
        <f t="shared" si="316"/>
        <v>13.119999999999997</v>
      </c>
      <c r="W300" s="23">
        <f t="shared" si="316"/>
        <v>6.5</v>
      </c>
      <c r="X300" s="23">
        <f t="shared" si="316"/>
        <v>0.1</v>
      </c>
      <c r="Y300" s="29"/>
      <c r="Z300" s="31">
        <f>ABS(V300)/AC300/AD300</f>
        <v>4.539792387543252</v>
      </c>
      <c r="AA300" s="23">
        <f>ABS(+W300/V300)</f>
        <v>0.49542682926829279</v>
      </c>
      <c r="AB300" s="23">
        <f>ABS(X300/V300)</f>
        <v>7.6219512195121967E-3</v>
      </c>
      <c r="AC300" s="36">
        <f t="shared" si="318"/>
        <v>1.7</v>
      </c>
      <c r="AD300" s="37">
        <f t="shared" si="318"/>
        <v>1.7</v>
      </c>
      <c r="AE300" s="22">
        <f t="shared" si="317"/>
        <v>0.70914634146341438</v>
      </c>
      <c r="AF300" s="22">
        <f t="shared" si="317"/>
        <v>1.6847560975609757</v>
      </c>
      <c r="AG300" s="22">
        <f>AF300*AE300</f>
        <v>1.194738622843545</v>
      </c>
      <c r="AH300" s="38">
        <f>V300/AG300</f>
        <v>10.98148142961484</v>
      </c>
      <c r="AJ300" s="147" t="s">
        <v>500</v>
      </c>
      <c r="AK300" s="24">
        <f>(MAX(V297:V301)+ABS(MAX(W297:W301))/(AL298/1000))*1000</f>
        <v>31169.999999999996</v>
      </c>
      <c r="AL300" s="150" t="s">
        <v>502</v>
      </c>
      <c r="AM300" s="24">
        <f>+ABS(MAX(AK300:AK301))/(+AK298*2/10+AL298*2/10)/(AP298/10)</f>
        <v>81.171874999999986</v>
      </c>
      <c r="AN300" s="151" t="str">
        <f>IF(AM300&lt;=AM301,"OK","REDIS")</f>
        <v>OK</v>
      </c>
      <c r="AO300" s="150" t="s">
        <v>508</v>
      </c>
      <c r="AP300" s="24">
        <f>((AO298/10/2-AL298/10/2)/2)*((MAX(ABS(MAX(W297:W301)),ABS(MIN(W297:W301)))*100000))/(AL298/10)</f>
        <v>67200.000000000015</v>
      </c>
      <c r="AQ300" s="150" t="s">
        <v>510</v>
      </c>
      <c r="AR300" s="24">
        <f>+AP300/(AK298*AP298*AP298/6/10/10/10)</f>
        <v>2333.3333333333339</v>
      </c>
      <c r="AS300" s="152" t="str">
        <f>IF(AR300&lt;=0.6*AR296*1.1,"OK","REDIS")</f>
        <v>REDIS</v>
      </c>
      <c r="AT300" s="24" t="s">
        <v>516</v>
      </c>
      <c r="AU300" s="174">
        <f>+AW298*(AP300/100000)/((AO298-AL298)/1000/4)/(AT298-1)</f>
        <v>3.2256</v>
      </c>
      <c r="AV300" s="24" t="s">
        <v>519</v>
      </c>
      <c r="AW300" s="175">
        <f>+AW298*(ABS(MAX(M297:M301))+ABS(MIN(M297:M301)+ABS(MAX(N297:N301))+ABS(MIN(N297:N301))))/AV298</f>
        <v>0.68400000000000005</v>
      </c>
      <c r="AX300" s="155" t="s">
        <v>525</v>
      </c>
      <c r="AY300" s="383">
        <f>IF(BC298=(1+1/4),+(11-1/4),IF(BC298=1,(9),IF(BC298=(7/8),(7-7/8),IF(BC298=(3/4),+(6-3/4),IF(BC298=(5/8),+(5-5/8),IF(BC298=(1/2),(4-1/2),IF(BC298=(3-3/8),+(7/16),"no valido")))))))</f>
        <v>10.75</v>
      </c>
      <c r="AZ300" s="166" t="s">
        <v>526</v>
      </c>
      <c r="BA300" s="168" t="s">
        <v>533</v>
      </c>
      <c r="BB300" s="153" t="s">
        <v>521</v>
      </c>
      <c r="BC300" s="44">
        <f>+AV298</f>
        <v>16</v>
      </c>
      <c r="BD300" s="166" t="s">
        <v>527</v>
      </c>
      <c r="BE300" s="162" t="s">
        <v>534</v>
      </c>
    </row>
    <row r="301" spans="1:57" ht="15.75" thickBot="1" x14ac:dyDescent="0.3">
      <c r="A301" s="371" t="s">
        <v>754</v>
      </c>
      <c r="B301" s="371" t="s">
        <v>806</v>
      </c>
      <c r="C301" s="371" t="s">
        <v>389</v>
      </c>
      <c r="D301" s="369"/>
      <c r="E301" s="369"/>
      <c r="F301" s="369"/>
      <c r="G301" s="369"/>
      <c r="H301" s="369"/>
      <c r="I301" s="369"/>
      <c r="K301" s="39"/>
      <c r="L301" s="368" t="s">
        <v>803</v>
      </c>
      <c r="M301" s="41">
        <f>D297+D298-D300</f>
        <v>-0.22000000000000003</v>
      </c>
      <c r="N301" s="41">
        <f>E297+E298-E300</f>
        <v>4.67</v>
      </c>
      <c r="O301" s="41">
        <f>F297+F298-F300</f>
        <v>10.86</v>
      </c>
      <c r="P301" s="41">
        <f>G297+G298-G300</f>
        <v>-6.7200000000000006</v>
      </c>
      <c r="Q301" s="41">
        <f>H297+0.25*H298-H300</f>
        <v>-0.22</v>
      </c>
      <c r="R301" s="42">
        <f>I297+0.25*I298-I300</f>
        <v>0</v>
      </c>
      <c r="S301" s="17"/>
      <c r="T301" s="29"/>
      <c r="U301" s="29" t="s">
        <v>378</v>
      </c>
      <c r="V301" s="23">
        <f t="shared" si="316"/>
        <v>10.86</v>
      </c>
      <c r="W301" s="23">
        <f t="shared" si="316"/>
        <v>-6.7200000000000006</v>
      </c>
      <c r="X301" s="23">
        <f t="shared" si="316"/>
        <v>-0.22</v>
      </c>
      <c r="Y301" s="29"/>
      <c r="Z301" s="31">
        <f>ABS(V301)/AC301/AD301</f>
        <v>3.7577854671280275</v>
      </c>
      <c r="AA301" s="23">
        <f>ABS(+W301/V301)</f>
        <v>0.61878453038674042</v>
      </c>
      <c r="AB301" s="23">
        <f>ABS(X301/V301)</f>
        <v>2.0257826887661142E-2</v>
      </c>
      <c r="AC301" s="36">
        <f t="shared" si="318"/>
        <v>1.7</v>
      </c>
      <c r="AD301" s="37">
        <f t="shared" si="318"/>
        <v>1.7</v>
      </c>
      <c r="AE301" s="22">
        <f t="shared" si="317"/>
        <v>0.46243093922651912</v>
      </c>
      <c r="AF301" s="22">
        <f t="shared" si="317"/>
        <v>1.6594843462246778</v>
      </c>
      <c r="AG301" s="22">
        <f>AF301*AE301</f>
        <v>0.76739690485638379</v>
      </c>
      <c r="AH301" s="38">
        <f>V301/AG301</f>
        <v>14.151738078787819</v>
      </c>
      <c r="AJ301" s="147" t="s">
        <v>501</v>
      </c>
      <c r="AK301" s="24">
        <f>(MAX(V297:V301)+ABS(MAX(X297:X301))/(AK298/1000))*1000</f>
        <v>30903.333333333328</v>
      </c>
      <c r="AL301" s="150" t="s">
        <v>505</v>
      </c>
      <c r="AM301" s="24">
        <f>+AR296*0.4/3</f>
        <v>466.66666666666669</v>
      </c>
      <c r="AN301" s="24"/>
      <c r="AO301" s="150" t="s">
        <v>509</v>
      </c>
      <c r="AP301" s="24">
        <f>((AN298/10/2-AK298/10/2)/2)*(MAX(+ABS(MAX(X297:X301)),ABS(MIN(X297:X301)))*100000/(AK298/10))</f>
        <v>65666.666666666672</v>
      </c>
      <c r="AQ301" s="150" t="s">
        <v>511</v>
      </c>
      <c r="AR301" s="24">
        <f>+AP301/(AL298*AP298*AP298/6/1000)</f>
        <v>1368.0555555555557</v>
      </c>
      <c r="AS301" s="152" t="str">
        <f>IF(AR301&lt;=0.6*AR296*1.1,"OK","REDIS")</f>
        <v>OK</v>
      </c>
      <c r="AT301" s="24" t="s">
        <v>517</v>
      </c>
      <c r="AU301" s="174">
        <f>+AW298*(AP301/100000)/((AN298-AK298)/1000/4)/(AU298-1)</f>
        <v>5.253333333333333</v>
      </c>
      <c r="AV301" s="24"/>
      <c r="AW301" s="161"/>
      <c r="AX301" s="156" t="s">
        <v>522</v>
      </c>
      <c r="AY301" s="181">
        <f>IF(AY299=(1+3/8),+AV298/3,IF(AY299=(1+1/8),+AV298/6,IF(AY299=1,+AV298/8,IF(AY299=(7/8),+AV298/11,IF(AY299=0.75,+AV298/18,IF(AY299=(9/16),+AV298/45,IF(AY299=(7/16),+AV298/84,"NO HAY DATO")))))))</f>
        <v>5.333333333333333</v>
      </c>
      <c r="AZ301" s="167" t="s">
        <v>527</v>
      </c>
      <c r="BA301" s="386">
        <f>ROUNDUP(+AY300*2.54,0)</f>
        <v>28</v>
      </c>
      <c r="BB301" s="164" t="s">
        <v>523</v>
      </c>
      <c r="BC301" s="129">
        <f>+BC300*BC299*2.54/100</f>
        <v>5.5879999999999992</v>
      </c>
      <c r="BD301" s="173" t="s">
        <v>528</v>
      </c>
      <c r="BE301" s="385">
        <f>ROUNDUP(+BC299*2.54,0)</f>
        <v>35</v>
      </c>
    </row>
    <row r="302" spans="1:57" ht="15" x14ac:dyDescent="0.25">
      <c r="A302" s="371" t="s">
        <v>754</v>
      </c>
      <c r="B302" s="371" t="s">
        <v>807</v>
      </c>
      <c r="C302" s="371" t="s">
        <v>389</v>
      </c>
      <c r="D302" s="369"/>
      <c r="E302" s="369"/>
      <c r="F302" s="369"/>
      <c r="G302" s="369"/>
      <c r="H302" s="369"/>
      <c r="I302" s="369"/>
      <c r="K302" s="25" t="s">
        <v>357</v>
      </c>
      <c r="L302" s="26" t="s">
        <v>358</v>
      </c>
      <c r="M302" s="27" t="s">
        <v>359</v>
      </c>
      <c r="N302" s="27" t="s">
        <v>360</v>
      </c>
      <c r="O302" s="27" t="s">
        <v>361</v>
      </c>
      <c r="P302" s="27" t="s">
        <v>362</v>
      </c>
      <c r="Q302" s="27" t="s">
        <v>363</v>
      </c>
      <c r="R302" s="28" t="s">
        <v>364</v>
      </c>
      <c r="S302" s="17"/>
      <c r="T302" s="29" t="s">
        <v>365</v>
      </c>
      <c r="U302" s="29" t="s">
        <v>358</v>
      </c>
      <c r="V302" s="30" t="s">
        <v>361</v>
      </c>
      <c r="W302" s="30" t="s">
        <v>362</v>
      </c>
      <c r="X302" s="30" t="s">
        <v>363</v>
      </c>
      <c r="Y302" s="29" t="s">
        <v>366</v>
      </c>
      <c r="Z302" s="31" t="s">
        <v>367</v>
      </c>
      <c r="AA302" s="23" t="s">
        <v>368</v>
      </c>
      <c r="AB302" s="23" t="s">
        <v>369</v>
      </c>
      <c r="AC302" s="22" t="s">
        <v>0</v>
      </c>
      <c r="AD302" s="22" t="s">
        <v>1</v>
      </c>
      <c r="AE302" s="22" t="s">
        <v>370</v>
      </c>
      <c r="AF302" s="22" t="s">
        <v>371</v>
      </c>
      <c r="AG302" s="22" t="s">
        <v>372</v>
      </c>
      <c r="AH302" s="32" t="s">
        <v>373</v>
      </c>
      <c r="AJ302" s="143" t="s">
        <v>365</v>
      </c>
      <c r="AK302" s="144" t="s">
        <v>498</v>
      </c>
      <c r="AL302" s="145"/>
      <c r="AM302" s="139"/>
      <c r="AN302" s="146" t="s">
        <v>499</v>
      </c>
      <c r="AO302" s="145"/>
      <c r="AP302" s="139"/>
      <c r="AQ302" s="147" t="s">
        <v>506</v>
      </c>
      <c r="AR302" s="48">
        <v>3500</v>
      </c>
      <c r="AS302" s="147" t="s">
        <v>405</v>
      </c>
      <c r="AT302" s="146" t="s">
        <v>512</v>
      </c>
      <c r="AU302" s="145"/>
      <c r="AV302" s="145"/>
      <c r="AW302" s="145"/>
      <c r="AX302" s="382" t="s">
        <v>532</v>
      </c>
      <c r="AY302" s="157" t="s">
        <v>515</v>
      </c>
      <c r="AZ302" s="169">
        <v>6.9</v>
      </c>
      <c r="BA302" s="171" t="str">
        <f>IF(MAX(AU306:AU307)&lt;=AZ302,"OK","REDIS")</f>
        <v>OK</v>
      </c>
      <c r="BB302" s="382" t="s">
        <v>536</v>
      </c>
      <c r="BC302" s="170" t="s">
        <v>515</v>
      </c>
      <c r="BD302" s="169">
        <v>8.36</v>
      </c>
      <c r="BE302" s="171" t="str">
        <f>IF(MAX(AU306:AU307)&lt;=BD302,"OK","REDIS")</f>
        <v>OK</v>
      </c>
    </row>
    <row r="303" spans="1:57" ht="15" x14ac:dyDescent="0.25">
      <c r="A303" s="371" t="s">
        <v>640</v>
      </c>
      <c r="B303" s="371" t="s">
        <v>351</v>
      </c>
      <c r="C303" s="371" t="s">
        <v>352</v>
      </c>
      <c r="D303" s="378">
        <v>-0.1</v>
      </c>
      <c r="E303" s="378">
        <v>0</v>
      </c>
      <c r="F303" s="378">
        <v>9.42</v>
      </c>
      <c r="G303" s="378">
        <v>-0.04</v>
      </c>
      <c r="H303" s="378">
        <v>-0.13</v>
      </c>
      <c r="I303" s="378">
        <v>0</v>
      </c>
      <c r="K303" s="33" t="str">
        <f>+A303</f>
        <v>49</v>
      </c>
      <c r="L303" s="17" t="s">
        <v>374</v>
      </c>
      <c r="M303" s="34">
        <f t="shared" ref="M303:R303" si="319">D303+D304</f>
        <v>-0.16</v>
      </c>
      <c r="N303" s="34">
        <f t="shared" si="319"/>
        <v>0</v>
      </c>
      <c r="O303" s="34">
        <f t="shared" si="319"/>
        <v>12.25</v>
      </c>
      <c r="P303" s="34">
        <f t="shared" si="319"/>
        <v>-0.05</v>
      </c>
      <c r="Q303" s="34">
        <f t="shared" si="319"/>
        <v>-0.22</v>
      </c>
      <c r="R303" s="35">
        <f t="shared" si="319"/>
        <v>0</v>
      </c>
      <c r="S303" s="17"/>
      <c r="T303" s="29" t="str">
        <f>K303</f>
        <v>49</v>
      </c>
      <c r="U303" s="29" t="s">
        <v>374</v>
      </c>
      <c r="V303" s="23">
        <f t="shared" ref="V303:X307" si="320">O303</f>
        <v>12.25</v>
      </c>
      <c r="W303" s="23">
        <f t="shared" si="320"/>
        <v>-0.05</v>
      </c>
      <c r="X303" s="23">
        <f t="shared" si="320"/>
        <v>-0.22</v>
      </c>
      <c r="Y303" s="29">
        <v>15</v>
      </c>
      <c r="Z303" s="31">
        <f>ABS(V303)/AC303/AD303</f>
        <v>3.3933518005540169</v>
      </c>
      <c r="AA303" s="23">
        <f>ABS(+W303/V303)</f>
        <v>4.0816326530612249E-3</v>
      </c>
      <c r="AB303" s="23">
        <f>ABS(X303/V303)</f>
        <v>1.7959183673469388E-2</v>
      </c>
      <c r="AC303" s="36">
        <v>1.9</v>
      </c>
      <c r="AD303" s="37">
        <v>1.9</v>
      </c>
      <c r="AE303" s="22">
        <f t="shared" ref="AE303:AF307" si="321">AC303-2*AA303</f>
        <v>1.8918367346938774</v>
      </c>
      <c r="AF303" s="22">
        <f t="shared" si="321"/>
        <v>1.8640816326530611</v>
      </c>
      <c r="AG303" s="22">
        <f>AF303*AE303</f>
        <v>3.5265381091211991</v>
      </c>
      <c r="AH303" s="38">
        <f>V303/AG303</f>
        <v>3.4736615969967946</v>
      </c>
      <c r="AJ303" s="379" t="str">
        <f>+A303</f>
        <v>49</v>
      </c>
      <c r="AK303" s="147" t="s">
        <v>0</v>
      </c>
      <c r="AL303" s="147" t="s">
        <v>1</v>
      </c>
      <c r="AM303" s="147" t="s">
        <v>438</v>
      </c>
      <c r="AN303" s="147" t="s">
        <v>503</v>
      </c>
      <c r="AO303" s="147" t="s">
        <v>504</v>
      </c>
      <c r="AP303" s="147" t="s">
        <v>323</v>
      </c>
      <c r="AQ303" s="48"/>
      <c r="AR303" s="48"/>
      <c r="AS303" s="48"/>
      <c r="AT303" s="147" t="s">
        <v>0</v>
      </c>
      <c r="AU303" s="147" t="s">
        <v>1</v>
      </c>
      <c r="AV303" s="147" t="s">
        <v>513</v>
      </c>
      <c r="AW303" s="159" t="s">
        <v>520</v>
      </c>
      <c r="AX303" s="141" t="s">
        <v>530</v>
      </c>
      <c r="AY303" s="157" t="s">
        <v>178</v>
      </c>
      <c r="AZ303" s="44">
        <v>12</v>
      </c>
      <c r="BA303" s="172" t="str">
        <f>IF(AW306&lt;=AZ303,"OK","REDIS")</f>
        <v>OK</v>
      </c>
      <c r="BB303" s="384" t="s">
        <v>535</v>
      </c>
      <c r="BC303" s="120" t="s">
        <v>178</v>
      </c>
      <c r="BD303" s="44">
        <v>4.3</v>
      </c>
      <c r="BE303" s="172" t="str">
        <f>IF(AW306&lt;=BD303,"OK","REDIS")</f>
        <v>OK</v>
      </c>
    </row>
    <row r="304" spans="1:57" ht="15" x14ac:dyDescent="0.25">
      <c r="A304" s="371" t="s">
        <v>640</v>
      </c>
      <c r="B304" s="371" t="s">
        <v>353</v>
      </c>
      <c r="C304" s="371" t="s">
        <v>352</v>
      </c>
      <c r="D304" s="378">
        <v>-0.06</v>
      </c>
      <c r="E304" s="378">
        <v>0</v>
      </c>
      <c r="F304" s="378">
        <v>2.83</v>
      </c>
      <c r="G304" s="378">
        <v>-0.01</v>
      </c>
      <c r="H304" s="378">
        <v>-0.09</v>
      </c>
      <c r="I304" s="378">
        <v>0</v>
      </c>
      <c r="K304" s="33"/>
      <c r="L304" t="s">
        <v>800</v>
      </c>
      <c r="M304" s="34">
        <f>D303+D304+D305</f>
        <v>-4.2</v>
      </c>
      <c r="N304" s="34">
        <f>E303+E304+E305</f>
        <v>0.22</v>
      </c>
      <c r="O304" s="34">
        <f>F303+F304+F305</f>
        <v>20.22</v>
      </c>
      <c r="P304" s="34">
        <f>G303+G304+G305</f>
        <v>-0.39999999999999997</v>
      </c>
      <c r="Q304" s="34">
        <f>H303+0.25*H304+H305</f>
        <v>-3.8925000000000001</v>
      </c>
      <c r="R304" s="35">
        <f>I303+0.25*I304+I305</f>
        <v>0</v>
      </c>
      <c r="S304" s="17"/>
      <c r="T304" s="29"/>
      <c r="U304" s="29" t="s">
        <v>375</v>
      </c>
      <c r="V304" s="23">
        <f t="shared" si="320"/>
        <v>20.22</v>
      </c>
      <c r="W304" s="23">
        <f t="shared" si="320"/>
        <v>-0.39999999999999997</v>
      </c>
      <c r="X304" s="23">
        <f t="shared" si="320"/>
        <v>-3.8925000000000001</v>
      </c>
      <c r="Y304" s="29">
        <f>1.33*Y303</f>
        <v>19.950000000000003</v>
      </c>
      <c r="Z304" s="31">
        <f>ABS(V304)/AC304/AD304</f>
        <v>5.6011080332409975</v>
      </c>
      <c r="AA304" s="23">
        <f>ABS(+W304/V304)</f>
        <v>1.9782393669634024E-2</v>
      </c>
      <c r="AB304" s="23">
        <f>ABS(X304/V304)</f>
        <v>0.19250741839762614</v>
      </c>
      <c r="AC304" s="36">
        <f t="shared" ref="AC304:AD307" si="322">AC303</f>
        <v>1.9</v>
      </c>
      <c r="AD304" s="37">
        <f t="shared" si="322"/>
        <v>1.9</v>
      </c>
      <c r="AE304" s="22">
        <f t="shared" si="321"/>
        <v>1.860435212660732</v>
      </c>
      <c r="AF304" s="22">
        <f t="shared" si="321"/>
        <v>1.5149851632047477</v>
      </c>
      <c r="AG304" s="22">
        <f>AF304*AE304</f>
        <v>2.8185317442846785</v>
      </c>
      <c r="AH304" s="38">
        <f>V304/AG304</f>
        <v>7.1739479397389854</v>
      </c>
      <c r="AJ304" s="147" t="s">
        <v>539</v>
      </c>
      <c r="AK304" s="148">
        <v>300</v>
      </c>
      <c r="AL304" s="148">
        <v>500</v>
      </c>
      <c r="AM304" s="148">
        <v>28</v>
      </c>
      <c r="AN304" s="380">
        <v>500</v>
      </c>
      <c r="AO304" s="380">
        <v>700</v>
      </c>
      <c r="AP304" s="380">
        <v>24</v>
      </c>
      <c r="AQ304" s="48"/>
      <c r="AR304" s="48"/>
      <c r="AS304" s="48"/>
      <c r="AT304" s="381">
        <v>6</v>
      </c>
      <c r="AU304" s="381">
        <v>4</v>
      </c>
      <c r="AV304" s="380">
        <f>+AT304*2+(AU304-2)*2</f>
        <v>16</v>
      </c>
      <c r="AW304" s="159">
        <v>1.2</v>
      </c>
      <c r="AX304" s="155" t="s">
        <v>538</v>
      </c>
      <c r="AY304" s="180">
        <f>+AV304</f>
        <v>16</v>
      </c>
      <c r="BA304" s="154"/>
      <c r="BB304" s="177" t="s">
        <v>537</v>
      </c>
      <c r="BC304" s="179">
        <v>1.25</v>
      </c>
      <c r="BD304" s="166" t="s">
        <v>526</v>
      </c>
      <c r="BE304" s="154"/>
    </row>
    <row r="305" spans="1:57" ht="15" x14ac:dyDescent="0.25">
      <c r="A305" s="371" t="s">
        <v>640</v>
      </c>
      <c r="B305" s="371" t="s">
        <v>354</v>
      </c>
      <c r="C305" s="371" t="s">
        <v>352</v>
      </c>
      <c r="D305" s="378">
        <v>-4.04</v>
      </c>
      <c r="E305" s="378">
        <v>0.22</v>
      </c>
      <c r="F305" s="378">
        <v>7.97</v>
      </c>
      <c r="G305" s="378">
        <v>-0.35</v>
      </c>
      <c r="H305" s="378">
        <v>-3.74</v>
      </c>
      <c r="I305" s="378">
        <v>0</v>
      </c>
      <c r="K305" s="33"/>
      <c r="L305" t="s">
        <v>801</v>
      </c>
      <c r="M305" s="34">
        <f>D303+D304-D305</f>
        <v>3.88</v>
      </c>
      <c r="N305" s="34">
        <f>E303+E304-E305</f>
        <v>-0.22</v>
      </c>
      <c r="O305" s="34">
        <f>F303+F304-F305</f>
        <v>4.28</v>
      </c>
      <c r="P305" s="34">
        <f>G303+G304-G305</f>
        <v>0.3</v>
      </c>
      <c r="Q305" s="34">
        <f>H303+0.25*H304-H305</f>
        <v>3.5875000000000004</v>
      </c>
      <c r="R305" s="35">
        <f>I303+0.25*I304-I305</f>
        <v>0</v>
      </c>
      <c r="S305" s="17"/>
      <c r="T305" s="29"/>
      <c r="U305" s="29" t="s">
        <v>376</v>
      </c>
      <c r="V305" s="23">
        <f t="shared" si="320"/>
        <v>4.28</v>
      </c>
      <c r="W305" s="23">
        <f t="shared" si="320"/>
        <v>0.3</v>
      </c>
      <c r="X305" s="23">
        <f t="shared" si="320"/>
        <v>3.5875000000000004</v>
      </c>
      <c r="Y305" s="29"/>
      <c r="Z305" s="31">
        <f>ABS(V305)/AC305/AD305</f>
        <v>1.1855955678670362</v>
      </c>
      <c r="AA305" s="23">
        <f>ABS(+W305/V305)</f>
        <v>7.0093457943925228E-2</v>
      </c>
      <c r="AB305" s="23">
        <f>ABS(X305/V305)</f>
        <v>0.83820093457943934</v>
      </c>
      <c r="AC305" s="36">
        <f t="shared" si="322"/>
        <v>1.9</v>
      </c>
      <c r="AD305" s="37">
        <f t="shared" si="322"/>
        <v>1.9</v>
      </c>
      <c r="AE305" s="22">
        <f t="shared" si="321"/>
        <v>1.7598130841121495</v>
      </c>
      <c r="AF305" s="22">
        <f t="shared" si="321"/>
        <v>0.22359813084112123</v>
      </c>
      <c r="AG305" s="22">
        <f>AF305*AE305</f>
        <v>0.39349091623722549</v>
      </c>
      <c r="AH305" s="38">
        <f>V305/AG305</f>
        <v>10.876998231439984</v>
      </c>
      <c r="AJ305" s="146" t="s">
        <v>514</v>
      </c>
      <c r="AK305" s="145"/>
      <c r="AL305" s="145"/>
      <c r="AM305" s="145"/>
      <c r="AN305" s="139"/>
      <c r="AO305" s="146" t="s">
        <v>507</v>
      </c>
      <c r="AP305" s="145" t="s">
        <v>626</v>
      </c>
      <c r="AQ305" s="145">
        <f>0.6*AR302</f>
        <v>2100</v>
      </c>
      <c r="AR305" s="212" t="s">
        <v>627</v>
      </c>
      <c r="AS305" s="211">
        <f>+AR306+AR307</f>
        <v>3643.2291666666665</v>
      </c>
      <c r="AT305" s="48" t="s">
        <v>515</v>
      </c>
      <c r="AU305" s="48"/>
      <c r="AV305" s="48" t="s">
        <v>518</v>
      </c>
      <c r="AW305" s="160"/>
      <c r="AX305" s="155" t="s">
        <v>524</v>
      </c>
      <c r="AY305" s="182">
        <f>IF(BC304=(1+1/4),+(1+3/8),IF(BC304=1,(1+1/8),IF(BC304=(7/8),1,IF(BC304=(3/4),+(7/8),IF(BC304=(5/8),+(3/4),IF(BC304=(1/2),(9/16),IF(BC304=(3/8),+(7/16),"no valido")))))))</f>
        <v>1.375</v>
      </c>
      <c r="AZ305" s="165" t="s">
        <v>526</v>
      </c>
      <c r="BA305" s="172" t="s">
        <v>531</v>
      </c>
      <c r="BB305" s="178" t="s">
        <v>529</v>
      </c>
      <c r="BC305" s="158">
        <f>+AY306+3</f>
        <v>13.75</v>
      </c>
      <c r="BD305" s="166" t="s">
        <v>526</v>
      </c>
      <c r="BE305" s="172" t="s">
        <v>531</v>
      </c>
    </row>
    <row r="306" spans="1:57" ht="15.75" thickBot="1" x14ac:dyDescent="0.3">
      <c r="A306" s="371" t="s">
        <v>640</v>
      </c>
      <c r="B306" s="371" t="s">
        <v>355</v>
      </c>
      <c r="C306" s="371" t="s">
        <v>352</v>
      </c>
      <c r="D306" s="378">
        <v>0.04</v>
      </c>
      <c r="E306" s="378">
        <v>-4.49</v>
      </c>
      <c r="F306" s="378">
        <v>-1.4</v>
      </c>
      <c r="G306" s="378">
        <v>6.55</v>
      </c>
      <c r="H306" s="378">
        <v>0.05</v>
      </c>
      <c r="I306" s="378">
        <v>0</v>
      </c>
      <c r="K306" s="33"/>
      <c r="L306" t="s">
        <v>802</v>
      </c>
      <c r="M306" s="34">
        <f>D303+D304+D306</f>
        <v>-0.12</v>
      </c>
      <c r="N306" s="34">
        <f>E303+E304+E306</f>
        <v>-4.49</v>
      </c>
      <c r="O306" s="34">
        <f>F303+F304+F306</f>
        <v>10.85</v>
      </c>
      <c r="P306" s="34">
        <f>G303+G304+G306</f>
        <v>6.5</v>
      </c>
      <c r="Q306" s="34">
        <f>H303+0.25*H304+H306</f>
        <v>-0.10249999999999999</v>
      </c>
      <c r="R306" s="35">
        <f>I303+0.25*I304+I306</f>
        <v>0</v>
      </c>
      <c r="S306" s="17"/>
      <c r="T306" s="29"/>
      <c r="U306" s="29" t="s">
        <v>377</v>
      </c>
      <c r="V306" s="23">
        <f t="shared" si="320"/>
        <v>10.85</v>
      </c>
      <c r="W306" s="23">
        <f t="shared" si="320"/>
        <v>6.5</v>
      </c>
      <c r="X306" s="23">
        <f t="shared" si="320"/>
        <v>-0.10249999999999999</v>
      </c>
      <c r="Y306" s="29"/>
      <c r="Z306" s="31">
        <f>ABS(V306)/AC306/AD306</f>
        <v>3.0055401662049861</v>
      </c>
      <c r="AA306" s="23">
        <f>ABS(+W306/V306)</f>
        <v>0.59907834101382496</v>
      </c>
      <c r="AB306" s="23">
        <f>ABS(X306/V306)</f>
        <v>9.4470046082949302E-3</v>
      </c>
      <c r="AC306" s="36">
        <f t="shared" si="322"/>
        <v>1.9</v>
      </c>
      <c r="AD306" s="37">
        <f t="shared" si="322"/>
        <v>1.9</v>
      </c>
      <c r="AE306" s="22">
        <f t="shared" si="321"/>
        <v>0.70184331797235</v>
      </c>
      <c r="AF306" s="22">
        <f t="shared" si="321"/>
        <v>1.88110599078341</v>
      </c>
      <c r="AG306" s="22">
        <f>AF306*AE306</f>
        <v>1.3202416700290933</v>
      </c>
      <c r="AH306" s="38">
        <f>V306/AG306</f>
        <v>8.2181923554654244</v>
      </c>
      <c r="AJ306" s="147" t="s">
        <v>500</v>
      </c>
      <c r="AK306" s="24">
        <f>(MAX(V303:V307)+ABS(MAX(W303:W307))/(AL304/1000))*1000</f>
        <v>33220</v>
      </c>
      <c r="AL306" s="150" t="s">
        <v>502</v>
      </c>
      <c r="AM306" s="24">
        <f>+ABS(MAX(AK306:AK307))/(+AK304*2/10+AL304*2/10)/(AP304/10)</f>
        <v>86.510416666666671</v>
      </c>
      <c r="AN306" s="151" t="str">
        <f>IF(AM306&lt;=AM307,"OK","REDIS")</f>
        <v>OK</v>
      </c>
      <c r="AO306" s="150" t="s">
        <v>508</v>
      </c>
      <c r="AP306" s="24">
        <f>((AO304/10/2-AL304/10/2)/2)*((MAX(ABS(MAX(W303:W307)),ABS(MIN(W303:W307)))*100000))/(AL304/10)</f>
        <v>66000</v>
      </c>
      <c r="AQ306" s="150" t="s">
        <v>510</v>
      </c>
      <c r="AR306" s="24">
        <f>+AP306/(AK304*AP304*AP304/6/10/10/10)</f>
        <v>2291.6666666666665</v>
      </c>
      <c r="AS306" s="152" t="str">
        <f>IF(AR306&lt;=0.6*AR302*1.1,"OK","REDIS")</f>
        <v>OK</v>
      </c>
      <c r="AT306" s="24" t="s">
        <v>516</v>
      </c>
      <c r="AU306" s="174">
        <f>+AW304*(AP306/100000)/((AO304-AL304)/1000/4)/(AT304-1)</f>
        <v>3.1680000000000001</v>
      </c>
      <c r="AV306" s="24" t="s">
        <v>519</v>
      </c>
      <c r="AW306" s="175">
        <f>+AW304*(ABS(MAX(M303:M307))+ABS(MIN(M303:M307)+ABS(MAX(N303:N307))+ABS(MIN(N303:N307))))/AV304</f>
        <v>0.64949999999999997</v>
      </c>
      <c r="AX306" s="155" t="s">
        <v>525</v>
      </c>
      <c r="AY306" s="383">
        <f>IF(BC304=(1+1/4),+(11-1/4),IF(BC304=1,(9),IF(BC304=(7/8),(7-7/8),IF(BC304=(3/4),+(6-3/4),IF(BC304=(5/8),+(5-5/8),IF(BC304=(1/2),(4-1/2),IF(BC304=(3-3/8),+(7/16),"no valido")))))))</f>
        <v>10.75</v>
      </c>
      <c r="AZ306" s="166" t="s">
        <v>526</v>
      </c>
      <c r="BA306" s="168" t="s">
        <v>533</v>
      </c>
      <c r="BB306" s="153" t="s">
        <v>521</v>
      </c>
      <c r="BC306" s="44">
        <f>+AV304</f>
        <v>16</v>
      </c>
      <c r="BD306" s="166" t="s">
        <v>527</v>
      </c>
      <c r="BE306" s="162" t="s">
        <v>534</v>
      </c>
    </row>
    <row r="307" spans="1:57" ht="15.75" thickBot="1" x14ac:dyDescent="0.3">
      <c r="A307" s="371" t="s">
        <v>640</v>
      </c>
      <c r="B307" s="371" t="s">
        <v>806</v>
      </c>
      <c r="C307" s="371" t="s">
        <v>389</v>
      </c>
      <c r="D307" s="369"/>
      <c r="E307" s="369"/>
      <c r="F307" s="369"/>
      <c r="G307" s="369"/>
      <c r="H307" s="369"/>
      <c r="I307" s="369"/>
      <c r="K307" s="39"/>
      <c r="L307" s="368" t="s">
        <v>803</v>
      </c>
      <c r="M307" s="41">
        <f>D303+D304-D306</f>
        <v>-0.2</v>
      </c>
      <c r="N307" s="41">
        <f>E303+E304-E306</f>
        <v>4.49</v>
      </c>
      <c r="O307" s="41">
        <f>F303+F304-F306</f>
        <v>13.65</v>
      </c>
      <c r="P307" s="41">
        <f>G303+G304-G306</f>
        <v>-6.6</v>
      </c>
      <c r="Q307" s="41">
        <f>H303+0.25*H304-H306</f>
        <v>-0.20250000000000001</v>
      </c>
      <c r="R307" s="42">
        <f>I303+0.25*I304-I306</f>
        <v>0</v>
      </c>
      <c r="S307" s="17"/>
      <c r="T307" s="29"/>
      <c r="U307" s="29" t="s">
        <v>378</v>
      </c>
      <c r="V307" s="23">
        <f t="shared" si="320"/>
        <v>13.65</v>
      </c>
      <c r="W307" s="23">
        <f t="shared" si="320"/>
        <v>-6.6</v>
      </c>
      <c r="X307" s="23">
        <f t="shared" si="320"/>
        <v>-0.20250000000000001</v>
      </c>
      <c r="Y307" s="29"/>
      <c r="Z307" s="31">
        <f>ABS(V307)/AC307/AD307</f>
        <v>3.7811634349030476</v>
      </c>
      <c r="AA307" s="23">
        <f>ABS(+W307/V307)</f>
        <v>0.48351648351648346</v>
      </c>
      <c r="AB307" s="23">
        <f>ABS(X307/V307)</f>
        <v>1.4835164835164836E-2</v>
      </c>
      <c r="AC307" s="36">
        <f t="shared" si="322"/>
        <v>1.9</v>
      </c>
      <c r="AD307" s="37">
        <f t="shared" si="322"/>
        <v>1.9</v>
      </c>
      <c r="AE307" s="22">
        <f t="shared" si="321"/>
        <v>0.93296703296703298</v>
      </c>
      <c r="AF307" s="22">
        <f t="shared" si="321"/>
        <v>1.8703296703296703</v>
      </c>
      <c r="AG307" s="22">
        <f>AF307*AE307</f>
        <v>1.7449559231976814</v>
      </c>
      <c r="AH307" s="38">
        <f>V307/AG307</f>
        <v>7.8225471592348228</v>
      </c>
      <c r="AJ307" s="147" t="s">
        <v>501</v>
      </c>
      <c r="AK307" s="24">
        <f>(MAX(V303:V307)+ABS(MAX(X303:X307))/(AK304/1000))*1000</f>
        <v>32178.333333333336</v>
      </c>
      <c r="AL307" s="150" t="s">
        <v>505</v>
      </c>
      <c r="AM307" s="24">
        <f>+AR302*0.4/3</f>
        <v>466.66666666666669</v>
      </c>
      <c r="AN307" s="24"/>
      <c r="AO307" s="150" t="s">
        <v>509</v>
      </c>
      <c r="AP307" s="24">
        <f>((AN304/10/2-AK304/10/2)/2)*(MAX(+ABS(MAX(X303:X307)),ABS(MIN(X303:X307)))*100000/(AK304/10))</f>
        <v>64875</v>
      </c>
      <c r="AQ307" s="150" t="s">
        <v>511</v>
      </c>
      <c r="AR307" s="24">
        <f>+AP307/(AL304*AP304*AP304/6/1000)</f>
        <v>1351.5625</v>
      </c>
      <c r="AS307" s="152" t="str">
        <f>IF(AR307&lt;=0.6*AR302*1.1,"OK","REDIS")</f>
        <v>OK</v>
      </c>
      <c r="AT307" s="24" t="s">
        <v>517</v>
      </c>
      <c r="AU307" s="174">
        <f>+AW304*(AP307/100000)/((AN304-AK304)/1000/4)/(AU304-1)</f>
        <v>5.19</v>
      </c>
      <c r="AV307" s="24"/>
      <c r="AW307" s="161"/>
      <c r="AX307" s="156" t="s">
        <v>522</v>
      </c>
      <c r="AY307" s="181">
        <f>IF(AY305=(1+3/8),+AV304/3,IF(AY305=(1+1/8),+AV304/6,IF(AY305=1,+AV304/8,IF(AY305=(7/8),+AV304/11,IF(AY305=0.75,+AV304/18,IF(AY305=(9/16),+AV304/45,IF(AY305=(7/16),+AV304/84,"NO HAY DATO")))))))</f>
        <v>5.333333333333333</v>
      </c>
      <c r="AZ307" s="167" t="s">
        <v>527</v>
      </c>
      <c r="BA307" s="386">
        <f>ROUNDUP(+AY306*2.54,0)</f>
        <v>28</v>
      </c>
      <c r="BB307" s="164" t="s">
        <v>523</v>
      </c>
      <c r="BC307" s="129">
        <f>+BC306*BC305*2.54/100</f>
        <v>5.5879999999999992</v>
      </c>
      <c r="BD307" s="173" t="s">
        <v>528</v>
      </c>
      <c r="BE307" s="385">
        <f>ROUNDUP(+BC305*2.54,0)</f>
        <v>35</v>
      </c>
    </row>
    <row r="308" spans="1:57" ht="15" x14ac:dyDescent="0.25">
      <c r="A308" s="371" t="s">
        <v>640</v>
      </c>
      <c r="B308" s="371" t="s">
        <v>807</v>
      </c>
      <c r="C308" s="371" t="s">
        <v>389</v>
      </c>
      <c r="D308" s="369"/>
      <c r="E308" s="369"/>
      <c r="F308" s="369"/>
      <c r="G308" s="369"/>
      <c r="H308" s="369"/>
      <c r="I308" s="369"/>
      <c r="K308" s="25" t="s">
        <v>357</v>
      </c>
      <c r="L308" s="26" t="s">
        <v>358</v>
      </c>
      <c r="M308" s="27" t="s">
        <v>359</v>
      </c>
      <c r="N308" s="27" t="s">
        <v>360</v>
      </c>
      <c r="O308" s="27" t="s">
        <v>361</v>
      </c>
      <c r="P308" s="27" t="s">
        <v>362</v>
      </c>
      <c r="Q308" s="27" t="s">
        <v>363</v>
      </c>
      <c r="R308" s="28" t="s">
        <v>364</v>
      </c>
      <c r="S308" s="17"/>
      <c r="T308" s="29" t="s">
        <v>365</v>
      </c>
      <c r="U308" s="29" t="s">
        <v>358</v>
      </c>
      <c r="V308" s="30" t="s">
        <v>361</v>
      </c>
      <c r="W308" s="30" t="s">
        <v>362</v>
      </c>
      <c r="X308" s="30" t="s">
        <v>363</v>
      </c>
      <c r="Y308" s="29" t="s">
        <v>366</v>
      </c>
      <c r="Z308" s="31" t="s">
        <v>367</v>
      </c>
      <c r="AA308" s="23" t="s">
        <v>368</v>
      </c>
      <c r="AB308" s="23" t="s">
        <v>369</v>
      </c>
      <c r="AC308" s="22" t="s">
        <v>0</v>
      </c>
      <c r="AD308" s="22" t="s">
        <v>1</v>
      </c>
      <c r="AE308" s="22" t="s">
        <v>370</v>
      </c>
      <c r="AF308" s="22" t="s">
        <v>371</v>
      </c>
      <c r="AG308" s="22" t="s">
        <v>372</v>
      </c>
      <c r="AH308" s="32" t="s">
        <v>373</v>
      </c>
      <c r="AJ308" s="143" t="s">
        <v>365</v>
      </c>
      <c r="AK308" s="144" t="s">
        <v>498</v>
      </c>
      <c r="AL308" s="145"/>
      <c r="AM308" s="139"/>
      <c r="AN308" s="146" t="s">
        <v>499</v>
      </c>
      <c r="AO308" s="145"/>
      <c r="AP308" s="139"/>
      <c r="AQ308" s="147" t="s">
        <v>506</v>
      </c>
      <c r="AR308" s="48">
        <v>3500</v>
      </c>
      <c r="AS308" s="147" t="s">
        <v>405</v>
      </c>
      <c r="AT308" s="146" t="s">
        <v>512</v>
      </c>
      <c r="AU308" s="145"/>
      <c r="AV308" s="145"/>
      <c r="AW308" s="145"/>
      <c r="AX308" s="382" t="s">
        <v>532</v>
      </c>
      <c r="AY308" s="157" t="s">
        <v>515</v>
      </c>
      <c r="AZ308" s="169">
        <v>6.9</v>
      </c>
      <c r="BA308" s="171" t="str">
        <f>IF(MAX(AU312:AU313)&lt;=AZ308,"OK","REDIS")</f>
        <v>OK</v>
      </c>
      <c r="BB308" s="382" t="s">
        <v>536</v>
      </c>
      <c r="BC308" s="170" t="s">
        <v>515</v>
      </c>
      <c r="BD308" s="169">
        <v>8.36</v>
      </c>
      <c r="BE308" s="171" t="str">
        <f>IF(MAX(AU312:AU313)&lt;=BD308,"OK","REDIS")</f>
        <v>OK</v>
      </c>
    </row>
    <row r="309" spans="1:57" ht="15" x14ac:dyDescent="0.25">
      <c r="A309" s="371" t="s">
        <v>755</v>
      </c>
      <c r="B309" s="371" t="s">
        <v>351</v>
      </c>
      <c r="C309" s="371" t="s">
        <v>352</v>
      </c>
      <c r="D309" s="378">
        <v>-0.15</v>
      </c>
      <c r="E309" s="378">
        <v>-0.09</v>
      </c>
      <c r="F309" s="378">
        <v>5.14</v>
      </c>
      <c r="G309" s="378">
        <v>0.05</v>
      </c>
      <c r="H309" s="378">
        <v>-0.19</v>
      </c>
      <c r="I309" s="378">
        <v>0</v>
      </c>
      <c r="K309" s="33" t="str">
        <f>+A309</f>
        <v>52</v>
      </c>
      <c r="L309" s="17" t="s">
        <v>374</v>
      </c>
      <c r="M309" s="34">
        <f t="shared" ref="M309:R309" si="323">D309+D310</f>
        <v>-0.24</v>
      </c>
      <c r="N309" s="34">
        <f t="shared" si="323"/>
        <v>-0.14000000000000001</v>
      </c>
      <c r="O309" s="34">
        <f t="shared" si="323"/>
        <v>6.59</v>
      </c>
      <c r="P309" s="34">
        <f t="shared" si="323"/>
        <v>0.1</v>
      </c>
      <c r="Q309" s="34">
        <f t="shared" si="323"/>
        <v>-0.31</v>
      </c>
      <c r="R309" s="35">
        <f t="shared" si="323"/>
        <v>0</v>
      </c>
      <c r="S309" s="17"/>
      <c r="T309" s="29" t="str">
        <f>K309</f>
        <v>52</v>
      </c>
      <c r="U309" s="29" t="s">
        <v>374</v>
      </c>
      <c r="V309" s="23">
        <f t="shared" ref="V309:X313" si="324">O309</f>
        <v>6.59</v>
      </c>
      <c r="W309" s="23">
        <f t="shared" si="324"/>
        <v>0.1</v>
      </c>
      <c r="X309" s="23">
        <f t="shared" si="324"/>
        <v>-0.31</v>
      </c>
      <c r="Y309" s="29">
        <v>15</v>
      </c>
      <c r="Z309" s="31">
        <f>ABS(V309)/AC309/AD309</f>
        <v>2.0339506172839505</v>
      </c>
      <c r="AA309" s="23">
        <f>ABS(+W309/V309)</f>
        <v>1.5174506828528073E-2</v>
      </c>
      <c r="AB309" s="23">
        <f>ABS(X309/V309)</f>
        <v>4.7040971168437029E-2</v>
      </c>
      <c r="AC309" s="36">
        <v>1.8</v>
      </c>
      <c r="AD309" s="37">
        <v>1.8</v>
      </c>
      <c r="AE309" s="22">
        <f t="shared" ref="AE309:AF313" si="325">AC309-2*AA309</f>
        <v>1.7696509863429439</v>
      </c>
      <c r="AF309" s="22">
        <f t="shared" si="325"/>
        <v>1.7059180576631259</v>
      </c>
      <c r="AG309" s="22">
        <f>AF309*AE309</f>
        <v>3.0188795733637899</v>
      </c>
      <c r="AH309" s="38">
        <f>V309/AG309</f>
        <v>2.1829290767823126</v>
      </c>
      <c r="AJ309" s="379" t="str">
        <f>+A309</f>
        <v>52</v>
      </c>
      <c r="AK309" s="147" t="s">
        <v>0</v>
      </c>
      <c r="AL309" s="147" t="s">
        <v>1</v>
      </c>
      <c r="AM309" s="147" t="s">
        <v>438</v>
      </c>
      <c r="AN309" s="147" t="s">
        <v>503</v>
      </c>
      <c r="AO309" s="147" t="s">
        <v>504</v>
      </c>
      <c r="AP309" s="147" t="s">
        <v>323</v>
      </c>
      <c r="AQ309" s="48"/>
      <c r="AR309" s="48"/>
      <c r="AS309" s="48"/>
      <c r="AT309" s="147" t="s">
        <v>0</v>
      </c>
      <c r="AU309" s="147" t="s">
        <v>1</v>
      </c>
      <c r="AV309" s="147" t="s">
        <v>513</v>
      </c>
      <c r="AW309" s="159" t="s">
        <v>520</v>
      </c>
      <c r="AX309" s="141" t="s">
        <v>530</v>
      </c>
      <c r="AY309" s="157" t="s">
        <v>178</v>
      </c>
      <c r="AZ309" s="44">
        <v>12</v>
      </c>
      <c r="BA309" s="172" t="str">
        <f>IF(AW312&lt;=AZ309,"OK","REDIS")</f>
        <v>OK</v>
      </c>
      <c r="BB309" s="384" t="s">
        <v>535</v>
      </c>
      <c r="BC309" s="120" t="s">
        <v>178</v>
      </c>
      <c r="BD309" s="44">
        <v>4.3</v>
      </c>
      <c r="BE309" s="172" t="str">
        <f>IF(AW312&lt;=BD309,"OK","REDIS")</f>
        <v>OK</v>
      </c>
    </row>
    <row r="310" spans="1:57" ht="15" x14ac:dyDescent="0.25">
      <c r="A310" s="371" t="s">
        <v>755</v>
      </c>
      <c r="B310" s="371" t="s">
        <v>353</v>
      </c>
      <c r="C310" s="371" t="s">
        <v>352</v>
      </c>
      <c r="D310" s="378">
        <v>-0.09</v>
      </c>
      <c r="E310" s="378">
        <v>-0.05</v>
      </c>
      <c r="F310" s="378">
        <v>1.45</v>
      </c>
      <c r="G310" s="378">
        <v>0.05</v>
      </c>
      <c r="H310" s="378">
        <v>-0.12</v>
      </c>
      <c r="I310" s="378">
        <v>0</v>
      </c>
      <c r="K310" s="33"/>
      <c r="L310" t="s">
        <v>800</v>
      </c>
      <c r="M310" s="34">
        <f>D309+D310+D311</f>
        <v>-4.0199999999999996</v>
      </c>
      <c r="N310" s="34">
        <f>E309+E310+E311</f>
        <v>0.06</v>
      </c>
      <c r="O310" s="34">
        <f>F309+F310+F311</f>
        <v>13.55</v>
      </c>
      <c r="P310" s="34">
        <f>G309+G310+G311</f>
        <v>-0.24000000000000002</v>
      </c>
      <c r="Q310" s="34">
        <f>H309+0.25*H310+H311</f>
        <v>-3.85</v>
      </c>
      <c r="R310" s="35">
        <f>I309+0.25*I310+I311</f>
        <v>0</v>
      </c>
      <c r="S310" s="17"/>
      <c r="T310" s="29"/>
      <c r="U310" s="29" t="s">
        <v>375</v>
      </c>
      <c r="V310" s="23">
        <f t="shared" si="324"/>
        <v>13.55</v>
      </c>
      <c r="W310" s="23">
        <f t="shared" si="324"/>
        <v>-0.24000000000000002</v>
      </c>
      <c r="X310" s="23">
        <f t="shared" si="324"/>
        <v>-3.85</v>
      </c>
      <c r="Y310" s="29">
        <f>1.33*Y309</f>
        <v>19.950000000000003</v>
      </c>
      <c r="Z310" s="31">
        <f>ABS(V310)/AC310/AD310</f>
        <v>4.1820987654320989</v>
      </c>
      <c r="AA310" s="23">
        <f>ABS(+W310/V310)</f>
        <v>1.7712177121771217E-2</v>
      </c>
      <c r="AB310" s="23">
        <f>ABS(X310/V310)</f>
        <v>0.28413284132841327</v>
      </c>
      <c r="AC310" s="36">
        <f t="shared" ref="AC310:AD313" si="326">AC309</f>
        <v>1.8</v>
      </c>
      <c r="AD310" s="37">
        <f t="shared" si="326"/>
        <v>1.8</v>
      </c>
      <c r="AE310" s="22">
        <f t="shared" si="325"/>
        <v>1.7645756457564576</v>
      </c>
      <c r="AF310" s="22">
        <f t="shared" si="325"/>
        <v>1.2317343173431734</v>
      </c>
      <c r="AG310" s="22">
        <f>AF310*AE310</f>
        <v>2.1734883784262196</v>
      </c>
      <c r="AH310" s="38">
        <f>V310/AG310</f>
        <v>6.2342178290418513</v>
      </c>
      <c r="AJ310" s="147" t="s">
        <v>539</v>
      </c>
      <c r="AK310" s="148">
        <v>300</v>
      </c>
      <c r="AL310" s="148">
        <v>500</v>
      </c>
      <c r="AM310" s="148">
        <v>28</v>
      </c>
      <c r="AN310" s="380">
        <v>500</v>
      </c>
      <c r="AO310" s="380">
        <v>700</v>
      </c>
      <c r="AP310" s="380">
        <v>24</v>
      </c>
      <c r="AQ310" s="48"/>
      <c r="AR310" s="48"/>
      <c r="AS310" s="48"/>
      <c r="AT310" s="381">
        <v>8</v>
      </c>
      <c r="AU310" s="381">
        <v>4</v>
      </c>
      <c r="AV310" s="380">
        <f>+AT310*2+(AU310-2)*2</f>
        <v>20</v>
      </c>
      <c r="AW310" s="159">
        <v>1.2</v>
      </c>
      <c r="AX310" s="155" t="s">
        <v>538</v>
      </c>
      <c r="AY310" s="180">
        <f>+AV310</f>
        <v>20</v>
      </c>
      <c r="BA310" s="154"/>
      <c r="BB310" s="177" t="s">
        <v>537</v>
      </c>
      <c r="BC310" s="179">
        <v>1.25</v>
      </c>
      <c r="BD310" s="166" t="s">
        <v>526</v>
      </c>
      <c r="BE310" s="154"/>
    </row>
    <row r="311" spans="1:57" ht="15" x14ac:dyDescent="0.25">
      <c r="A311" s="371" t="s">
        <v>755</v>
      </c>
      <c r="B311" s="371" t="s">
        <v>354</v>
      </c>
      <c r="C311" s="371" t="s">
        <v>352</v>
      </c>
      <c r="D311" s="378">
        <v>-3.78</v>
      </c>
      <c r="E311" s="378">
        <v>0.2</v>
      </c>
      <c r="F311" s="378">
        <v>6.96</v>
      </c>
      <c r="G311" s="378">
        <v>-0.34</v>
      </c>
      <c r="H311" s="378">
        <v>-3.63</v>
      </c>
      <c r="I311" s="378">
        <v>0</v>
      </c>
      <c r="K311" s="33"/>
      <c r="L311" t="s">
        <v>801</v>
      </c>
      <c r="M311" s="34">
        <f>D309+D310-D311</f>
        <v>3.54</v>
      </c>
      <c r="N311" s="34">
        <f>E309+E310-E311</f>
        <v>-0.34</v>
      </c>
      <c r="O311" s="34">
        <f>F309+F310-F311</f>
        <v>-0.37000000000000011</v>
      </c>
      <c r="P311" s="34">
        <f>G309+G310-G311</f>
        <v>0.44000000000000006</v>
      </c>
      <c r="Q311" s="34">
        <f>H309+0.25*H310-H311</f>
        <v>3.4099999999999997</v>
      </c>
      <c r="R311" s="35">
        <f>I309+0.25*I310-I311</f>
        <v>0</v>
      </c>
      <c r="S311" s="17"/>
      <c r="T311" s="29"/>
      <c r="U311" s="29" t="s">
        <v>376</v>
      </c>
      <c r="V311" s="23">
        <f t="shared" si="324"/>
        <v>-0.37000000000000011</v>
      </c>
      <c r="W311" s="23">
        <f t="shared" si="324"/>
        <v>0.44000000000000006</v>
      </c>
      <c r="X311" s="23">
        <f t="shared" si="324"/>
        <v>3.4099999999999997</v>
      </c>
      <c r="Y311" s="29"/>
      <c r="Z311" s="31">
        <f>ABS(V311)/AC311/AD311</f>
        <v>0.11419753086419755</v>
      </c>
      <c r="AA311" s="23">
        <f>ABS(+W311/V311)</f>
        <v>1.189189189189189</v>
      </c>
      <c r="AB311" s="23">
        <f>ABS(X311/V311)</f>
        <v>9.2162162162162122</v>
      </c>
      <c r="AC311" s="36">
        <f t="shared" si="326"/>
        <v>1.8</v>
      </c>
      <c r="AD311" s="37">
        <f t="shared" si="326"/>
        <v>1.8</v>
      </c>
      <c r="AE311" s="22">
        <f t="shared" si="325"/>
        <v>-0.57837837837837802</v>
      </c>
      <c r="AF311" s="22">
        <f t="shared" si="325"/>
        <v>-16.632432432432424</v>
      </c>
      <c r="AG311" s="22">
        <f>AF311*AE311</f>
        <v>9.6198392987582064</v>
      </c>
      <c r="AH311" s="38">
        <f>V311/AG311</f>
        <v>-3.8462180968840319E-2</v>
      </c>
      <c r="AJ311" s="146" t="s">
        <v>514</v>
      </c>
      <c r="AK311" s="145"/>
      <c r="AL311" s="145"/>
      <c r="AM311" s="145"/>
      <c r="AN311" s="139"/>
      <c r="AO311" s="146" t="s">
        <v>507</v>
      </c>
      <c r="AP311" s="145" t="s">
        <v>626</v>
      </c>
      <c r="AQ311" s="145">
        <f>0.6*AR308</f>
        <v>2100</v>
      </c>
      <c r="AR311" s="212" t="s">
        <v>627</v>
      </c>
      <c r="AS311" s="211">
        <f>+AR312+AR313</f>
        <v>3625</v>
      </c>
      <c r="AT311" s="48" t="s">
        <v>515</v>
      </c>
      <c r="AU311" s="48"/>
      <c r="AV311" s="48" t="s">
        <v>518</v>
      </c>
      <c r="AW311" s="160"/>
      <c r="AX311" s="155" t="s">
        <v>524</v>
      </c>
      <c r="AY311" s="182">
        <f>IF(BC310=(1+1/4),+(1+3/8),IF(BC310=1,(1+1/8),IF(BC310=(7/8),1,IF(BC310=(3/4),+(7/8),IF(BC310=(5/8),+(3/4),IF(BC310=(1/2),(9/16),IF(BC310=(3/8),+(7/16),"no valido")))))))</f>
        <v>1.375</v>
      </c>
      <c r="AZ311" s="165" t="s">
        <v>526</v>
      </c>
      <c r="BA311" s="172" t="s">
        <v>531</v>
      </c>
      <c r="BB311" s="178" t="s">
        <v>529</v>
      </c>
      <c r="BC311" s="158">
        <f>+AY312+3</f>
        <v>13.75</v>
      </c>
      <c r="BD311" s="166" t="s">
        <v>526</v>
      </c>
      <c r="BE311" s="172" t="s">
        <v>531</v>
      </c>
    </row>
    <row r="312" spans="1:57" ht="15.75" thickBot="1" x14ac:dyDescent="0.3">
      <c r="A312" s="371" t="s">
        <v>755</v>
      </c>
      <c r="B312" s="371" t="s">
        <v>355</v>
      </c>
      <c r="C312" s="371" t="s">
        <v>352</v>
      </c>
      <c r="D312" s="378">
        <v>-0.13</v>
      </c>
      <c r="E312" s="378">
        <v>-4.3600000000000003</v>
      </c>
      <c r="F312" s="378">
        <v>2.84</v>
      </c>
      <c r="G312" s="378">
        <v>6.49</v>
      </c>
      <c r="H312" s="378">
        <v>-0.08</v>
      </c>
      <c r="I312" s="378">
        <v>0</v>
      </c>
      <c r="K312" s="33"/>
      <c r="L312" t="s">
        <v>802</v>
      </c>
      <c r="M312" s="34">
        <f>D309+D310+D312</f>
        <v>-0.37</v>
      </c>
      <c r="N312" s="34">
        <f>E309+E310+E312</f>
        <v>-4.5</v>
      </c>
      <c r="O312" s="34">
        <f>F309+F310+F312</f>
        <v>9.43</v>
      </c>
      <c r="P312" s="34">
        <f>G309+G310+G312</f>
        <v>6.59</v>
      </c>
      <c r="Q312" s="34">
        <f>H309+0.25*H310+H312</f>
        <v>-0.3</v>
      </c>
      <c r="R312" s="35">
        <f>I309+0.25*I310+I312</f>
        <v>0</v>
      </c>
      <c r="S312" s="17"/>
      <c r="T312" s="29"/>
      <c r="U312" s="29" t="s">
        <v>377</v>
      </c>
      <c r="V312" s="23">
        <f t="shared" si="324"/>
        <v>9.43</v>
      </c>
      <c r="W312" s="23">
        <f t="shared" si="324"/>
        <v>6.59</v>
      </c>
      <c r="X312" s="23">
        <f t="shared" si="324"/>
        <v>-0.3</v>
      </c>
      <c r="Y312" s="29"/>
      <c r="Z312" s="31">
        <f>ABS(V312)/AC312/AD312</f>
        <v>2.9104938271604937</v>
      </c>
      <c r="AA312" s="23">
        <f>ABS(+W312/V312)</f>
        <v>0.69883351007423122</v>
      </c>
      <c r="AB312" s="23">
        <f>ABS(X312/V312)</f>
        <v>3.1813361611876985E-2</v>
      </c>
      <c r="AC312" s="36">
        <f t="shared" si="326"/>
        <v>1.8</v>
      </c>
      <c r="AD312" s="37">
        <f t="shared" si="326"/>
        <v>1.8</v>
      </c>
      <c r="AE312" s="22">
        <f t="shared" si="325"/>
        <v>0.4023329798515376</v>
      </c>
      <c r="AF312" s="22">
        <f t="shared" si="325"/>
        <v>1.7363732767762461</v>
      </c>
      <c r="AG312" s="22">
        <f>AF312*AE312</f>
        <v>0.69860023457996578</v>
      </c>
      <c r="AH312" s="38">
        <f>V312/AG312</f>
        <v>13.498420889694946</v>
      </c>
      <c r="AJ312" s="147" t="s">
        <v>500</v>
      </c>
      <c r="AK312" s="24">
        <f>(MAX(V309:V313)+ABS(MAX(W309:W313))/(AL310/1000))*1000</f>
        <v>26730</v>
      </c>
      <c r="AL312" s="150" t="s">
        <v>502</v>
      </c>
      <c r="AM312" s="24">
        <f>+ABS(MAX(AK312:AK313))/(+AK310*2/10+AL310*2/10)/(AP310/10)</f>
        <v>69.609375</v>
      </c>
      <c r="AN312" s="151" t="str">
        <f>IF(AM312&lt;=AM313,"OK","REDIS")</f>
        <v>OK</v>
      </c>
      <c r="AO312" s="150" t="s">
        <v>508</v>
      </c>
      <c r="AP312" s="24">
        <f>((AO310/10/2-AL310/10/2)/2)*((MAX(ABS(MAX(W309:W313)),ABS(MIN(W309:W313)))*100000))/(AL310/10)</f>
        <v>65900</v>
      </c>
      <c r="AQ312" s="150" t="s">
        <v>510</v>
      </c>
      <c r="AR312" s="24">
        <f>+AP312/(AK310*AP310*AP310/6/10/10/10)</f>
        <v>2288.1944444444443</v>
      </c>
      <c r="AS312" s="152" t="str">
        <f>IF(AR312&lt;=0.6*AR308*1.1,"OK","REDIS")</f>
        <v>OK</v>
      </c>
      <c r="AT312" s="24" t="s">
        <v>516</v>
      </c>
      <c r="AU312" s="174">
        <f>+AW310*(AP312/100000)/((AO310-AL310)/1000/4)/(AT310-1)</f>
        <v>2.2594285714285713</v>
      </c>
      <c r="AV312" s="24" t="s">
        <v>519</v>
      </c>
      <c r="AW312" s="175">
        <f>+AW310*(ABS(MAX(M309:M313))+ABS(MIN(M309:M313)+ABS(MAX(N309:N313))+ABS(MIN(N309:N313))))/AV310</f>
        <v>0.49440000000000006</v>
      </c>
      <c r="AX312" s="155" t="s">
        <v>525</v>
      </c>
      <c r="AY312" s="383">
        <f>IF(BC310=(1+1/4),+(11-1/4),IF(BC310=1,(9),IF(BC310=(7/8),(7-7/8),IF(BC310=(3/4),+(6-3/4),IF(BC310=(5/8),+(5-5/8),IF(BC310=(1/2),(4-1/2),IF(BC310=(3-3/8),+(7/16),"no valido")))))))</f>
        <v>10.75</v>
      </c>
      <c r="AZ312" s="166" t="s">
        <v>526</v>
      </c>
      <c r="BA312" s="168" t="s">
        <v>533</v>
      </c>
      <c r="BB312" s="153" t="s">
        <v>521</v>
      </c>
      <c r="BC312" s="44">
        <f>+AV310</f>
        <v>20</v>
      </c>
      <c r="BD312" s="166" t="s">
        <v>527</v>
      </c>
      <c r="BE312" s="162" t="s">
        <v>534</v>
      </c>
    </row>
    <row r="313" spans="1:57" ht="15.75" thickBot="1" x14ac:dyDescent="0.3">
      <c r="A313" s="371" t="s">
        <v>755</v>
      </c>
      <c r="B313" s="371" t="s">
        <v>806</v>
      </c>
      <c r="C313" s="371" t="s">
        <v>389</v>
      </c>
      <c r="D313" s="369"/>
      <c r="E313" s="369"/>
      <c r="F313" s="369"/>
      <c r="G313" s="369"/>
      <c r="H313" s="369"/>
      <c r="I313" s="369"/>
      <c r="K313" s="39"/>
      <c r="L313" s="368" t="s">
        <v>803</v>
      </c>
      <c r="M313" s="41">
        <f>D309+D310-D312</f>
        <v>-0.10999999999999999</v>
      </c>
      <c r="N313" s="41">
        <f>E309+E310-E312</f>
        <v>4.2200000000000006</v>
      </c>
      <c r="O313" s="41">
        <f>F309+F310-F312</f>
        <v>3.75</v>
      </c>
      <c r="P313" s="41">
        <f>G309+G310-G312</f>
        <v>-6.3900000000000006</v>
      </c>
      <c r="Q313" s="41">
        <f>H309+0.25*H310-H312</f>
        <v>-0.14000000000000001</v>
      </c>
      <c r="R313" s="42">
        <f>I309+0.25*I310-I312</f>
        <v>0</v>
      </c>
      <c r="S313" s="17"/>
      <c r="T313" s="29"/>
      <c r="U313" s="29" t="s">
        <v>378</v>
      </c>
      <c r="V313" s="23">
        <f t="shared" si="324"/>
        <v>3.75</v>
      </c>
      <c r="W313" s="23">
        <f t="shared" si="324"/>
        <v>-6.3900000000000006</v>
      </c>
      <c r="X313" s="23">
        <f t="shared" si="324"/>
        <v>-0.14000000000000001</v>
      </c>
      <c r="Y313" s="29"/>
      <c r="Z313" s="31">
        <f>ABS(V313)/AC313/AD313</f>
        <v>1.1574074074074074</v>
      </c>
      <c r="AA313" s="23">
        <f>ABS(+W313/V313)</f>
        <v>1.7040000000000002</v>
      </c>
      <c r="AB313" s="23">
        <f>ABS(X313/V313)</f>
        <v>3.7333333333333336E-2</v>
      </c>
      <c r="AC313" s="36">
        <f t="shared" si="326"/>
        <v>1.8</v>
      </c>
      <c r="AD313" s="37">
        <f t="shared" si="326"/>
        <v>1.8</v>
      </c>
      <c r="AE313" s="22">
        <f t="shared" si="325"/>
        <v>-1.6080000000000003</v>
      </c>
      <c r="AF313" s="22">
        <f t="shared" si="325"/>
        <v>1.7253333333333334</v>
      </c>
      <c r="AG313" s="22">
        <f>AF313*AE313</f>
        <v>-2.7743360000000008</v>
      </c>
      <c r="AH313" s="38">
        <f>V313/AG313</f>
        <v>-1.3516747791183183</v>
      </c>
      <c r="AJ313" s="147" t="s">
        <v>501</v>
      </c>
      <c r="AK313" s="24">
        <f>(MAX(V309:V313)+ABS(MAX(X309:X313))/(AK310/1000))*1000</f>
        <v>24916.666666666664</v>
      </c>
      <c r="AL313" s="150" t="s">
        <v>505</v>
      </c>
      <c r="AM313" s="24">
        <f>+AR308*0.4/3</f>
        <v>466.66666666666669</v>
      </c>
      <c r="AN313" s="24"/>
      <c r="AO313" s="150" t="s">
        <v>509</v>
      </c>
      <c r="AP313" s="24">
        <f>((AN310/10/2-AK310/10/2)/2)*(MAX(+ABS(MAX(X309:X313)),ABS(MIN(X309:X313)))*100000/(AK310/10))</f>
        <v>64166.666666666672</v>
      </c>
      <c r="AQ313" s="150" t="s">
        <v>511</v>
      </c>
      <c r="AR313" s="24">
        <f>+AP313/(AL310*AP310*AP310/6/1000)</f>
        <v>1336.8055555555557</v>
      </c>
      <c r="AS313" s="152" t="str">
        <f>IF(AR313&lt;=0.6*AR308*1.1,"OK","REDIS")</f>
        <v>OK</v>
      </c>
      <c r="AT313" s="24" t="s">
        <v>517</v>
      </c>
      <c r="AU313" s="174">
        <f>+AW310*(AP313/100000)/((AN310-AK310)/1000/4)/(AU310-1)</f>
        <v>5.1333333333333337</v>
      </c>
      <c r="AV313" s="24"/>
      <c r="AW313" s="161"/>
      <c r="AX313" s="156" t="s">
        <v>522</v>
      </c>
      <c r="AY313" s="181">
        <f>IF(AY311=(1+3/8),+AV310/3,IF(AY311=(1+1/8),+AV310/6,IF(AY311=1,+AV310/8,IF(AY311=(7/8),+AV310/11,IF(AY311=0.75,+AV310/18,IF(AY311=(9/16),+AV310/45,IF(AY311=(7/16),+AV310/84,"NO HAY DATO")))))))</f>
        <v>6.666666666666667</v>
      </c>
      <c r="AZ313" s="167" t="s">
        <v>527</v>
      </c>
      <c r="BA313" s="386">
        <f>ROUNDUP(+AY312*2.54,0)</f>
        <v>28</v>
      </c>
      <c r="BB313" s="164" t="s">
        <v>523</v>
      </c>
      <c r="BC313" s="129">
        <f>+BC312*BC311*2.54/100</f>
        <v>6.9850000000000003</v>
      </c>
      <c r="BD313" s="173" t="s">
        <v>528</v>
      </c>
      <c r="BE313" s="385">
        <f>ROUNDUP(+BC311*2.54,0)</f>
        <v>35</v>
      </c>
    </row>
    <row r="314" spans="1:57" ht="15" x14ac:dyDescent="0.25">
      <c r="A314" s="371" t="s">
        <v>755</v>
      </c>
      <c r="B314" s="371" t="s">
        <v>807</v>
      </c>
      <c r="C314" s="371" t="s">
        <v>389</v>
      </c>
      <c r="D314" s="369"/>
      <c r="E314" s="369"/>
      <c r="F314" s="369"/>
      <c r="G314" s="369"/>
      <c r="H314" s="369"/>
      <c r="I314" s="369"/>
      <c r="K314" s="25" t="s">
        <v>357</v>
      </c>
      <c r="L314" s="26" t="s">
        <v>358</v>
      </c>
      <c r="M314" s="27" t="s">
        <v>359</v>
      </c>
      <c r="N314" s="27" t="s">
        <v>360</v>
      </c>
      <c r="O314" s="27" t="s">
        <v>361</v>
      </c>
      <c r="P314" s="27" t="s">
        <v>362</v>
      </c>
      <c r="Q314" s="27" t="s">
        <v>363</v>
      </c>
      <c r="R314" s="28" t="s">
        <v>364</v>
      </c>
      <c r="S314" s="17"/>
      <c r="T314" s="29" t="s">
        <v>365</v>
      </c>
      <c r="U314" s="29" t="s">
        <v>358</v>
      </c>
      <c r="V314" s="30" t="s">
        <v>361</v>
      </c>
      <c r="W314" s="30" t="s">
        <v>362</v>
      </c>
      <c r="X314" s="30" t="s">
        <v>363</v>
      </c>
      <c r="Y314" s="29" t="s">
        <v>366</v>
      </c>
      <c r="Z314" s="31" t="s">
        <v>367</v>
      </c>
      <c r="AA314" s="23" t="s">
        <v>368</v>
      </c>
      <c r="AB314" s="23" t="s">
        <v>369</v>
      </c>
      <c r="AC314" s="22" t="s">
        <v>0</v>
      </c>
      <c r="AD314" s="22" t="s">
        <v>1</v>
      </c>
      <c r="AE314" s="22" t="s">
        <v>370</v>
      </c>
      <c r="AF314" s="22" t="s">
        <v>371</v>
      </c>
      <c r="AG314" s="22" t="s">
        <v>372</v>
      </c>
      <c r="AH314" s="32" t="s">
        <v>373</v>
      </c>
      <c r="AJ314" s="143" t="s">
        <v>365</v>
      </c>
      <c r="AK314" s="144" t="s">
        <v>498</v>
      </c>
      <c r="AL314" s="145"/>
      <c r="AM314" s="139"/>
      <c r="AN314" s="146" t="s">
        <v>499</v>
      </c>
      <c r="AO314" s="145"/>
      <c r="AP314" s="139"/>
      <c r="AQ314" s="147" t="s">
        <v>506</v>
      </c>
      <c r="AR314" s="48">
        <v>3500</v>
      </c>
      <c r="AS314" s="147" t="s">
        <v>405</v>
      </c>
      <c r="AT314" s="146" t="s">
        <v>512</v>
      </c>
      <c r="AU314" s="145"/>
      <c r="AV314" s="145"/>
      <c r="AW314" s="145"/>
      <c r="AX314" s="382" t="s">
        <v>532</v>
      </c>
      <c r="AY314" s="157" t="s">
        <v>515</v>
      </c>
      <c r="AZ314" s="169">
        <v>6.9</v>
      </c>
      <c r="BA314" s="171" t="str">
        <f>IF(MAX(AU318:AU319)&lt;=AZ314,"OK","REDIS")</f>
        <v>OK</v>
      </c>
      <c r="BB314" s="382" t="s">
        <v>536</v>
      </c>
      <c r="BC314" s="170" t="s">
        <v>515</v>
      </c>
      <c r="BD314" s="169">
        <v>8.36</v>
      </c>
      <c r="BE314" s="171" t="str">
        <f>IF(MAX(AU318:AU319)&lt;=BD314,"OK","REDIS")</f>
        <v>OK</v>
      </c>
    </row>
    <row r="315" spans="1:57" ht="15" x14ac:dyDescent="0.25">
      <c r="A315" s="371" t="s">
        <v>757</v>
      </c>
      <c r="B315" s="371" t="s">
        <v>351</v>
      </c>
      <c r="C315" s="371" t="s">
        <v>352</v>
      </c>
      <c r="D315" s="378">
        <v>-0.2</v>
      </c>
      <c r="E315" s="378">
        <v>0.03</v>
      </c>
      <c r="F315" s="378">
        <v>0.65</v>
      </c>
      <c r="G315" s="378">
        <v>-0.01</v>
      </c>
      <c r="H315" s="378">
        <v>0.17</v>
      </c>
      <c r="I315" s="378">
        <v>-0.02</v>
      </c>
      <c r="K315" s="33" t="str">
        <f>+A315</f>
        <v>179</v>
      </c>
      <c r="L315" s="17" t="s">
        <v>374</v>
      </c>
      <c r="M315" s="34">
        <f t="shared" ref="M315:R315" si="327">D315+D316</f>
        <v>-0.4</v>
      </c>
      <c r="N315" s="34">
        <f t="shared" si="327"/>
        <v>7.0000000000000007E-2</v>
      </c>
      <c r="O315" s="34">
        <f t="shared" si="327"/>
        <v>1.4100000000000001</v>
      </c>
      <c r="P315" s="34">
        <f t="shared" si="327"/>
        <v>-0.02</v>
      </c>
      <c r="Q315" s="34">
        <f t="shared" si="327"/>
        <v>0.38</v>
      </c>
      <c r="R315" s="35">
        <f t="shared" si="327"/>
        <v>-0.04</v>
      </c>
      <c r="S315" s="17"/>
      <c r="T315" s="29" t="str">
        <f>K315</f>
        <v>179</v>
      </c>
      <c r="U315" s="29" t="s">
        <v>374</v>
      </c>
      <c r="V315" s="23">
        <f t="shared" ref="V315:X319" si="328">O315</f>
        <v>1.4100000000000001</v>
      </c>
      <c r="W315" s="23">
        <f t="shared" si="328"/>
        <v>-0.02</v>
      </c>
      <c r="X315" s="23">
        <f t="shared" si="328"/>
        <v>0.38</v>
      </c>
      <c r="Y315" s="29">
        <v>15</v>
      </c>
      <c r="Z315" s="31">
        <f>ABS(V315)/AC315/AD315</f>
        <v>0.78333333333333355</v>
      </c>
      <c r="AA315" s="23">
        <f>ABS(+W315/V315)</f>
        <v>1.4184397163120567E-2</v>
      </c>
      <c r="AB315" s="23">
        <f>ABS(X315/V315)</f>
        <v>0.26950354609929078</v>
      </c>
      <c r="AC315" s="36">
        <v>0.6</v>
      </c>
      <c r="AD315" s="37">
        <v>3</v>
      </c>
      <c r="AE315" s="22">
        <f t="shared" ref="AE315:AF319" si="329">AC315-2*AA315</f>
        <v>0.5716312056737588</v>
      </c>
      <c r="AF315" s="22">
        <f t="shared" si="329"/>
        <v>2.4609929078014185</v>
      </c>
      <c r="AG315" s="22">
        <f>AF315*AE315</f>
        <v>1.4067803430410943</v>
      </c>
      <c r="AH315" s="38">
        <f>V315/AG315</f>
        <v>1.0022886707045862</v>
      </c>
      <c r="AJ315" s="379" t="str">
        <f>+A315</f>
        <v>179</v>
      </c>
      <c r="AK315" s="147" t="s">
        <v>0</v>
      </c>
      <c r="AL315" s="147" t="s">
        <v>1</v>
      </c>
      <c r="AM315" s="147" t="s">
        <v>438</v>
      </c>
      <c r="AN315" s="147" t="s">
        <v>503</v>
      </c>
      <c r="AO315" s="147" t="s">
        <v>504</v>
      </c>
      <c r="AP315" s="147" t="s">
        <v>323</v>
      </c>
      <c r="AQ315" s="48"/>
      <c r="AR315" s="48"/>
      <c r="AS315" s="48"/>
      <c r="AT315" s="147" t="s">
        <v>0</v>
      </c>
      <c r="AU315" s="147" t="s">
        <v>1</v>
      </c>
      <c r="AV315" s="147" t="s">
        <v>513</v>
      </c>
      <c r="AW315" s="159" t="s">
        <v>520</v>
      </c>
      <c r="AX315" s="141" t="s">
        <v>530</v>
      </c>
      <c r="AY315" s="157" t="s">
        <v>178</v>
      </c>
      <c r="AZ315" s="44">
        <v>12</v>
      </c>
      <c r="BA315" s="172" t="str">
        <f>IF(AW318&lt;=AZ315,"OK","REDIS")</f>
        <v>OK</v>
      </c>
      <c r="BB315" s="384" t="s">
        <v>535</v>
      </c>
      <c r="BC315" s="120" t="s">
        <v>178</v>
      </c>
      <c r="BD315" s="44">
        <v>4.3</v>
      </c>
      <c r="BE315" s="172" t="str">
        <f>IF(AW318&lt;=BD315,"OK","REDIS")</f>
        <v>OK</v>
      </c>
    </row>
    <row r="316" spans="1:57" ht="15" x14ac:dyDescent="0.25">
      <c r="A316" s="371" t="s">
        <v>757</v>
      </c>
      <c r="B316" s="371" t="s">
        <v>353</v>
      </c>
      <c r="C316" s="371" t="s">
        <v>352</v>
      </c>
      <c r="D316" s="378">
        <v>-0.2</v>
      </c>
      <c r="E316" s="378">
        <v>0.04</v>
      </c>
      <c r="F316" s="378">
        <v>0.76</v>
      </c>
      <c r="G316" s="378">
        <v>-0.01</v>
      </c>
      <c r="H316" s="378">
        <v>0.21</v>
      </c>
      <c r="I316" s="378">
        <v>-0.02</v>
      </c>
      <c r="K316" s="33"/>
      <c r="L316" t="s">
        <v>800</v>
      </c>
      <c r="M316" s="34">
        <f>D315+D316+D317</f>
        <v>-7.1300000000000008</v>
      </c>
      <c r="N316" s="34">
        <f>E315+E316+E317</f>
        <v>-0.24</v>
      </c>
      <c r="O316" s="34">
        <f>F315+F316+F317</f>
        <v>4.6100000000000003</v>
      </c>
      <c r="P316" s="34">
        <f>G315+G316+G317</f>
        <v>-0.01</v>
      </c>
      <c r="Q316" s="34">
        <f>H315+0.25*H316+H317</f>
        <v>-0.3175</v>
      </c>
      <c r="R316" s="35">
        <f>I315+0.25*I316+I317</f>
        <v>-8.4999999999999992E-2</v>
      </c>
      <c r="S316" s="17"/>
      <c r="T316" s="29"/>
      <c r="U316" s="29" t="s">
        <v>375</v>
      </c>
      <c r="V316" s="23">
        <f t="shared" si="328"/>
        <v>4.6100000000000003</v>
      </c>
      <c r="W316" s="23">
        <f t="shared" si="328"/>
        <v>-0.01</v>
      </c>
      <c r="X316" s="23">
        <f t="shared" si="328"/>
        <v>-0.3175</v>
      </c>
      <c r="Y316" s="29">
        <f>1.33*Y315</f>
        <v>19.950000000000003</v>
      </c>
      <c r="Z316" s="31">
        <f>ABS(V316)/AC316/AD316</f>
        <v>2.5611111111111113</v>
      </c>
      <c r="AA316" s="23">
        <f>ABS(+W316/V316)</f>
        <v>2.1691973969631237E-3</v>
      </c>
      <c r="AB316" s="23">
        <f>ABS(X316/V316)</f>
        <v>6.8872017353579174E-2</v>
      </c>
      <c r="AC316" s="36">
        <f t="shared" ref="AC316:AD319" si="330">AC315</f>
        <v>0.6</v>
      </c>
      <c r="AD316" s="37">
        <f t="shared" si="330"/>
        <v>3</v>
      </c>
      <c r="AE316" s="22">
        <f t="shared" si="329"/>
        <v>0.5956616052060737</v>
      </c>
      <c r="AF316" s="22">
        <f t="shared" si="329"/>
        <v>2.8622559652928414</v>
      </c>
      <c r="AG316" s="22">
        <f>AF316*AE316</f>
        <v>1.7049359827969939</v>
      </c>
      <c r="AH316" s="38">
        <f>V316/AG316</f>
        <v>2.7039138398834015</v>
      </c>
      <c r="AJ316" s="147" t="s">
        <v>539</v>
      </c>
      <c r="AK316" s="148">
        <v>300</v>
      </c>
      <c r="AL316" s="148">
        <v>500</v>
      </c>
      <c r="AM316" s="148">
        <v>28</v>
      </c>
      <c r="AN316" s="380">
        <v>500</v>
      </c>
      <c r="AO316" s="380">
        <v>700</v>
      </c>
      <c r="AP316" s="380">
        <v>24</v>
      </c>
      <c r="AQ316" s="48"/>
      <c r="AR316" s="48"/>
      <c r="AS316" s="48"/>
      <c r="AT316" s="381">
        <v>8</v>
      </c>
      <c r="AU316" s="381">
        <v>4</v>
      </c>
      <c r="AV316" s="380">
        <f>+AT316*2+(AU316-2)*2</f>
        <v>20</v>
      </c>
      <c r="AW316" s="159">
        <v>1.2</v>
      </c>
      <c r="AX316" s="155" t="s">
        <v>538</v>
      </c>
      <c r="AY316" s="180">
        <f>+AV316</f>
        <v>20</v>
      </c>
      <c r="BA316" s="154"/>
      <c r="BB316" s="177" t="s">
        <v>537</v>
      </c>
      <c r="BC316" s="179">
        <v>1.25</v>
      </c>
      <c r="BD316" s="166" t="s">
        <v>526</v>
      </c>
      <c r="BE316" s="154"/>
    </row>
    <row r="317" spans="1:57" ht="15" x14ac:dyDescent="0.25">
      <c r="A317" s="371" t="s">
        <v>757</v>
      </c>
      <c r="B317" s="371" t="s">
        <v>354</v>
      </c>
      <c r="C317" s="371" t="s">
        <v>352</v>
      </c>
      <c r="D317" s="378">
        <v>-6.73</v>
      </c>
      <c r="E317" s="378">
        <v>-0.31</v>
      </c>
      <c r="F317" s="378">
        <v>3.2</v>
      </c>
      <c r="G317" s="378">
        <v>0.01</v>
      </c>
      <c r="H317" s="378">
        <v>-0.54</v>
      </c>
      <c r="I317" s="378">
        <v>-0.06</v>
      </c>
      <c r="K317" s="33"/>
      <c r="L317" t="s">
        <v>801</v>
      </c>
      <c r="M317" s="34">
        <f>D315+D316-D317</f>
        <v>6.33</v>
      </c>
      <c r="N317" s="34">
        <f>E315+E316-E317</f>
        <v>0.38</v>
      </c>
      <c r="O317" s="34">
        <f>F315+F316-F317</f>
        <v>-1.79</v>
      </c>
      <c r="P317" s="34">
        <f>G315+G316-G317</f>
        <v>-0.03</v>
      </c>
      <c r="Q317" s="34">
        <f>H315+0.25*H316-H317</f>
        <v>0.76250000000000007</v>
      </c>
      <c r="R317" s="35">
        <f>I315+0.25*I316-I317</f>
        <v>3.4999999999999996E-2</v>
      </c>
      <c r="S317" s="17"/>
      <c r="T317" s="29"/>
      <c r="U317" s="29" t="s">
        <v>376</v>
      </c>
      <c r="V317" s="23">
        <f t="shared" si="328"/>
        <v>-1.79</v>
      </c>
      <c r="W317" s="23">
        <f t="shared" si="328"/>
        <v>-0.03</v>
      </c>
      <c r="X317" s="23">
        <f t="shared" si="328"/>
        <v>0.76250000000000007</v>
      </c>
      <c r="Y317" s="29"/>
      <c r="Z317" s="31">
        <f>ABS(V317)/AC317/AD317</f>
        <v>0.99444444444444446</v>
      </c>
      <c r="AA317" s="23">
        <f>ABS(+W317/V317)</f>
        <v>1.6759776536312849E-2</v>
      </c>
      <c r="AB317" s="23">
        <f>ABS(X317/V317)</f>
        <v>0.42597765363128492</v>
      </c>
      <c r="AC317" s="36">
        <f t="shared" si="330"/>
        <v>0.6</v>
      </c>
      <c r="AD317" s="37">
        <f t="shared" si="330"/>
        <v>3</v>
      </c>
      <c r="AE317" s="22">
        <f t="shared" si="329"/>
        <v>0.56648044692737431</v>
      </c>
      <c r="AF317" s="22">
        <f t="shared" si="329"/>
        <v>2.1480446927374302</v>
      </c>
      <c r="AG317" s="22">
        <f>AF317*AE317</f>
        <v>1.216825317561874</v>
      </c>
      <c r="AH317" s="38">
        <f>V317/AG317</f>
        <v>-1.4710410559065155</v>
      </c>
      <c r="AJ317" s="146" t="s">
        <v>514</v>
      </c>
      <c r="AK317" s="145"/>
      <c r="AL317" s="145"/>
      <c r="AM317" s="145"/>
      <c r="AN317" s="139"/>
      <c r="AO317" s="146" t="s">
        <v>507</v>
      </c>
      <c r="AP317" s="145" t="s">
        <v>626</v>
      </c>
      <c r="AQ317" s="145">
        <f>0.6*AR314</f>
        <v>2100</v>
      </c>
      <c r="AR317" s="212" t="s">
        <v>627</v>
      </c>
      <c r="AS317" s="211">
        <f>+AR318+AR319</f>
        <v>299.47916666666663</v>
      </c>
      <c r="AT317" s="48" t="s">
        <v>515</v>
      </c>
      <c r="AU317" s="48"/>
      <c r="AV317" s="48" t="s">
        <v>518</v>
      </c>
      <c r="AW317" s="160"/>
      <c r="AX317" s="155" t="s">
        <v>524</v>
      </c>
      <c r="AY317" s="182">
        <f>IF(BC316=(1+1/4),+(1+3/8),IF(BC316=1,(1+1/8),IF(BC316=(7/8),1,IF(BC316=(3/4),+(7/8),IF(BC316=(5/8),+(3/4),IF(BC316=(1/2),(9/16),IF(BC316=(3/8),+(7/16),"no valido")))))))</f>
        <v>1.375</v>
      </c>
      <c r="AZ317" s="165" t="s">
        <v>526</v>
      </c>
      <c r="BA317" s="172" t="s">
        <v>531</v>
      </c>
      <c r="BB317" s="178" t="s">
        <v>529</v>
      </c>
      <c r="BC317" s="158">
        <f>+AY318+3</f>
        <v>13.75</v>
      </c>
      <c r="BD317" s="166" t="s">
        <v>526</v>
      </c>
      <c r="BE317" s="172" t="s">
        <v>531</v>
      </c>
    </row>
    <row r="318" spans="1:57" ht="15.75" thickBot="1" x14ac:dyDescent="0.3">
      <c r="A318" s="371" t="s">
        <v>757</v>
      </c>
      <c r="B318" s="371" t="s">
        <v>355</v>
      </c>
      <c r="C318" s="371" t="s">
        <v>352</v>
      </c>
      <c r="D318" s="378">
        <v>0.95</v>
      </c>
      <c r="E318" s="378">
        <v>-0.56000000000000005</v>
      </c>
      <c r="F318" s="378">
        <v>-0.92</v>
      </c>
      <c r="G318" s="378">
        <v>0.08</v>
      </c>
      <c r="H318" s="378">
        <v>-7.0000000000000007E-2</v>
      </c>
      <c r="I318" s="378">
        <v>0.09</v>
      </c>
      <c r="K318" s="33"/>
      <c r="L318" t="s">
        <v>802</v>
      </c>
      <c r="M318" s="34">
        <f>D315+D316+D318</f>
        <v>0.54999999999999993</v>
      </c>
      <c r="N318" s="34">
        <f>E315+E316+E318</f>
        <v>-0.49000000000000005</v>
      </c>
      <c r="O318" s="34">
        <f>F315+F316+F318</f>
        <v>0.4900000000000001</v>
      </c>
      <c r="P318" s="34">
        <f>G315+G316+G318</f>
        <v>0.06</v>
      </c>
      <c r="Q318" s="34">
        <f>H315+0.25*H316+H318</f>
        <v>0.1525</v>
      </c>
      <c r="R318" s="35">
        <f>I315+0.25*I316+I318</f>
        <v>6.5000000000000002E-2</v>
      </c>
      <c r="S318" s="17"/>
      <c r="T318" s="29"/>
      <c r="U318" s="29" t="s">
        <v>377</v>
      </c>
      <c r="V318" s="23">
        <f t="shared" si="328"/>
        <v>0.4900000000000001</v>
      </c>
      <c r="W318" s="23">
        <f t="shared" si="328"/>
        <v>0.06</v>
      </c>
      <c r="X318" s="23">
        <f t="shared" si="328"/>
        <v>0.1525</v>
      </c>
      <c r="Y318" s="29"/>
      <c r="Z318" s="31">
        <f>ABS(V318)/AC318/AD318</f>
        <v>0.27222222222222231</v>
      </c>
      <c r="AA318" s="23">
        <f>ABS(+W318/V318)</f>
        <v>0.1224489795918367</v>
      </c>
      <c r="AB318" s="23">
        <f>ABS(X318/V318)</f>
        <v>0.31122448979591827</v>
      </c>
      <c r="AC318" s="36">
        <f t="shared" si="330"/>
        <v>0.6</v>
      </c>
      <c r="AD318" s="37">
        <f t="shared" si="330"/>
        <v>3</v>
      </c>
      <c r="AE318" s="22">
        <f t="shared" si="329"/>
        <v>0.35510204081632657</v>
      </c>
      <c r="AF318" s="22">
        <f t="shared" si="329"/>
        <v>2.3775510204081636</v>
      </c>
      <c r="AG318" s="22">
        <f>AF318*AE318</f>
        <v>0.84427321949187861</v>
      </c>
      <c r="AH318" s="38">
        <f>V318/AG318</f>
        <v>0.58038083962310683</v>
      </c>
      <c r="AJ318" s="147" t="s">
        <v>500</v>
      </c>
      <c r="AK318" s="24">
        <f>(MAX(V315:V319)+ABS(MAX(W315:W319))/(AL316/1000))*1000</f>
        <v>4730</v>
      </c>
      <c r="AL318" s="150" t="s">
        <v>502</v>
      </c>
      <c r="AM318" s="24">
        <f>+ABS(MAX(AK318:AK319))/(+AK316*2/10+AL316*2/10)/(AP316/10)</f>
        <v>18.624131944444446</v>
      </c>
      <c r="AN318" s="151" t="str">
        <f>IF(AM318&lt;=AM319,"OK","REDIS")</f>
        <v>OK</v>
      </c>
      <c r="AO318" s="150" t="s">
        <v>508</v>
      </c>
      <c r="AP318" s="24">
        <f>((AO316/10/2-AL316/10/2)/2)*((MAX(ABS(MAX(W315:W319)),ABS(MIN(W315:W319)))*100000))/(AL316/10)</f>
        <v>1000</v>
      </c>
      <c r="AQ318" s="150" t="s">
        <v>510</v>
      </c>
      <c r="AR318" s="24">
        <f>+AP318/(AK316*AP316*AP316/6/10/10/10)</f>
        <v>34.722222222222221</v>
      </c>
      <c r="AS318" s="152" t="str">
        <f>IF(AR318&lt;=0.6*AR314*1.1,"OK","REDIS")</f>
        <v>OK</v>
      </c>
      <c r="AT318" s="24" t="s">
        <v>516</v>
      </c>
      <c r="AU318" s="174">
        <f>+AW316*(AP318/100000)/((AO316-AL316)/1000/4)/(AT316-1)</f>
        <v>3.4285714285714287E-2</v>
      </c>
      <c r="AV318" s="24" t="s">
        <v>519</v>
      </c>
      <c r="AW318" s="175">
        <f>+AW316*(ABS(MAX(M315:M319))+ABS(MIN(M315:M319)+ABS(MAX(N315:N319))+ABS(MIN(N315:N319))))/AV316</f>
        <v>0.74039999999999995</v>
      </c>
      <c r="AX318" s="155" t="s">
        <v>525</v>
      </c>
      <c r="AY318" s="383">
        <f>IF(BC316=(1+1/4),+(11-1/4),IF(BC316=1,(9),IF(BC316=(7/8),(7-7/8),IF(BC316=(3/4),+(6-3/4),IF(BC316=(5/8),+(5-5/8),IF(BC316=(1/2),(4-1/2),IF(BC316=(3-3/8),+(7/16),"no valido")))))))</f>
        <v>10.75</v>
      </c>
      <c r="AZ318" s="166" t="s">
        <v>526</v>
      </c>
      <c r="BA318" s="168" t="s">
        <v>533</v>
      </c>
      <c r="BB318" s="153" t="s">
        <v>521</v>
      </c>
      <c r="BC318" s="44">
        <f>+AV316</f>
        <v>20</v>
      </c>
      <c r="BD318" s="166" t="s">
        <v>527</v>
      </c>
      <c r="BE318" s="162" t="s">
        <v>534</v>
      </c>
    </row>
    <row r="319" spans="1:57" ht="15.75" thickBot="1" x14ac:dyDescent="0.3">
      <c r="A319" s="371" t="s">
        <v>757</v>
      </c>
      <c r="B319" s="371" t="s">
        <v>806</v>
      </c>
      <c r="C319" s="371" t="s">
        <v>389</v>
      </c>
      <c r="D319" s="369"/>
      <c r="E319" s="369"/>
      <c r="F319" s="369"/>
      <c r="G319" s="369"/>
      <c r="H319" s="369"/>
      <c r="I319" s="369"/>
      <c r="K319" s="39"/>
      <c r="L319" s="368" t="s">
        <v>803</v>
      </c>
      <c r="M319" s="41">
        <f>D315+D316-D318</f>
        <v>-1.35</v>
      </c>
      <c r="N319" s="41">
        <f>E315+E316-E318</f>
        <v>0.63000000000000012</v>
      </c>
      <c r="O319" s="41">
        <f>F315+F316-F318</f>
        <v>2.33</v>
      </c>
      <c r="P319" s="41">
        <f>G315+G316-G318</f>
        <v>-0.1</v>
      </c>
      <c r="Q319" s="41">
        <f>H315+0.25*H316-H318</f>
        <v>0.29249999999999998</v>
      </c>
      <c r="R319" s="42">
        <f>I315+0.25*I316-I318</f>
        <v>-0.11499999999999999</v>
      </c>
      <c r="S319" s="17"/>
      <c r="T319" s="29"/>
      <c r="U319" s="29" t="s">
        <v>378</v>
      </c>
      <c r="V319" s="23">
        <f t="shared" si="328"/>
        <v>2.33</v>
      </c>
      <c r="W319" s="23">
        <f t="shared" si="328"/>
        <v>-0.1</v>
      </c>
      <c r="X319" s="23">
        <f t="shared" si="328"/>
        <v>0.29249999999999998</v>
      </c>
      <c r="Y319" s="29"/>
      <c r="Z319" s="31">
        <f>ABS(V319)/AC319/AD319</f>
        <v>1.2944444444444445</v>
      </c>
      <c r="AA319" s="23">
        <f>ABS(+W319/V319)</f>
        <v>4.2918454935622317E-2</v>
      </c>
      <c r="AB319" s="23">
        <f>ABS(X319/V319)</f>
        <v>0.12553648068669526</v>
      </c>
      <c r="AC319" s="36">
        <f t="shared" si="330"/>
        <v>0.6</v>
      </c>
      <c r="AD319" s="37">
        <f t="shared" si="330"/>
        <v>3</v>
      </c>
      <c r="AE319" s="22">
        <f t="shared" si="329"/>
        <v>0.51416309012875538</v>
      </c>
      <c r="AF319" s="22">
        <f t="shared" si="329"/>
        <v>2.7489270386266096</v>
      </c>
      <c r="AG319" s="22">
        <f>AF319*AE319</f>
        <v>1.4133968207187462</v>
      </c>
      <c r="AH319" s="38">
        <f>V319/AG319</f>
        <v>1.6485108540255093</v>
      </c>
      <c r="AJ319" s="147" t="s">
        <v>501</v>
      </c>
      <c r="AK319" s="24">
        <f>(MAX(V315:V319)+ABS(MAX(X315:X319))/(AK316/1000))*1000</f>
        <v>7151.666666666667</v>
      </c>
      <c r="AL319" s="150" t="s">
        <v>505</v>
      </c>
      <c r="AM319" s="24">
        <f>+AR314*0.4/3</f>
        <v>466.66666666666669</v>
      </c>
      <c r="AN319" s="24"/>
      <c r="AO319" s="150" t="s">
        <v>509</v>
      </c>
      <c r="AP319" s="24">
        <f>((AN316/10/2-AK316/10/2)/2)*(MAX(+ABS(MAX(X315:X319)),ABS(MIN(X315:X319)))*100000/(AK316/10))</f>
        <v>12708.333333333332</v>
      </c>
      <c r="AQ319" s="150" t="s">
        <v>511</v>
      </c>
      <c r="AR319" s="24">
        <f>+AP319/(AL316*AP316*AP316/6/1000)</f>
        <v>264.7569444444444</v>
      </c>
      <c r="AS319" s="152" t="str">
        <f>IF(AR319&lt;=0.6*AR314*1.1,"OK","REDIS")</f>
        <v>OK</v>
      </c>
      <c r="AT319" s="24" t="s">
        <v>517</v>
      </c>
      <c r="AU319" s="174">
        <f>+AW316*(AP319/100000)/((AN316-AK316)/1000/4)/(AU316-1)</f>
        <v>1.0166666666666666</v>
      </c>
      <c r="AV319" s="24"/>
      <c r="AW319" s="161"/>
      <c r="AX319" s="156" t="s">
        <v>522</v>
      </c>
      <c r="AY319" s="181">
        <f>IF(AY317=(1+3/8),+AV316/3,IF(AY317=(1+1/8),+AV316/6,IF(AY317=1,+AV316/8,IF(AY317=(7/8),+AV316/11,IF(AY317=0.75,+AV316/18,IF(AY317=(9/16),+AV316/45,IF(AY317=(7/16),+AV316/84,"NO HAY DATO")))))))</f>
        <v>6.666666666666667</v>
      </c>
      <c r="AZ319" s="167" t="s">
        <v>527</v>
      </c>
      <c r="BA319" s="386">
        <f>ROUNDUP(+AY318*2.54,0)</f>
        <v>28</v>
      </c>
      <c r="BB319" s="164" t="s">
        <v>523</v>
      </c>
      <c r="BC319" s="129">
        <f>+BC318*BC317*2.54/100</f>
        <v>6.9850000000000003</v>
      </c>
      <c r="BD319" s="173" t="s">
        <v>528</v>
      </c>
      <c r="BE319" s="385">
        <f>ROUNDUP(+BC317*2.54,0)</f>
        <v>35</v>
      </c>
    </row>
    <row r="320" spans="1:57" ht="15" x14ac:dyDescent="0.25">
      <c r="A320" s="371" t="s">
        <v>757</v>
      </c>
      <c r="B320" s="371" t="s">
        <v>807</v>
      </c>
      <c r="C320" s="371" t="s">
        <v>389</v>
      </c>
      <c r="D320" s="369"/>
      <c r="E320" s="369"/>
      <c r="F320" s="369"/>
      <c r="G320" s="369"/>
      <c r="H320" s="369"/>
      <c r="I320" s="369"/>
      <c r="K320" s="25" t="s">
        <v>357</v>
      </c>
      <c r="L320" s="26" t="s">
        <v>358</v>
      </c>
      <c r="M320" s="27" t="s">
        <v>359</v>
      </c>
      <c r="N320" s="27" t="s">
        <v>360</v>
      </c>
      <c r="O320" s="27" t="s">
        <v>361</v>
      </c>
      <c r="P320" s="27" t="s">
        <v>362</v>
      </c>
      <c r="Q320" s="27" t="s">
        <v>363</v>
      </c>
      <c r="R320" s="28" t="s">
        <v>364</v>
      </c>
      <c r="S320" s="17"/>
      <c r="T320" s="29" t="s">
        <v>365</v>
      </c>
      <c r="U320" s="29" t="s">
        <v>358</v>
      </c>
      <c r="V320" s="30" t="s">
        <v>361</v>
      </c>
      <c r="W320" s="30" t="s">
        <v>362</v>
      </c>
      <c r="X320" s="30" t="s">
        <v>363</v>
      </c>
      <c r="Y320" s="29" t="s">
        <v>366</v>
      </c>
      <c r="Z320" s="31" t="s">
        <v>367</v>
      </c>
      <c r="AA320" s="23" t="s">
        <v>368</v>
      </c>
      <c r="AB320" s="23" t="s">
        <v>369</v>
      </c>
      <c r="AC320" s="22" t="s">
        <v>0</v>
      </c>
      <c r="AD320" s="22" t="s">
        <v>1</v>
      </c>
      <c r="AE320" s="22" t="s">
        <v>370</v>
      </c>
      <c r="AF320" s="22" t="s">
        <v>371</v>
      </c>
      <c r="AG320" s="22" t="s">
        <v>372</v>
      </c>
      <c r="AH320" s="32" t="s">
        <v>373</v>
      </c>
      <c r="AJ320" s="143" t="s">
        <v>365</v>
      </c>
      <c r="AK320" s="144" t="s">
        <v>498</v>
      </c>
      <c r="AL320" s="145"/>
      <c r="AM320" s="139"/>
      <c r="AN320" s="146" t="s">
        <v>499</v>
      </c>
      <c r="AO320" s="145"/>
      <c r="AP320" s="139"/>
      <c r="AQ320" s="147" t="s">
        <v>506</v>
      </c>
      <c r="AR320" s="48">
        <v>3500</v>
      </c>
      <c r="AS320" s="147" t="s">
        <v>405</v>
      </c>
      <c r="AT320" s="146" t="s">
        <v>512</v>
      </c>
      <c r="AU320" s="145"/>
      <c r="AV320" s="145"/>
      <c r="AW320" s="145"/>
      <c r="AX320" s="382" t="s">
        <v>532</v>
      </c>
      <c r="AY320" s="157" t="s">
        <v>515</v>
      </c>
      <c r="AZ320" s="169">
        <v>6.9</v>
      </c>
      <c r="BA320" s="171" t="str">
        <f>IF(MAX(AU324:AU325)&lt;=AZ320,"OK","REDIS")</f>
        <v>OK</v>
      </c>
      <c r="BB320" s="382" t="s">
        <v>536</v>
      </c>
      <c r="BC320" s="170" t="s">
        <v>515</v>
      </c>
      <c r="BD320" s="169">
        <v>8.36</v>
      </c>
      <c r="BE320" s="171" t="str">
        <f>IF(MAX(AU324:AU325)&lt;=BD320,"OK","REDIS")</f>
        <v>OK</v>
      </c>
    </row>
    <row r="321" spans="1:57" ht="15" x14ac:dyDescent="0.25">
      <c r="A321" s="371" t="s">
        <v>758</v>
      </c>
      <c r="B321" s="371" t="s">
        <v>351</v>
      </c>
      <c r="C321" s="371" t="s">
        <v>352</v>
      </c>
      <c r="D321" s="378">
        <v>-0.35</v>
      </c>
      <c r="E321" s="378">
        <v>0.01</v>
      </c>
      <c r="F321" s="378">
        <v>1.4</v>
      </c>
      <c r="G321" s="378">
        <v>-0.11</v>
      </c>
      <c r="H321" s="378">
        <v>0.73</v>
      </c>
      <c r="I321" s="378">
        <v>-0.01</v>
      </c>
      <c r="K321" s="33" t="str">
        <f>+A321</f>
        <v>183</v>
      </c>
      <c r="L321" s="17" t="s">
        <v>374</v>
      </c>
      <c r="M321" s="34">
        <f t="shared" ref="M321:R321" si="331">D321+D322</f>
        <v>-0.76</v>
      </c>
      <c r="N321" s="34">
        <f t="shared" si="331"/>
        <v>0.02</v>
      </c>
      <c r="O321" s="34">
        <f t="shared" si="331"/>
        <v>3.0599999999999996</v>
      </c>
      <c r="P321" s="34">
        <f t="shared" si="331"/>
        <v>-0.24</v>
      </c>
      <c r="Q321" s="34">
        <f t="shared" si="331"/>
        <v>1.5899999999999999</v>
      </c>
      <c r="R321" s="35">
        <f t="shared" si="331"/>
        <v>-0.02</v>
      </c>
      <c r="S321" s="17"/>
      <c r="T321" s="29" t="str">
        <f>K321</f>
        <v>183</v>
      </c>
      <c r="U321" s="29" t="s">
        <v>374</v>
      </c>
      <c r="V321" s="23">
        <f t="shared" ref="V321:X325" si="332">O321</f>
        <v>3.0599999999999996</v>
      </c>
      <c r="W321" s="23">
        <f t="shared" si="332"/>
        <v>-0.24</v>
      </c>
      <c r="X321" s="23">
        <f t="shared" si="332"/>
        <v>1.5899999999999999</v>
      </c>
      <c r="Y321" s="29">
        <v>15</v>
      </c>
      <c r="Z321" s="31">
        <f>ABS(V321)/AC321/AD321</f>
        <v>1.7</v>
      </c>
      <c r="AA321" s="23">
        <f>ABS(+W321/V321)</f>
        <v>7.8431372549019621E-2</v>
      </c>
      <c r="AB321" s="23">
        <f>ABS(X321/V321)</f>
        <v>0.51960784313725494</v>
      </c>
      <c r="AC321" s="36">
        <v>0.6</v>
      </c>
      <c r="AD321" s="37">
        <v>3</v>
      </c>
      <c r="AE321" s="22">
        <f t="shared" ref="AE321:AF325" si="333">AC321-2*AA321</f>
        <v>0.44313725490196076</v>
      </c>
      <c r="AF321" s="22">
        <f t="shared" si="333"/>
        <v>1.9607843137254901</v>
      </c>
      <c r="AG321" s="22">
        <f>AF321*AE321</f>
        <v>0.86889657823913868</v>
      </c>
      <c r="AH321" s="38">
        <f>V321/AG321</f>
        <v>3.5217079646017697</v>
      </c>
      <c r="AJ321" s="379" t="str">
        <f>+A321</f>
        <v>183</v>
      </c>
      <c r="AK321" s="147" t="s">
        <v>0</v>
      </c>
      <c r="AL321" s="147" t="s">
        <v>1</v>
      </c>
      <c r="AM321" s="147" t="s">
        <v>438</v>
      </c>
      <c r="AN321" s="147" t="s">
        <v>503</v>
      </c>
      <c r="AO321" s="147" t="s">
        <v>504</v>
      </c>
      <c r="AP321" s="147" t="s">
        <v>323</v>
      </c>
      <c r="AQ321" s="48"/>
      <c r="AR321" s="48"/>
      <c r="AS321" s="48"/>
      <c r="AT321" s="147" t="s">
        <v>0</v>
      </c>
      <c r="AU321" s="147" t="s">
        <v>1</v>
      </c>
      <c r="AV321" s="147" t="s">
        <v>513</v>
      </c>
      <c r="AW321" s="159" t="s">
        <v>520</v>
      </c>
      <c r="AX321" s="141" t="s">
        <v>530</v>
      </c>
      <c r="AY321" s="157" t="s">
        <v>178</v>
      </c>
      <c r="AZ321" s="44">
        <v>12</v>
      </c>
      <c r="BA321" s="172" t="str">
        <f>IF(AW324&lt;=AZ321,"OK","REDIS")</f>
        <v>OK</v>
      </c>
      <c r="BB321" s="384" t="s">
        <v>535</v>
      </c>
      <c r="BC321" s="120" t="s">
        <v>178</v>
      </c>
      <c r="BD321" s="44">
        <v>4.3</v>
      </c>
      <c r="BE321" s="172" t="str">
        <f>IF(AW324&lt;=BD321,"OK","REDIS")</f>
        <v>OK</v>
      </c>
    </row>
    <row r="322" spans="1:57" ht="15" x14ac:dyDescent="0.25">
      <c r="A322" s="371" t="s">
        <v>758</v>
      </c>
      <c r="B322" s="371" t="s">
        <v>353</v>
      </c>
      <c r="C322" s="371" t="s">
        <v>352</v>
      </c>
      <c r="D322" s="378">
        <v>-0.41</v>
      </c>
      <c r="E322" s="378">
        <v>0.01</v>
      </c>
      <c r="F322" s="378">
        <v>1.66</v>
      </c>
      <c r="G322" s="378">
        <v>-0.13</v>
      </c>
      <c r="H322" s="378">
        <v>0.86</v>
      </c>
      <c r="I322" s="378">
        <v>-0.01</v>
      </c>
      <c r="K322" s="33"/>
      <c r="L322" t="s">
        <v>800</v>
      </c>
      <c r="M322" s="34">
        <f>D321+D322+D323</f>
        <v>-3</v>
      </c>
      <c r="N322" s="34">
        <f>E321+E322+E323</f>
        <v>0.18</v>
      </c>
      <c r="O322" s="34">
        <f>F321+F322+F323</f>
        <v>4.34</v>
      </c>
      <c r="P322" s="34">
        <f>G321+G322+G323</f>
        <v>-0.25</v>
      </c>
      <c r="Q322" s="34">
        <f>H321+0.25*H322+H323</f>
        <v>0.67499999999999993</v>
      </c>
      <c r="R322" s="35">
        <f>I321+0.25*I322+I323</f>
        <v>-7.2499999999999995E-2</v>
      </c>
      <c r="S322" s="17"/>
      <c r="T322" s="29"/>
      <c r="U322" s="29" t="s">
        <v>375</v>
      </c>
      <c r="V322" s="23">
        <f t="shared" si="332"/>
        <v>4.34</v>
      </c>
      <c r="W322" s="23">
        <f t="shared" si="332"/>
        <v>-0.25</v>
      </c>
      <c r="X322" s="23">
        <f t="shared" si="332"/>
        <v>0.67499999999999993</v>
      </c>
      <c r="Y322" s="29">
        <f>1.33*Y321</f>
        <v>19.950000000000003</v>
      </c>
      <c r="Z322" s="31">
        <f>ABS(V322)/AC322/AD322</f>
        <v>2.411111111111111</v>
      </c>
      <c r="AA322" s="23">
        <f>ABS(+W322/V322)</f>
        <v>5.7603686635944701E-2</v>
      </c>
      <c r="AB322" s="23">
        <f>ABS(X322/V322)</f>
        <v>0.15552995391705068</v>
      </c>
      <c r="AC322" s="36">
        <f t="shared" ref="AC322:AD325" si="334">AC321</f>
        <v>0.6</v>
      </c>
      <c r="AD322" s="37">
        <f t="shared" si="334"/>
        <v>3</v>
      </c>
      <c r="AE322" s="22">
        <f t="shared" si="333"/>
        <v>0.48479262672811058</v>
      </c>
      <c r="AF322" s="22">
        <f t="shared" si="333"/>
        <v>2.6889400921658986</v>
      </c>
      <c r="AG322" s="22">
        <f>AF322*AE322</f>
        <v>1.3035783303956336</v>
      </c>
      <c r="AH322" s="38">
        <f>V322/AG322</f>
        <v>3.3292974413611325</v>
      </c>
      <c r="AJ322" s="147" t="s">
        <v>539</v>
      </c>
      <c r="AK322" s="148">
        <v>300</v>
      </c>
      <c r="AL322" s="148">
        <v>500</v>
      </c>
      <c r="AM322" s="148">
        <v>28</v>
      </c>
      <c r="AN322" s="380">
        <v>500</v>
      </c>
      <c r="AO322" s="380">
        <v>700</v>
      </c>
      <c r="AP322" s="380">
        <v>24</v>
      </c>
      <c r="AQ322" s="48"/>
      <c r="AR322" s="48"/>
      <c r="AS322" s="48"/>
      <c r="AT322" s="381">
        <v>6</v>
      </c>
      <c r="AU322" s="381">
        <v>4</v>
      </c>
      <c r="AV322" s="380">
        <f>+AT322*2+(AU322-2)*2</f>
        <v>16</v>
      </c>
      <c r="AW322" s="159">
        <v>1.2</v>
      </c>
      <c r="AX322" s="155" t="s">
        <v>538</v>
      </c>
      <c r="AY322" s="180">
        <f>+AV322</f>
        <v>16</v>
      </c>
      <c r="BA322" s="154"/>
      <c r="BB322" s="177" t="s">
        <v>537</v>
      </c>
      <c r="BC322" s="179">
        <v>1.25</v>
      </c>
      <c r="BD322" s="166" t="s">
        <v>526</v>
      </c>
      <c r="BE322" s="154"/>
    </row>
    <row r="323" spans="1:57" ht="15" x14ac:dyDescent="0.25">
      <c r="A323" s="371" t="s">
        <v>758</v>
      </c>
      <c r="B323" s="371" t="s">
        <v>354</v>
      </c>
      <c r="C323" s="371" t="s">
        <v>352</v>
      </c>
      <c r="D323" s="378">
        <v>-2.2400000000000002</v>
      </c>
      <c r="E323" s="378">
        <v>0.16</v>
      </c>
      <c r="F323" s="378">
        <v>1.28</v>
      </c>
      <c r="G323" s="378">
        <v>-0.01</v>
      </c>
      <c r="H323" s="378">
        <v>-0.27</v>
      </c>
      <c r="I323" s="378">
        <v>-0.06</v>
      </c>
      <c r="K323" s="33"/>
      <c r="L323" t="s">
        <v>801</v>
      </c>
      <c r="M323" s="34">
        <f>D321+D322-D323</f>
        <v>1.4800000000000002</v>
      </c>
      <c r="N323" s="34">
        <f>E321+E322-E323</f>
        <v>-0.14000000000000001</v>
      </c>
      <c r="O323" s="34">
        <f>F321+F322-F323</f>
        <v>1.7799999999999996</v>
      </c>
      <c r="P323" s="34">
        <f>G321+G322-G323</f>
        <v>-0.22999999999999998</v>
      </c>
      <c r="Q323" s="34">
        <f>H321+0.25*H322-H323</f>
        <v>1.2149999999999999</v>
      </c>
      <c r="R323" s="35">
        <f>I321+0.25*I322-I323</f>
        <v>4.7500000000000001E-2</v>
      </c>
      <c r="S323" s="17"/>
      <c r="T323" s="29"/>
      <c r="U323" s="29" t="s">
        <v>376</v>
      </c>
      <c r="V323" s="23">
        <f t="shared" si="332"/>
        <v>1.7799999999999996</v>
      </c>
      <c r="W323" s="23">
        <f t="shared" si="332"/>
        <v>-0.22999999999999998</v>
      </c>
      <c r="X323" s="23">
        <f t="shared" si="332"/>
        <v>1.2149999999999999</v>
      </c>
      <c r="Y323" s="29"/>
      <c r="Z323" s="31">
        <f>ABS(V323)/AC323/AD323</f>
        <v>0.9888888888888886</v>
      </c>
      <c r="AA323" s="23">
        <f>ABS(+W323/V323)</f>
        <v>0.12921348314606743</v>
      </c>
      <c r="AB323" s="23">
        <f>ABS(X323/V323)</f>
        <v>0.68258426966292141</v>
      </c>
      <c r="AC323" s="36">
        <f t="shared" si="334"/>
        <v>0.6</v>
      </c>
      <c r="AD323" s="37">
        <f t="shared" si="334"/>
        <v>3</v>
      </c>
      <c r="AE323" s="22">
        <f t="shared" si="333"/>
        <v>0.34157303370786513</v>
      </c>
      <c r="AF323" s="22">
        <f t="shared" si="333"/>
        <v>1.6348314606741572</v>
      </c>
      <c r="AG323" s="22">
        <f>AF323*AE323</f>
        <v>0.55841434162353232</v>
      </c>
      <c r="AH323" s="38">
        <f>V323/AG323</f>
        <v>3.1875972146861997</v>
      </c>
      <c r="AJ323" s="146" t="s">
        <v>514</v>
      </c>
      <c r="AK323" s="145"/>
      <c r="AL323" s="145"/>
      <c r="AM323" s="145"/>
      <c r="AN323" s="139"/>
      <c r="AO323" s="146" t="s">
        <v>507</v>
      </c>
      <c r="AP323" s="145" t="s">
        <v>626</v>
      </c>
      <c r="AQ323" s="145">
        <f>0.6*AR320</f>
        <v>2100</v>
      </c>
      <c r="AR323" s="212" t="s">
        <v>627</v>
      </c>
      <c r="AS323" s="211">
        <f>+AR324+AR325</f>
        <v>670.13888888888891</v>
      </c>
      <c r="AT323" s="48" t="s">
        <v>515</v>
      </c>
      <c r="AU323" s="48"/>
      <c r="AV323" s="48" t="s">
        <v>518</v>
      </c>
      <c r="AW323" s="160"/>
      <c r="AX323" s="155" t="s">
        <v>524</v>
      </c>
      <c r="AY323" s="182">
        <f>IF(BC322=(1+1/4),+(1+3/8),IF(BC322=1,(1+1/8),IF(BC322=(7/8),1,IF(BC322=(3/4),+(7/8),IF(BC322=(5/8),+(3/4),IF(BC322=(1/2),(9/16),IF(BC322=(3/8),+(7/16),"no valido")))))))</f>
        <v>1.375</v>
      </c>
      <c r="AZ323" s="165" t="s">
        <v>526</v>
      </c>
      <c r="BA323" s="172" t="s">
        <v>531</v>
      </c>
      <c r="BB323" s="178" t="s">
        <v>529</v>
      </c>
      <c r="BC323" s="158">
        <f>+AY324+3</f>
        <v>13.75</v>
      </c>
      <c r="BD323" s="166" t="s">
        <v>526</v>
      </c>
      <c r="BE323" s="172" t="s">
        <v>531</v>
      </c>
    </row>
    <row r="324" spans="1:57" ht="15.75" thickBot="1" x14ac:dyDescent="0.3">
      <c r="A324" s="371" t="s">
        <v>758</v>
      </c>
      <c r="B324" s="371" t="s">
        <v>355</v>
      </c>
      <c r="C324" s="371" t="s">
        <v>352</v>
      </c>
      <c r="D324" s="378">
        <v>-1.81</v>
      </c>
      <c r="E324" s="378">
        <v>-0.85</v>
      </c>
      <c r="F324" s="378">
        <v>0.6</v>
      </c>
      <c r="G324" s="378">
        <v>0.1</v>
      </c>
      <c r="H324" s="378">
        <v>-0.26</v>
      </c>
      <c r="I324" s="378">
        <v>0.09</v>
      </c>
      <c r="K324" s="33"/>
      <c r="L324" t="s">
        <v>802</v>
      </c>
      <c r="M324" s="34">
        <f>D321+D322+D324</f>
        <v>-2.5700000000000003</v>
      </c>
      <c r="N324" s="34">
        <f>E321+E322+E324</f>
        <v>-0.83</v>
      </c>
      <c r="O324" s="34">
        <f>F321+F322+F324</f>
        <v>3.6599999999999997</v>
      </c>
      <c r="P324" s="34">
        <f>G321+G322+G324</f>
        <v>-0.13999999999999999</v>
      </c>
      <c r="Q324" s="34">
        <f>H321+0.25*H322+H324</f>
        <v>0.68499999999999994</v>
      </c>
      <c r="R324" s="35">
        <f>I321+0.25*I322+I324</f>
        <v>7.7499999999999999E-2</v>
      </c>
      <c r="S324" s="17"/>
      <c r="T324" s="29"/>
      <c r="U324" s="29" t="s">
        <v>377</v>
      </c>
      <c r="V324" s="23">
        <f t="shared" si="332"/>
        <v>3.6599999999999997</v>
      </c>
      <c r="W324" s="23">
        <f t="shared" si="332"/>
        <v>-0.13999999999999999</v>
      </c>
      <c r="X324" s="23">
        <f t="shared" si="332"/>
        <v>0.68499999999999994</v>
      </c>
      <c r="Y324" s="29"/>
      <c r="Z324" s="31">
        <f>ABS(V324)/AC324/AD324</f>
        <v>2.0333333333333332</v>
      </c>
      <c r="AA324" s="23">
        <f>ABS(+W324/V324)</f>
        <v>3.825136612021858E-2</v>
      </c>
      <c r="AB324" s="23">
        <f>ABS(X324/V324)</f>
        <v>0.1871584699453552</v>
      </c>
      <c r="AC324" s="36">
        <f t="shared" si="334"/>
        <v>0.6</v>
      </c>
      <c r="AD324" s="37">
        <f t="shared" si="334"/>
        <v>3</v>
      </c>
      <c r="AE324" s="22">
        <f t="shared" si="333"/>
        <v>0.52349726775956285</v>
      </c>
      <c r="AF324" s="22">
        <f t="shared" si="333"/>
        <v>2.6256830601092895</v>
      </c>
      <c r="AG324" s="22">
        <f>AF324*AE324</f>
        <v>1.374537907969781</v>
      </c>
      <c r="AH324" s="38">
        <f>V324/AG324</f>
        <v>2.662713031615032</v>
      </c>
      <c r="AJ324" s="147" t="s">
        <v>500</v>
      </c>
      <c r="AK324" s="24">
        <f>(MAX(V321:V325)+ABS(MAX(W321:W325))/(AL322/1000))*1000</f>
        <v>4620</v>
      </c>
      <c r="AL324" s="150" t="s">
        <v>502</v>
      </c>
      <c r="AM324" s="24">
        <f>+ABS(MAX(AK324:AK325))/(+AK322*2/10+AL322*2/10)/(AP322/10)</f>
        <v>25.104166666666668</v>
      </c>
      <c r="AN324" s="151" t="str">
        <f>IF(AM324&lt;=AM325,"OK","REDIS")</f>
        <v>OK</v>
      </c>
      <c r="AO324" s="150" t="s">
        <v>508</v>
      </c>
      <c r="AP324" s="24">
        <f>((AO322/10/2-AL322/10/2)/2)*((MAX(ABS(MAX(W321:W325)),ABS(MIN(W321:W325)))*100000))/(AL322/10)</f>
        <v>3400</v>
      </c>
      <c r="AQ324" s="150" t="s">
        <v>510</v>
      </c>
      <c r="AR324" s="24">
        <f>+AP324/(AK322*AP322*AP322/6/10/10/10)</f>
        <v>118.05555555555556</v>
      </c>
      <c r="AS324" s="152" t="str">
        <f>IF(AR324&lt;=0.6*AR320*1.1,"OK","REDIS")</f>
        <v>OK</v>
      </c>
      <c r="AT324" s="24" t="s">
        <v>516</v>
      </c>
      <c r="AU324" s="174">
        <f>+AW322*(AP324/100000)/((AO322-AL322)/1000/4)/(AT322-1)</f>
        <v>0.16320000000000001</v>
      </c>
      <c r="AV324" s="24" t="s">
        <v>519</v>
      </c>
      <c r="AW324" s="175">
        <f>+AW322*(ABS(MAX(M321:M325))+ABS(MIN(M321:M325)+ABS(MAX(N321:N325))+ABS(MIN(N321:N325))))/AV322</f>
        <v>0.20850000000000002</v>
      </c>
      <c r="AX324" s="155" t="s">
        <v>525</v>
      </c>
      <c r="AY324" s="383">
        <f>IF(BC322=(1+1/4),+(11-1/4),IF(BC322=1,(9),IF(BC322=(7/8),(7-7/8),IF(BC322=(3/4),+(6-3/4),IF(BC322=(5/8),+(5-5/8),IF(BC322=(1/2),(4-1/2),IF(BC322=(3-3/8),+(7/16),"no valido")))))))</f>
        <v>10.75</v>
      </c>
      <c r="AZ324" s="166" t="s">
        <v>526</v>
      </c>
      <c r="BA324" s="168" t="s">
        <v>533</v>
      </c>
      <c r="BB324" s="153" t="s">
        <v>521</v>
      </c>
      <c r="BC324" s="44">
        <f>+AV322</f>
        <v>16</v>
      </c>
      <c r="BD324" s="166" t="s">
        <v>527</v>
      </c>
      <c r="BE324" s="162" t="s">
        <v>534</v>
      </c>
    </row>
    <row r="325" spans="1:57" ht="15.75" thickBot="1" x14ac:dyDescent="0.3">
      <c r="A325" s="371" t="s">
        <v>758</v>
      </c>
      <c r="B325" s="371" t="s">
        <v>806</v>
      </c>
      <c r="C325" s="371" t="s">
        <v>389</v>
      </c>
      <c r="D325" s="369"/>
      <c r="E325" s="369"/>
      <c r="F325" s="369"/>
      <c r="G325" s="369"/>
      <c r="H325" s="369"/>
      <c r="I325" s="369"/>
      <c r="K325" s="39"/>
      <c r="L325" s="368" t="s">
        <v>803</v>
      </c>
      <c r="M325" s="41">
        <f>D321+D322-D324</f>
        <v>1.05</v>
      </c>
      <c r="N325" s="41">
        <f>E321+E322-E324</f>
        <v>0.87</v>
      </c>
      <c r="O325" s="41">
        <f>F321+F322-F324</f>
        <v>2.4599999999999995</v>
      </c>
      <c r="P325" s="41">
        <f>G321+G322-G324</f>
        <v>-0.33999999999999997</v>
      </c>
      <c r="Q325" s="41">
        <f>H321+0.25*H322-H324</f>
        <v>1.2050000000000001</v>
      </c>
      <c r="R325" s="42">
        <f>I321+0.25*I322-I324</f>
        <v>-0.10249999999999999</v>
      </c>
      <c r="S325" s="17"/>
      <c r="T325" s="29"/>
      <c r="U325" s="29" t="s">
        <v>378</v>
      </c>
      <c r="V325" s="23">
        <f t="shared" si="332"/>
        <v>2.4599999999999995</v>
      </c>
      <c r="W325" s="23">
        <f t="shared" si="332"/>
        <v>-0.33999999999999997</v>
      </c>
      <c r="X325" s="23">
        <f t="shared" si="332"/>
        <v>1.2050000000000001</v>
      </c>
      <c r="Y325" s="29"/>
      <c r="Z325" s="31">
        <f>ABS(V325)/AC325/AD325</f>
        <v>1.3666666666666665</v>
      </c>
      <c r="AA325" s="23">
        <f>ABS(+W325/V325)</f>
        <v>0.13821138211382114</v>
      </c>
      <c r="AB325" s="23">
        <f>ABS(X325/V325)</f>
        <v>0.48983739837398388</v>
      </c>
      <c r="AC325" s="36">
        <f t="shared" si="334"/>
        <v>0.6</v>
      </c>
      <c r="AD325" s="37">
        <f t="shared" si="334"/>
        <v>3</v>
      </c>
      <c r="AE325" s="22">
        <f t="shared" si="333"/>
        <v>0.3235772357723577</v>
      </c>
      <c r="AF325" s="22">
        <f t="shared" si="333"/>
        <v>2.0203252032520322</v>
      </c>
      <c r="AG325" s="22">
        <f>AF325*AE325</f>
        <v>0.65373124462951937</v>
      </c>
      <c r="AH325" s="38">
        <f>V325/AG325</f>
        <v>3.7630142665035438</v>
      </c>
      <c r="AJ325" s="147" t="s">
        <v>501</v>
      </c>
      <c r="AK325" s="24">
        <f>(MAX(V321:V325)+ABS(MAX(X321:X325))/(AK322/1000))*1000</f>
        <v>9640</v>
      </c>
      <c r="AL325" s="150" t="s">
        <v>505</v>
      </c>
      <c r="AM325" s="24">
        <f>+AR320*0.4/3</f>
        <v>466.66666666666669</v>
      </c>
      <c r="AN325" s="24"/>
      <c r="AO325" s="150" t="s">
        <v>509</v>
      </c>
      <c r="AP325" s="24">
        <f>((AN322/10/2-AK322/10/2)/2)*(MAX(+ABS(MAX(X321:X325)),ABS(MIN(X321:X325)))*100000/(AK322/10))</f>
        <v>26500</v>
      </c>
      <c r="AQ325" s="150" t="s">
        <v>511</v>
      </c>
      <c r="AR325" s="24">
        <f>+AP325/(AL322*AP322*AP322/6/1000)</f>
        <v>552.08333333333337</v>
      </c>
      <c r="AS325" s="152" t="str">
        <f>IF(AR325&lt;=0.6*AR320*1.1,"OK","REDIS")</f>
        <v>OK</v>
      </c>
      <c r="AT325" s="24" t="s">
        <v>517</v>
      </c>
      <c r="AU325" s="174">
        <f>+AW322*(AP325/100000)/((AN322-AK322)/1000/4)/(AU322-1)</f>
        <v>2.1199999999999997</v>
      </c>
      <c r="AV325" s="24"/>
      <c r="AW325" s="161"/>
      <c r="AX325" s="156" t="s">
        <v>522</v>
      </c>
      <c r="AY325" s="181">
        <f>IF(AY323=(1+3/8),+AV322/3,IF(AY323=(1+1/8),+AV322/6,IF(AY323=1,+AV322/8,IF(AY323=(7/8),+AV322/11,IF(AY323=0.75,+AV322/18,IF(AY323=(9/16),+AV322/45,IF(AY323=(7/16),+AV322/84,"NO HAY DATO")))))))</f>
        <v>5.333333333333333</v>
      </c>
      <c r="AZ325" s="167" t="s">
        <v>527</v>
      </c>
      <c r="BA325" s="386">
        <f>ROUNDUP(+AY324*2.54,0)</f>
        <v>28</v>
      </c>
      <c r="BB325" s="164" t="s">
        <v>523</v>
      </c>
      <c r="BC325" s="129">
        <f>+BC324*BC323*2.54/100</f>
        <v>5.5879999999999992</v>
      </c>
      <c r="BD325" s="173" t="s">
        <v>528</v>
      </c>
      <c r="BE325" s="385">
        <f>ROUNDUP(+BC323*2.54,0)</f>
        <v>35</v>
      </c>
    </row>
    <row r="326" spans="1:57" ht="15" x14ac:dyDescent="0.25">
      <c r="A326" s="371" t="s">
        <v>758</v>
      </c>
      <c r="B326" s="371" t="s">
        <v>807</v>
      </c>
      <c r="C326" s="371" t="s">
        <v>389</v>
      </c>
      <c r="D326" s="369"/>
      <c r="E326" s="369"/>
      <c r="F326" s="369"/>
      <c r="G326" s="369"/>
      <c r="H326" s="369"/>
      <c r="I326" s="369"/>
      <c r="K326" s="25" t="s">
        <v>357</v>
      </c>
      <c r="L326" s="26" t="s">
        <v>358</v>
      </c>
      <c r="M326" s="27" t="s">
        <v>359</v>
      </c>
      <c r="N326" s="27" t="s">
        <v>360</v>
      </c>
      <c r="O326" s="27" t="s">
        <v>361</v>
      </c>
      <c r="P326" s="27" t="s">
        <v>362</v>
      </c>
      <c r="Q326" s="27" t="s">
        <v>363</v>
      </c>
      <c r="R326" s="28" t="s">
        <v>364</v>
      </c>
      <c r="S326" s="17"/>
      <c r="T326" s="29" t="s">
        <v>365</v>
      </c>
      <c r="U326" s="29" t="s">
        <v>358</v>
      </c>
      <c r="V326" s="30" t="s">
        <v>361</v>
      </c>
      <c r="W326" s="30" t="s">
        <v>362</v>
      </c>
      <c r="X326" s="30" t="s">
        <v>363</v>
      </c>
      <c r="Y326" s="29" t="s">
        <v>366</v>
      </c>
      <c r="Z326" s="31" t="s">
        <v>367</v>
      </c>
      <c r="AA326" s="23" t="s">
        <v>368</v>
      </c>
      <c r="AB326" s="23" t="s">
        <v>369</v>
      </c>
      <c r="AC326" s="22" t="s">
        <v>0</v>
      </c>
      <c r="AD326" s="22" t="s">
        <v>1</v>
      </c>
      <c r="AE326" s="22" t="s">
        <v>370</v>
      </c>
      <c r="AF326" s="22" t="s">
        <v>371</v>
      </c>
      <c r="AG326" s="22" t="s">
        <v>372</v>
      </c>
      <c r="AH326" s="32" t="s">
        <v>373</v>
      </c>
      <c r="AJ326" s="143" t="s">
        <v>365</v>
      </c>
      <c r="AK326" s="144" t="s">
        <v>498</v>
      </c>
      <c r="AL326" s="145"/>
      <c r="AM326" s="139"/>
      <c r="AN326" s="146" t="s">
        <v>499</v>
      </c>
      <c r="AO326" s="145"/>
      <c r="AP326" s="139"/>
      <c r="AQ326" s="147" t="s">
        <v>506</v>
      </c>
      <c r="AR326" s="48">
        <v>3500</v>
      </c>
      <c r="AS326" s="147" t="s">
        <v>405</v>
      </c>
      <c r="AT326" s="146" t="s">
        <v>512</v>
      </c>
      <c r="AU326" s="145"/>
      <c r="AV326" s="145"/>
      <c r="AW326" s="145"/>
      <c r="AX326" s="382" t="s">
        <v>532</v>
      </c>
      <c r="AY326" s="157" t="s">
        <v>515</v>
      </c>
      <c r="AZ326" s="169">
        <v>6.9</v>
      </c>
      <c r="BA326" s="171" t="str">
        <f>IF(MAX(AU330:AU331)&lt;=AZ326,"OK","REDIS")</f>
        <v>OK</v>
      </c>
      <c r="BB326" s="382" t="s">
        <v>536</v>
      </c>
      <c r="BC326" s="170" t="s">
        <v>515</v>
      </c>
      <c r="BD326" s="169">
        <v>8.36</v>
      </c>
      <c r="BE326" s="171" t="str">
        <f>IF(MAX(AU330:AU331)&lt;=BD326,"OK","REDIS")</f>
        <v>OK</v>
      </c>
    </row>
    <row r="327" spans="1:57" ht="15" x14ac:dyDescent="0.25">
      <c r="A327" s="371" t="s">
        <v>756</v>
      </c>
      <c r="B327" s="371" t="s">
        <v>351</v>
      </c>
      <c r="C327" s="371" t="s">
        <v>352</v>
      </c>
      <c r="D327" s="378">
        <v>0.26</v>
      </c>
      <c r="E327" s="378">
        <v>-0.26</v>
      </c>
      <c r="F327" s="378">
        <v>1.05</v>
      </c>
      <c r="G327" s="378">
        <v>0.13</v>
      </c>
      <c r="H327" s="378">
        <v>0.2</v>
      </c>
      <c r="I327" s="378">
        <v>0</v>
      </c>
      <c r="K327" s="33" t="str">
        <f>+A327</f>
        <v>404</v>
      </c>
      <c r="L327" s="17" t="s">
        <v>374</v>
      </c>
      <c r="M327" s="34">
        <f t="shared" ref="M327:R327" si="335">D327+D328</f>
        <v>0.57000000000000006</v>
      </c>
      <c r="N327" s="34">
        <f t="shared" si="335"/>
        <v>-0.57000000000000006</v>
      </c>
      <c r="O327" s="34">
        <f t="shared" si="335"/>
        <v>2.2000000000000002</v>
      </c>
      <c r="P327" s="34">
        <f t="shared" si="335"/>
        <v>0.29000000000000004</v>
      </c>
      <c r="Q327" s="34">
        <f t="shared" si="335"/>
        <v>0.43000000000000005</v>
      </c>
      <c r="R327" s="35">
        <f t="shared" si="335"/>
        <v>0</v>
      </c>
      <c r="S327" s="17"/>
      <c r="T327" s="29" t="str">
        <f>K327</f>
        <v>404</v>
      </c>
      <c r="U327" s="29" t="s">
        <v>374</v>
      </c>
      <c r="V327" s="23">
        <f t="shared" ref="V327:X331" si="336">O327</f>
        <v>2.2000000000000002</v>
      </c>
      <c r="W327" s="23">
        <f t="shared" si="336"/>
        <v>0.29000000000000004</v>
      </c>
      <c r="X327" s="23">
        <f t="shared" si="336"/>
        <v>0.43000000000000005</v>
      </c>
      <c r="Y327" s="29">
        <v>15</v>
      </c>
      <c r="Z327" s="31">
        <f>ABS(V327)/AC327/AD327</f>
        <v>1.2222222222222223</v>
      </c>
      <c r="AA327" s="23">
        <f>ABS(+W327/V327)</f>
        <v>0.13181818181818183</v>
      </c>
      <c r="AB327" s="23">
        <f>ABS(X327/V327)</f>
        <v>0.19545454545454546</v>
      </c>
      <c r="AC327" s="36">
        <v>0.6</v>
      </c>
      <c r="AD327" s="37">
        <v>3</v>
      </c>
      <c r="AE327" s="22">
        <f t="shared" ref="AE327:AF331" si="337">AC327-2*AA327</f>
        <v>0.33636363636363631</v>
      </c>
      <c r="AF327" s="22">
        <f t="shared" si="337"/>
        <v>2.6090909090909089</v>
      </c>
      <c r="AG327" s="22">
        <f>AF327*AE327</f>
        <v>0.8776033057851238</v>
      </c>
      <c r="AH327" s="38">
        <f>V327/AG327</f>
        <v>2.506827384876166</v>
      </c>
      <c r="AJ327" s="379" t="str">
        <f>+A327</f>
        <v>404</v>
      </c>
      <c r="AK327" s="147" t="s">
        <v>0</v>
      </c>
      <c r="AL327" s="147" t="s">
        <v>1</v>
      </c>
      <c r="AM327" s="147" t="s">
        <v>438</v>
      </c>
      <c r="AN327" s="147" t="s">
        <v>503</v>
      </c>
      <c r="AO327" s="147" t="s">
        <v>504</v>
      </c>
      <c r="AP327" s="147" t="s">
        <v>323</v>
      </c>
      <c r="AQ327" s="48"/>
      <c r="AR327" s="48"/>
      <c r="AS327" s="48"/>
      <c r="AT327" s="147" t="s">
        <v>0</v>
      </c>
      <c r="AU327" s="147" t="s">
        <v>1</v>
      </c>
      <c r="AV327" s="147" t="s">
        <v>513</v>
      </c>
      <c r="AW327" s="159" t="s">
        <v>520</v>
      </c>
      <c r="AX327" s="141" t="s">
        <v>530</v>
      </c>
      <c r="AY327" s="157" t="s">
        <v>178</v>
      </c>
      <c r="AZ327" s="44">
        <v>12</v>
      </c>
      <c r="BA327" s="172" t="str">
        <f>IF(AW330&lt;=AZ327,"OK","REDIS")</f>
        <v>OK</v>
      </c>
      <c r="BB327" s="384" t="s">
        <v>535</v>
      </c>
      <c r="BC327" s="120" t="s">
        <v>178</v>
      </c>
      <c r="BD327" s="44">
        <v>4.3</v>
      </c>
      <c r="BE327" s="172" t="str">
        <f>IF(AW330&lt;=BD327,"OK","REDIS")</f>
        <v>OK</v>
      </c>
    </row>
    <row r="328" spans="1:57" ht="15" x14ac:dyDescent="0.25">
      <c r="A328" s="371" t="s">
        <v>756</v>
      </c>
      <c r="B328" s="371" t="s">
        <v>353</v>
      </c>
      <c r="C328" s="371" t="s">
        <v>352</v>
      </c>
      <c r="D328" s="378">
        <v>0.31</v>
      </c>
      <c r="E328" s="378">
        <v>-0.31</v>
      </c>
      <c r="F328" s="378">
        <v>1.1499999999999999</v>
      </c>
      <c r="G328" s="378">
        <v>0.16</v>
      </c>
      <c r="H328" s="378">
        <v>0.23</v>
      </c>
      <c r="I328" s="378">
        <v>0</v>
      </c>
      <c r="K328" s="33"/>
      <c r="L328" t="s">
        <v>800</v>
      </c>
      <c r="M328" s="34">
        <f>D327+D328+D329</f>
        <v>-1.78</v>
      </c>
      <c r="N328" s="34">
        <f>E327+E328+E329</f>
        <v>-0.37000000000000005</v>
      </c>
      <c r="O328" s="34">
        <f>F327+F328+F329</f>
        <v>-0.12999999999999989</v>
      </c>
      <c r="P328" s="34">
        <f>G327+G328+G329</f>
        <v>0.33</v>
      </c>
      <c r="Q328" s="34">
        <f>H327+0.25*H328+H329</f>
        <v>-0.99249999999999994</v>
      </c>
      <c r="R328" s="35">
        <f>I327+0.25*I328+I329</f>
        <v>0</v>
      </c>
      <c r="S328" s="17"/>
      <c r="T328" s="29"/>
      <c r="U328" s="29" t="s">
        <v>375</v>
      </c>
      <c r="V328" s="23">
        <f t="shared" si="336"/>
        <v>-0.12999999999999989</v>
      </c>
      <c r="W328" s="23">
        <f t="shared" si="336"/>
        <v>0.33</v>
      </c>
      <c r="X328" s="23">
        <f t="shared" si="336"/>
        <v>-0.99249999999999994</v>
      </c>
      <c r="Y328" s="29">
        <f>1.33*Y327</f>
        <v>19.950000000000003</v>
      </c>
      <c r="Z328" s="31">
        <f>ABS(V328)/AC328/AD328</f>
        <v>7.2222222222222174E-2</v>
      </c>
      <c r="AA328" s="23">
        <f>ABS(+W328/V328)</f>
        <v>2.5384615384615405</v>
      </c>
      <c r="AB328" s="23">
        <f>ABS(X328/V328)</f>
        <v>7.6346153846153904</v>
      </c>
      <c r="AC328" s="36">
        <f t="shared" ref="AC328:AD331" si="338">AC327</f>
        <v>0.6</v>
      </c>
      <c r="AD328" s="37">
        <f t="shared" si="338"/>
        <v>3</v>
      </c>
      <c r="AE328" s="22">
        <f t="shared" si="337"/>
        <v>-4.4769230769230814</v>
      </c>
      <c r="AF328" s="22">
        <f t="shared" si="337"/>
        <v>-12.269230769230781</v>
      </c>
      <c r="AG328" s="22">
        <f>AF328*AE328</f>
        <v>54.928402366864013</v>
      </c>
      <c r="AH328" s="38">
        <f>V328/AG328</f>
        <v>-2.3667172973962812E-3</v>
      </c>
      <c r="AJ328" s="147" t="s">
        <v>539</v>
      </c>
      <c r="AK328" s="148">
        <v>300</v>
      </c>
      <c r="AL328" s="148">
        <v>500</v>
      </c>
      <c r="AM328" s="148">
        <v>28</v>
      </c>
      <c r="AN328" s="380">
        <v>500</v>
      </c>
      <c r="AO328" s="380">
        <v>700</v>
      </c>
      <c r="AP328" s="380">
        <v>40</v>
      </c>
      <c r="AQ328" s="48"/>
      <c r="AR328" s="48"/>
      <c r="AS328" s="48"/>
      <c r="AT328" s="381">
        <v>8</v>
      </c>
      <c r="AU328" s="381">
        <v>4</v>
      </c>
      <c r="AV328" s="380">
        <f>+AT328*2+(AU328-2)*2</f>
        <v>20</v>
      </c>
      <c r="AW328" s="159">
        <v>1.2</v>
      </c>
      <c r="AX328" s="155" t="s">
        <v>538</v>
      </c>
      <c r="AY328" s="180">
        <f>+AV328</f>
        <v>20</v>
      </c>
      <c r="BA328" s="154"/>
      <c r="BB328" s="177" t="s">
        <v>537</v>
      </c>
      <c r="BC328" s="179">
        <v>1.25</v>
      </c>
      <c r="BD328" s="166" t="s">
        <v>526</v>
      </c>
      <c r="BE328" s="154"/>
    </row>
    <row r="329" spans="1:57" ht="15" x14ac:dyDescent="0.25">
      <c r="A329" s="371" t="s">
        <v>756</v>
      </c>
      <c r="B329" s="371" t="s">
        <v>354</v>
      </c>
      <c r="C329" s="371" t="s">
        <v>352</v>
      </c>
      <c r="D329" s="378">
        <v>-2.35</v>
      </c>
      <c r="E329" s="378">
        <v>0.2</v>
      </c>
      <c r="F329" s="378">
        <v>-2.33</v>
      </c>
      <c r="G329" s="378">
        <v>0.04</v>
      </c>
      <c r="H329" s="378">
        <v>-1.25</v>
      </c>
      <c r="I329" s="378">
        <v>0</v>
      </c>
      <c r="K329" s="33"/>
      <c r="L329" t="s">
        <v>801</v>
      </c>
      <c r="M329" s="34">
        <f>D327+D328-D329</f>
        <v>2.92</v>
      </c>
      <c r="N329" s="34">
        <f>E327+E328-E329</f>
        <v>-0.77</v>
      </c>
      <c r="O329" s="34">
        <f>F327+F328-F329</f>
        <v>4.53</v>
      </c>
      <c r="P329" s="34">
        <f>G327+G328-G329</f>
        <v>0.25000000000000006</v>
      </c>
      <c r="Q329" s="34">
        <f>H327+0.25*H328-H329</f>
        <v>1.5075000000000001</v>
      </c>
      <c r="R329" s="35">
        <f>I327+0.25*I328-I329</f>
        <v>0</v>
      </c>
      <c r="S329" s="17"/>
      <c r="T329" s="29"/>
      <c r="U329" s="29" t="s">
        <v>376</v>
      </c>
      <c r="V329" s="23">
        <f t="shared" si="336"/>
        <v>4.53</v>
      </c>
      <c r="W329" s="23">
        <f t="shared" si="336"/>
        <v>0.25000000000000006</v>
      </c>
      <c r="X329" s="23">
        <f t="shared" si="336"/>
        <v>1.5075000000000001</v>
      </c>
      <c r="Y329" s="29"/>
      <c r="Z329" s="31">
        <f>ABS(V329)/AC329/AD329</f>
        <v>2.5166666666666671</v>
      </c>
      <c r="AA329" s="23">
        <f>ABS(+W329/V329)</f>
        <v>5.5187637969094934E-2</v>
      </c>
      <c r="AB329" s="23">
        <f>ABS(X329/V329)</f>
        <v>0.33278145695364236</v>
      </c>
      <c r="AC329" s="36">
        <f t="shared" si="338"/>
        <v>0.6</v>
      </c>
      <c r="AD329" s="37">
        <f t="shared" si="338"/>
        <v>3</v>
      </c>
      <c r="AE329" s="22">
        <f t="shared" si="337"/>
        <v>0.48962472406181012</v>
      </c>
      <c r="AF329" s="22">
        <f t="shared" si="337"/>
        <v>2.3344370860927155</v>
      </c>
      <c r="AG329" s="22">
        <f>AF329*AE329</f>
        <v>1.1429981141178018</v>
      </c>
      <c r="AH329" s="38">
        <f>V329/AG329</f>
        <v>3.963261132321624</v>
      </c>
      <c r="AJ329" s="146" t="s">
        <v>514</v>
      </c>
      <c r="AK329" s="145"/>
      <c r="AL329" s="145"/>
      <c r="AM329" s="145"/>
      <c r="AN329" s="139"/>
      <c r="AO329" s="146" t="s">
        <v>507</v>
      </c>
      <c r="AP329" s="145" t="s">
        <v>626</v>
      </c>
      <c r="AQ329" s="145">
        <f>0.6*AR326</f>
        <v>2100</v>
      </c>
      <c r="AR329" s="212" t="s">
        <v>627</v>
      </c>
      <c r="AS329" s="211">
        <f>+AR330+AR331</f>
        <v>252.1875</v>
      </c>
      <c r="AT329" s="48" t="s">
        <v>515</v>
      </c>
      <c r="AU329" s="48"/>
      <c r="AV329" s="48" t="s">
        <v>518</v>
      </c>
      <c r="AW329" s="160"/>
      <c r="AX329" s="155" t="s">
        <v>524</v>
      </c>
      <c r="AY329" s="182">
        <f>IF(BC328=(1+1/4),+(1+3/8),IF(BC328=1,(1+1/8),IF(BC328=(7/8),1,IF(BC328=(3/4),+(7/8),IF(BC328=(5/8),+(3/4),IF(BC328=(1/2),(9/16),IF(BC328=(3/8),+(7/16),"no valido")))))))</f>
        <v>1.375</v>
      </c>
      <c r="AZ329" s="165" t="s">
        <v>526</v>
      </c>
      <c r="BA329" s="172" t="s">
        <v>531</v>
      </c>
      <c r="BB329" s="178" t="s">
        <v>529</v>
      </c>
      <c r="BC329" s="158">
        <f>+AY330+3</f>
        <v>13.75</v>
      </c>
      <c r="BD329" s="166" t="s">
        <v>526</v>
      </c>
      <c r="BE329" s="172" t="s">
        <v>531</v>
      </c>
    </row>
    <row r="330" spans="1:57" ht="15.75" thickBot="1" x14ac:dyDescent="0.3">
      <c r="A330" s="371" t="s">
        <v>756</v>
      </c>
      <c r="B330" s="371" t="s">
        <v>355</v>
      </c>
      <c r="C330" s="371" t="s">
        <v>352</v>
      </c>
      <c r="D330" s="378">
        <v>0.45</v>
      </c>
      <c r="E330" s="378">
        <v>-0.3</v>
      </c>
      <c r="F330" s="378">
        <v>0.35</v>
      </c>
      <c r="G330" s="378">
        <v>0.22</v>
      </c>
      <c r="H330" s="378">
        <v>0.21</v>
      </c>
      <c r="I330" s="378">
        <v>0</v>
      </c>
      <c r="K330" s="33"/>
      <c r="L330" t="s">
        <v>802</v>
      </c>
      <c r="M330" s="34">
        <f>D327+D328+D330</f>
        <v>1.02</v>
      </c>
      <c r="N330" s="34">
        <f>E327+E328+E330</f>
        <v>-0.87000000000000011</v>
      </c>
      <c r="O330" s="34">
        <f>F327+F328+F330</f>
        <v>2.5500000000000003</v>
      </c>
      <c r="P330" s="34">
        <f>G327+G328+G330</f>
        <v>0.51</v>
      </c>
      <c r="Q330" s="34">
        <f>H327+0.25*H328+H330</f>
        <v>0.46750000000000003</v>
      </c>
      <c r="R330" s="35">
        <f>I327+0.25*I328+I330</f>
        <v>0</v>
      </c>
      <c r="S330" s="17"/>
      <c r="T330" s="29"/>
      <c r="U330" s="29" t="s">
        <v>377</v>
      </c>
      <c r="V330" s="23">
        <f t="shared" si="336"/>
        <v>2.5500000000000003</v>
      </c>
      <c r="W330" s="23">
        <f t="shared" si="336"/>
        <v>0.51</v>
      </c>
      <c r="X330" s="23">
        <f t="shared" si="336"/>
        <v>0.46750000000000003</v>
      </c>
      <c r="Y330" s="29"/>
      <c r="Z330" s="31">
        <f>ABS(V330)/AC330/AD330</f>
        <v>1.416666666666667</v>
      </c>
      <c r="AA330" s="23">
        <f>ABS(+W330/V330)</f>
        <v>0.19999999999999998</v>
      </c>
      <c r="AB330" s="23">
        <f>ABS(X330/V330)</f>
        <v>0.18333333333333332</v>
      </c>
      <c r="AC330" s="36">
        <f t="shared" si="338"/>
        <v>0.6</v>
      </c>
      <c r="AD330" s="37">
        <f t="shared" si="338"/>
        <v>3</v>
      </c>
      <c r="AE330" s="22">
        <f t="shared" si="337"/>
        <v>0.2</v>
      </c>
      <c r="AF330" s="22">
        <f t="shared" si="337"/>
        <v>2.6333333333333333</v>
      </c>
      <c r="AG330" s="22">
        <f>AF330*AE330</f>
        <v>0.52666666666666673</v>
      </c>
      <c r="AH330" s="38">
        <f>V330/AG330</f>
        <v>4.8417721518987342</v>
      </c>
      <c r="AJ330" s="147" t="s">
        <v>500</v>
      </c>
      <c r="AK330" s="24">
        <f>(MAX(V327:V331)+ABS(MAX(W327:W331))/(AL328/1000))*1000</f>
        <v>5550.0000000000009</v>
      </c>
      <c r="AL330" s="150" t="s">
        <v>502</v>
      </c>
      <c r="AM330" s="24">
        <f>+ABS(MAX(AK330:AK331))/(+AK328*2/10+AL328*2/10)/(AP328/10)</f>
        <v>14.9296875</v>
      </c>
      <c r="AN330" s="151" t="str">
        <f>IF(AM330&lt;=AM331,"OK","REDIS")</f>
        <v>OK</v>
      </c>
      <c r="AO330" s="150" t="s">
        <v>508</v>
      </c>
      <c r="AP330" s="24">
        <f>((AO328/10/2-AL328/10/2)/2)*((MAX(ABS(MAX(W327:W331)),ABS(MIN(W327:W331)))*100000))/(AL328/10)</f>
        <v>5100</v>
      </c>
      <c r="AQ330" s="150" t="s">
        <v>510</v>
      </c>
      <c r="AR330" s="24">
        <f>+AP330/(AK328*AP328*AP328/6/10/10/10)</f>
        <v>63.75</v>
      </c>
      <c r="AS330" s="152" t="str">
        <f>IF(AR330&lt;=0.6*AR326*1.1,"OK","REDIS")</f>
        <v>OK</v>
      </c>
      <c r="AT330" s="24" t="s">
        <v>516</v>
      </c>
      <c r="AU330" s="174">
        <f>+AW328*(AP330/100000)/((AO328-AL328)/1000/4)/(AT328-1)</f>
        <v>0.17485714285714282</v>
      </c>
      <c r="AV330" s="24" t="s">
        <v>519</v>
      </c>
      <c r="AW330" s="175">
        <f>+AW328*(ABS(MAX(M327:M331))+ABS(MIN(M327:M331)+ABS(MAX(N327:N331))+ABS(MIN(N327:N331))))/AV328</f>
        <v>0.21359999999999996</v>
      </c>
      <c r="AX330" s="155" t="s">
        <v>525</v>
      </c>
      <c r="AY330" s="383">
        <f>IF(BC328=(1+1/4),+(11-1/4),IF(BC328=1,(9),IF(BC328=(7/8),(7-7/8),IF(BC328=(3/4),+(6-3/4),IF(BC328=(5/8),+(5-5/8),IF(BC328=(1/2),(4-1/2),IF(BC328=(3-3/8),+(7/16),"no valido")))))))</f>
        <v>10.75</v>
      </c>
      <c r="AZ330" s="166" t="s">
        <v>526</v>
      </c>
      <c r="BA330" s="168" t="s">
        <v>533</v>
      </c>
      <c r="BB330" s="153" t="s">
        <v>521</v>
      </c>
      <c r="BC330" s="44">
        <f>+AV328</f>
        <v>20</v>
      </c>
      <c r="BD330" s="166" t="s">
        <v>527</v>
      </c>
      <c r="BE330" s="162" t="s">
        <v>534</v>
      </c>
    </row>
    <row r="331" spans="1:57" ht="15.75" thickBot="1" x14ac:dyDescent="0.3">
      <c r="A331" s="371" t="s">
        <v>756</v>
      </c>
      <c r="B331" s="371" t="s">
        <v>806</v>
      </c>
      <c r="C331" s="371" t="s">
        <v>389</v>
      </c>
      <c r="D331" s="369"/>
      <c r="E331" s="369"/>
      <c r="F331" s="369"/>
      <c r="G331" s="369"/>
      <c r="H331" s="369"/>
      <c r="I331" s="369"/>
      <c r="K331" s="39"/>
      <c r="L331" s="368" t="s">
        <v>803</v>
      </c>
      <c r="M331" s="41">
        <f>D327+D328-D330</f>
        <v>0.12000000000000005</v>
      </c>
      <c r="N331" s="41">
        <f>E327+E328-E330</f>
        <v>-0.27000000000000007</v>
      </c>
      <c r="O331" s="41">
        <f>F327+F328-F330</f>
        <v>1.85</v>
      </c>
      <c r="P331" s="41">
        <f>G327+G328-G330</f>
        <v>7.0000000000000034E-2</v>
      </c>
      <c r="Q331" s="41">
        <f>H327+0.25*H328-H330</f>
        <v>4.7500000000000014E-2</v>
      </c>
      <c r="R331" s="42">
        <f>I327+0.25*I328-I330</f>
        <v>0</v>
      </c>
      <c r="S331" s="17"/>
      <c r="T331" s="29"/>
      <c r="U331" s="29" t="s">
        <v>378</v>
      </c>
      <c r="V331" s="23">
        <f t="shared" si="336"/>
        <v>1.85</v>
      </c>
      <c r="W331" s="23">
        <f t="shared" si="336"/>
        <v>7.0000000000000034E-2</v>
      </c>
      <c r="X331" s="23">
        <f t="shared" si="336"/>
        <v>4.7500000000000014E-2</v>
      </c>
      <c r="Y331" s="29"/>
      <c r="Z331" s="31">
        <f>ABS(V331)/AC331/AD331</f>
        <v>1.0277777777777779</v>
      </c>
      <c r="AA331" s="23">
        <f>ABS(+W331/V331)</f>
        <v>3.7837837837837854E-2</v>
      </c>
      <c r="AB331" s="23">
        <f>ABS(X331/V331)</f>
        <v>2.5675675675675681E-2</v>
      </c>
      <c r="AC331" s="36">
        <f t="shared" si="338"/>
        <v>0.6</v>
      </c>
      <c r="AD331" s="37">
        <f t="shared" si="338"/>
        <v>3</v>
      </c>
      <c r="AE331" s="22">
        <f t="shared" si="337"/>
        <v>0.5243243243243243</v>
      </c>
      <c r="AF331" s="22">
        <f t="shared" si="337"/>
        <v>2.9486486486486485</v>
      </c>
      <c r="AG331" s="22">
        <f>AF331*AE331</f>
        <v>1.5460482103725346</v>
      </c>
      <c r="AH331" s="38">
        <f>V331/AG331</f>
        <v>1.1965991665642985</v>
      </c>
      <c r="AJ331" s="147" t="s">
        <v>501</v>
      </c>
      <c r="AK331" s="24">
        <f>(MAX(V327:V331)+ABS(MAX(X327:X331))/(AK328/1000))*1000</f>
        <v>9555</v>
      </c>
      <c r="AL331" s="150" t="s">
        <v>505</v>
      </c>
      <c r="AM331" s="24">
        <f>+AR326*0.4/3</f>
        <v>466.66666666666669</v>
      </c>
      <c r="AN331" s="24"/>
      <c r="AO331" s="150" t="s">
        <v>509</v>
      </c>
      <c r="AP331" s="24">
        <f>((AN328/10/2-AK328/10/2)/2)*(MAX(+ABS(MAX(X327:X331)),ABS(MIN(X327:X331)))*100000/(AK328/10))</f>
        <v>25125</v>
      </c>
      <c r="AQ331" s="150" t="s">
        <v>511</v>
      </c>
      <c r="AR331" s="24">
        <f>+AP331/(AL328*AP328*AP328/6/1000)</f>
        <v>188.4375</v>
      </c>
      <c r="AS331" s="152" t="str">
        <f>IF(AR331&lt;=0.6*AR326*1.1,"OK","REDIS")</f>
        <v>OK</v>
      </c>
      <c r="AT331" s="24" t="s">
        <v>517</v>
      </c>
      <c r="AU331" s="174">
        <f>+AW328*(AP331/100000)/((AN328-AK328)/1000/4)/(AU328-1)</f>
        <v>2.0099999999999993</v>
      </c>
      <c r="AV331" s="24"/>
      <c r="AW331" s="161"/>
      <c r="AX331" s="156" t="s">
        <v>522</v>
      </c>
      <c r="AY331" s="181">
        <f>IF(AY329=(1+3/8),+AV328/3,IF(AY329=(1+1/8),+AV328/6,IF(AY329=1,+AV328/8,IF(AY329=(7/8),+AV328/11,IF(AY329=0.75,+AV328/18,IF(AY329=(9/16),+AV328/45,IF(AY329=(7/16),+AV328/84,"NO HAY DATO")))))))</f>
        <v>6.666666666666667</v>
      </c>
      <c r="AZ331" s="167" t="s">
        <v>527</v>
      </c>
      <c r="BA331" s="386">
        <f>ROUNDUP(+AY330*2.54,0)</f>
        <v>28</v>
      </c>
      <c r="BB331" s="164" t="s">
        <v>523</v>
      </c>
      <c r="BC331" s="129">
        <f>+BC330*BC329*2.54/100</f>
        <v>6.9850000000000003</v>
      </c>
      <c r="BD331" s="173" t="s">
        <v>528</v>
      </c>
      <c r="BE331" s="385">
        <f>ROUNDUP(+BC329*2.54,0)</f>
        <v>35</v>
      </c>
    </row>
    <row r="336" spans="1:57" x14ac:dyDescent="0.2">
      <c r="AX336">
        <f>5.25*460/2</f>
        <v>1207.5</v>
      </c>
    </row>
    <row r="337" spans="50:50" x14ac:dyDescent="0.2">
      <c r="AX337">
        <f>5.25*230*460/2</f>
        <v>277725</v>
      </c>
    </row>
    <row r="338" spans="50:50" x14ac:dyDescent="0.2">
      <c r="AX338">
        <f>277750/1500</f>
        <v>185.16666666666666</v>
      </c>
    </row>
    <row r="339" spans="50:50" x14ac:dyDescent="0.2">
      <c r="AX339">
        <f>74.06+185</f>
        <v>259.06</v>
      </c>
    </row>
  </sheetData>
  <phoneticPr fontId="11" type="noConversion"/>
  <pageMargins left="0.75" right="0.25" top="1" bottom="0.75" header="0.5" footer="0.5"/>
  <pageSetup paperSize="9" scale="1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64"/>
  <sheetViews>
    <sheetView topLeftCell="A25" workbookViewId="0">
      <selection activeCell="I35" sqref="I35"/>
    </sheetView>
  </sheetViews>
  <sheetFormatPr baseColWidth="10" defaultColWidth="9.140625" defaultRowHeight="12.75" x14ac:dyDescent="0.2"/>
  <cols>
    <col min="1" max="1" width="6.42578125" customWidth="1"/>
    <col min="2" max="2" width="11.42578125" customWidth="1"/>
    <col min="3" max="3" width="16.5703125" customWidth="1"/>
    <col min="4" max="4" width="15.140625" customWidth="1"/>
    <col min="5" max="8" width="14.42578125" customWidth="1"/>
  </cols>
  <sheetData>
    <row r="1" spans="1:8" ht="18" x14ac:dyDescent="0.25">
      <c r="A1" s="7">
        <f>+Hoja1!C2</f>
        <v>0</v>
      </c>
      <c r="B1" s="7"/>
      <c r="C1" s="7"/>
      <c r="D1" s="7"/>
    </row>
    <row r="2" spans="1:8" ht="18" x14ac:dyDescent="0.25">
      <c r="A2" s="7">
        <f>+Hoja1!C3</f>
        <v>0</v>
      </c>
      <c r="B2" s="7"/>
      <c r="C2" s="7"/>
      <c r="D2" s="7"/>
      <c r="E2" s="7"/>
    </row>
    <row r="3" spans="1:8" ht="18" x14ac:dyDescent="0.25">
      <c r="A3" s="7"/>
      <c r="B3" s="7"/>
      <c r="C3" s="7"/>
      <c r="D3" s="7"/>
    </row>
    <row r="4" spans="1:8" ht="15" x14ac:dyDescent="0.25">
      <c r="A4" s="217" t="s">
        <v>740</v>
      </c>
      <c r="B4" s="218"/>
      <c r="C4" s="218"/>
      <c r="D4" s="218"/>
      <c r="E4" s="389" t="s">
        <v>814</v>
      </c>
      <c r="F4" s="389" t="s">
        <v>815</v>
      </c>
    </row>
    <row r="5" spans="1:8" ht="15" x14ac:dyDescent="0.25">
      <c r="A5" s="217"/>
      <c r="B5" s="218"/>
      <c r="C5" s="218"/>
      <c r="D5" s="218"/>
      <c r="E5" s="389" t="s">
        <v>816</v>
      </c>
      <c r="F5" s="389" t="s">
        <v>817</v>
      </c>
    </row>
    <row r="6" spans="1:8" ht="15" x14ac:dyDescent="0.25">
      <c r="A6" s="219" t="s">
        <v>339</v>
      </c>
      <c r="B6" s="219" t="s">
        <v>340</v>
      </c>
      <c r="C6" s="219" t="s">
        <v>341</v>
      </c>
      <c r="D6" s="219" t="s">
        <v>336</v>
      </c>
      <c r="E6" s="219" t="s">
        <v>602</v>
      </c>
      <c r="F6" s="219" t="s">
        <v>603</v>
      </c>
    </row>
    <row r="7" spans="1:8" ht="15.75" thickBot="1" x14ac:dyDescent="0.3">
      <c r="A7" s="348" t="s">
        <v>348</v>
      </c>
      <c r="B7" s="348" t="s">
        <v>348</v>
      </c>
      <c r="C7" s="348" t="s">
        <v>348</v>
      </c>
      <c r="D7" s="348" t="s">
        <v>818</v>
      </c>
      <c r="E7" s="348" t="s">
        <v>167</v>
      </c>
      <c r="F7" s="348" t="s">
        <v>167</v>
      </c>
    </row>
    <row r="8" spans="1:8" ht="15.75" thickTop="1" x14ac:dyDescent="0.25">
      <c r="A8" s="352"/>
      <c r="B8" s="352"/>
      <c r="C8" s="390"/>
      <c r="D8" s="352"/>
      <c r="E8" s="391"/>
      <c r="F8" s="391"/>
    </row>
    <row r="9" spans="1:8" ht="15" x14ac:dyDescent="0.25">
      <c r="A9" s="352"/>
      <c r="C9" s="349" t="s">
        <v>828</v>
      </c>
      <c r="D9" s="352">
        <f>9.34-6.48</f>
        <v>2.8599999999999994</v>
      </c>
      <c r="E9" s="391">
        <v>2.9899999999999999E-2</v>
      </c>
      <c r="F9" s="391">
        <v>4.3400000000000001E-2</v>
      </c>
    </row>
    <row r="10" spans="1:8" ht="15" x14ac:dyDescent="0.25">
      <c r="A10" s="352"/>
      <c r="C10" s="390" t="s">
        <v>492</v>
      </c>
      <c r="D10" s="352">
        <f>6.48-3.6</f>
        <v>2.8800000000000003</v>
      </c>
      <c r="E10" s="391">
        <v>2.3E-2</v>
      </c>
      <c r="F10" s="391">
        <v>3.1600000000000003E-2</v>
      </c>
    </row>
    <row r="11" spans="1:8" ht="15" x14ac:dyDescent="0.25">
      <c r="A11" s="216"/>
      <c r="C11" s="349" t="s">
        <v>491</v>
      </c>
      <c r="D11" s="44">
        <v>3.6</v>
      </c>
      <c r="E11" s="391">
        <v>1.26E-2</v>
      </c>
      <c r="F11" s="391">
        <v>1.4999999999999999E-2</v>
      </c>
    </row>
    <row r="12" spans="1:8" ht="15" x14ac:dyDescent="0.25">
      <c r="A12" s="216"/>
      <c r="C12" s="349"/>
      <c r="D12" s="44"/>
      <c r="E12" s="391"/>
      <c r="F12" s="391"/>
    </row>
    <row r="13" spans="1:8" ht="15" x14ac:dyDescent="0.25">
      <c r="A13" s="216"/>
      <c r="B13" s="9"/>
      <c r="C13" s="9"/>
      <c r="E13" s="190"/>
      <c r="F13" s="190"/>
    </row>
    <row r="14" spans="1:8" ht="15.75" thickBot="1" x14ac:dyDescent="0.3">
      <c r="A14" s="350" t="s">
        <v>605</v>
      </c>
      <c r="B14" s="350"/>
      <c r="C14" s="350"/>
      <c r="D14" s="350"/>
      <c r="E14" s="392"/>
      <c r="F14" s="350"/>
    </row>
    <row r="15" spans="1:8" ht="16.5" thickBot="1" x14ac:dyDescent="0.3">
      <c r="A15" s="350" t="s">
        <v>606</v>
      </c>
      <c r="B15" s="350"/>
      <c r="C15" s="350"/>
      <c r="G15" s="393" t="s">
        <v>615</v>
      </c>
      <c r="H15" s="394">
        <v>4.5</v>
      </c>
    </row>
    <row r="16" spans="1:8" ht="16.5" thickBot="1" x14ac:dyDescent="0.3">
      <c r="B16" s="191"/>
      <c r="C16" s="191"/>
      <c r="D16" s="191"/>
      <c r="G16" s="191"/>
    </row>
    <row r="17" spans="1:8" x14ac:dyDescent="0.2">
      <c r="B17" s="395" t="s">
        <v>335</v>
      </c>
      <c r="C17" s="396" t="s">
        <v>819</v>
      </c>
      <c r="D17" s="397"/>
      <c r="E17" s="396" t="s">
        <v>820</v>
      </c>
      <c r="F17" s="397"/>
      <c r="G17" s="396" t="s">
        <v>821</v>
      </c>
      <c r="H17" s="397"/>
    </row>
    <row r="18" spans="1:8" x14ac:dyDescent="0.2">
      <c r="B18" s="398"/>
      <c r="C18" s="399" t="s">
        <v>602</v>
      </c>
      <c r="D18" s="400" t="s">
        <v>603</v>
      </c>
      <c r="E18" s="399" t="s">
        <v>602</v>
      </c>
      <c r="F18" s="400" t="s">
        <v>603</v>
      </c>
      <c r="G18" s="399" t="s">
        <v>602</v>
      </c>
      <c r="H18" s="400" t="s">
        <v>603</v>
      </c>
    </row>
    <row r="19" spans="1:8" ht="13.5" thickBot="1" x14ac:dyDescent="0.25">
      <c r="B19" s="401" t="s">
        <v>336</v>
      </c>
      <c r="C19" s="402" t="s">
        <v>167</v>
      </c>
      <c r="D19" s="403" t="s">
        <v>167</v>
      </c>
      <c r="E19" s="404" t="s">
        <v>167</v>
      </c>
      <c r="F19" s="405" t="s">
        <v>167</v>
      </c>
      <c r="G19" s="404" t="s">
        <v>167</v>
      </c>
      <c r="H19" s="405" t="s">
        <v>167</v>
      </c>
    </row>
    <row r="20" spans="1:8" x14ac:dyDescent="0.2">
      <c r="B20" s="184"/>
      <c r="C20" s="406" t="s">
        <v>822</v>
      </c>
      <c r="D20" s="406" t="s">
        <v>823</v>
      </c>
      <c r="E20" s="406" t="s">
        <v>822</v>
      </c>
      <c r="F20" s="406" t="s">
        <v>823</v>
      </c>
      <c r="G20" s="406" t="s">
        <v>822</v>
      </c>
      <c r="H20" s="406" t="s">
        <v>823</v>
      </c>
    </row>
    <row r="21" spans="1:8" x14ac:dyDescent="0.2">
      <c r="B21" s="407"/>
      <c r="C21" s="408"/>
      <c r="D21" s="408"/>
      <c r="E21" s="409"/>
      <c r="F21" s="409"/>
      <c r="G21" s="409"/>
      <c r="H21" s="409"/>
    </row>
    <row r="22" spans="1:8" x14ac:dyDescent="0.2">
      <c r="B22" s="407">
        <f>+D9</f>
        <v>2.8599999999999994</v>
      </c>
      <c r="C22" s="408">
        <f t="shared" ref="C22:D24" si="0">+E9-E10</f>
        <v>6.8999999999999999E-3</v>
      </c>
      <c r="D22" s="408">
        <f t="shared" si="0"/>
        <v>1.1799999999999998E-2</v>
      </c>
      <c r="E22" s="409">
        <f>0.75*C22/B22</f>
        <v>1.8094405594405597E-3</v>
      </c>
      <c r="F22" s="409">
        <f>0.75*D22/B22</f>
        <v>3.0944055944055943E-3</v>
      </c>
      <c r="G22" s="409">
        <f>0.75*C22*$H$15/D9</f>
        <v>8.1424825174825181E-3</v>
      </c>
      <c r="H22" s="409">
        <f>0.75*D22*$H$15/D9</f>
        <v>1.3924825174825175E-2</v>
      </c>
    </row>
    <row r="23" spans="1:8" x14ac:dyDescent="0.2">
      <c r="B23" s="407">
        <f>+D10</f>
        <v>2.8800000000000003</v>
      </c>
      <c r="C23" s="408">
        <f t="shared" si="0"/>
        <v>1.04E-2</v>
      </c>
      <c r="D23" s="408">
        <f t="shared" si="0"/>
        <v>1.6600000000000004E-2</v>
      </c>
      <c r="E23" s="409">
        <f>0.75*C23/B23</f>
        <v>2.708333333333333E-3</v>
      </c>
      <c r="F23" s="409">
        <f>0.75*D23/B23</f>
        <v>4.3229166666666667E-3</v>
      </c>
      <c r="G23" s="409">
        <f>0.75*C23*$H$15/D10</f>
        <v>1.2187499999999999E-2</v>
      </c>
      <c r="H23" s="409">
        <f>0.75*D23*$H$15/D10</f>
        <v>1.9453125000000002E-2</v>
      </c>
    </row>
    <row r="24" spans="1:8" x14ac:dyDescent="0.2">
      <c r="B24" s="407">
        <f>D11</f>
        <v>3.6</v>
      </c>
      <c r="C24" s="410">
        <f t="shared" si="0"/>
        <v>1.26E-2</v>
      </c>
      <c r="D24" s="410">
        <f t="shared" si="0"/>
        <v>1.4999999999999999E-2</v>
      </c>
      <c r="E24" s="409">
        <f>0.75*C24/B24</f>
        <v>2.6250000000000002E-3</v>
      </c>
      <c r="F24" s="409">
        <f>0.75*D24/B24</f>
        <v>3.1249999999999997E-3</v>
      </c>
      <c r="G24" s="409">
        <f>0.75*C24*$H$15/D11</f>
        <v>1.18125E-2</v>
      </c>
      <c r="H24" s="409">
        <f>0.75*D24*$H$15/D11</f>
        <v>1.4062499999999999E-2</v>
      </c>
    </row>
    <row r="25" spans="1:8" ht="13.5" thickBot="1" x14ac:dyDescent="0.25">
      <c r="B25" s="411"/>
      <c r="C25" s="412"/>
      <c r="D25" s="412"/>
      <c r="E25" s="413"/>
      <c r="F25" s="412"/>
      <c r="G25" s="413"/>
      <c r="H25" s="412"/>
    </row>
    <row r="26" spans="1:8" ht="13.5" thickBot="1" x14ac:dyDescent="0.25"/>
    <row r="27" spans="1:8" ht="15.75" x14ac:dyDescent="0.25">
      <c r="A27" s="191" t="s">
        <v>604</v>
      </c>
      <c r="B27" s="191"/>
      <c r="C27" s="192"/>
      <c r="E27" s="414" t="s">
        <v>822</v>
      </c>
      <c r="F27" s="414" t="s">
        <v>823</v>
      </c>
      <c r="G27" s="414" t="s">
        <v>822</v>
      </c>
      <c r="H27" s="414" t="s">
        <v>823</v>
      </c>
    </row>
    <row r="28" spans="1:8" ht="16.5" thickBot="1" x14ac:dyDescent="0.3">
      <c r="B28" s="191"/>
      <c r="C28" s="192"/>
      <c r="E28" s="415">
        <f>MAX(E21:E24)</f>
        <v>2.708333333333333E-3</v>
      </c>
      <c r="F28" s="415">
        <f>MAX(F21:F24)</f>
        <v>4.3229166666666667E-3</v>
      </c>
      <c r="G28" s="415">
        <f>MAX(G21:G24)</f>
        <v>1.2187499999999999E-2</v>
      </c>
      <c r="H28" s="415">
        <f>MAX(H21:H24)</f>
        <v>1.9453125000000002E-2</v>
      </c>
    </row>
    <row r="30" spans="1:8" ht="15.75" x14ac:dyDescent="0.25">
      <c r="A30" s="191" t="s">
        <v>760</v>
      </c>
      <c r="G30" s="416"/>
    </row>
    <row r="32" spans="1:8" x14ac:dyDescent="0.2">
      <c r="A32" s="8" t="s">
        <v>824</v>
      </c>
    </row>
    <row r="34" spans="1:8" x14ac:dyDescent="0.2">
      <c r="A34" s="417" t="str">
        <f>+C17</f>
        <v>DESPLAZ. RELATIV. ELASTICO</v>
      </c>
      <c r="B34" s="417"/>
      <c r="C34" s="417"/>
      <c r="D34" s="417" t="s">
        <v>379</v>
      </c>
      <c r="E34" s="417" t="s">
        <v>825</v>
      </c>
      <c r="F34" s="417"/>
      <c r="G34" s="417"/>
      <c r="H34" s="417"/>
    </row>
    <row r="35" spans="1:8" x14ac:dyDescent="0.2">
      <c r="A35" s="417" t="str">
        <f>+E17</f>
        <v>DERIVAS ELASTICAS</v>
      </c>
      <c r="B35" s="417"/>
      <c r="C35" s="417"/>
      <c r="D35" s="417" t="s">
        <v>379</v>
      </c>
      <c r="E35" s="417" t="s">
        <v>826</v>
      </c>
      <c r="F35" s="417"/>
      <c r="G35" s="417"/>
      <c r="H35" s="417"/>
    </row>
    <row r="36" spans="1:8" x14ac:dyDescent="0.2">
      <c r="A36" s="417" t="str">
        <f>+G17</f>
        <v>DERIVAS INELASTICAS</v>
      </c>
      <c r="B36" s="417"/>
      <c r="C36" s="417"/>
      <c r="D36" s="417" t="s">
        <v>379</v>
      </c>
      <c r="E36" s="417" t="s">
        <v>827</v>
      </c>
      <c r="F36" s="417"/>
      <c r="G36" s="417"/>
      <c r="H36" s="417"/>
    </row>
    <row r="42" spans="1:8" s="112" customFormat="1" x14ac:dyDescent="0.2"/>
    <row r="219" s="112" customFormat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409" hidden="1" x14ac:dyDescent="0.2"/>
    <row r="410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</sheetData>
  <pageMargins left="0.7" right="0.7" top="0.75" bottom="0.75" header="0.3" footer="0.3"/>
  <pageSetup paperSize="9" scale="2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60" zoomScaleNormal="60" workbookViewId="0">
      <selection activeCell="AF39" sqref="AF39"/>
    </sheetView>
  </sheetViews>
  <sheetFormatPr baseColWidth="10" defaultColWidth="9.140625" defaultRowHeight="12.75" x14ac:dyDescent="0.2"/>
  <sheetData/>
  <pageMargins left="0.7" right="0.2" top="0.75" bottom="0.25" header="0" footer="0"/>
  <pageSetup paperSize="9" scale="4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MEMORIACALCULO</vt:lpstr>
      <vt:lpstr>ESPECIFICACIONES</vt:lpstr>
      <vt:lpstr>cim</vt:lpstr>
      <vt:lpstr>derivas</vt:lpstr>
      <vt:lpstr>fotogramas</vt:lpstr>
    </vt:vector>
  </TitlesOfParts>
  <Company>Ponguillo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Fausto</dc:creator>
  <cp:lastModifiedBy>Usuario</cp:lastModifiedBy>
  <cp:lastPrinted>2023-03-02T00:53:53Z</cp:lastPrinted>
  <dcterms:created xsi:type="dcterms:W3CDTF">2004-03-18T14:54:52Z</dcterms:created>
  <dcterms:modified xsi:type="dcterms:W3CDTF">2023-03-16T22:59:16Z</dcterms:modified>
</cp:coreProperties>
</file>