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rvfs01\JURIDI\Carpeta 2022\GERENCIA JURIDICA\ordenanza drenaje pluvial\28 11\"/>
    </mc:Choice>
  </mc:AlternateContent>
  <xr:revisionPtr revIDLastSave="0" documentId="8_{C3411175-296D-4EE0-9AF0-220E413FAA5B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Flujo de Caja" sheetId="10" r:id="rId1"/>
    <sheet name="Proyección 24012022" sheetId="4" r:id="rId2"/>
    <sheet name="% Crecimiento OP y MANT" sheetId="9" state="hidden" r:id="rId3"/>
    <sheet name="Inversiones Pasadas" sheetId="3" r:id="rId4"/>
    <sheet name="Grafica" sheetId="8" r:id="rId5"/>
    <sheet name="Proyección 09122021" sheetId="1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" localSheetId="3" hidden="1">'[1]CART-VEN'!#REF!</definedName>
    <definedName name="__123Graph_A" localSheetId="5" hidden="1">'[1]CART-VEN'!#REF!</definedName>
    <definedName name="__123Graph_A" localSheetId="1" hidden="1">'[1]CART-VEN'!#REF!</definedName>
    <definedName name="__123Graph_A" hidden="1">'[1]CART-VEN'!#REF!</definedName>
    <definedName name="__123Graph_ACAR3MES" hidden="1">'[1]CART-VEN'!$C$10:$C$12</definedName>
    <definedName name="__123Graph_ACAR3MMES" hidden="1">'[1]CART-VEN'!$C$22:$C$24</definedName>
    <definedName name="__123Graph_ACARTOTAL" localSheetId="3" hidden="1">'[1]CART-VEN'!#REF!</definedName>
    <definedName name="__123Graph_ACARTOTAL" localSheetId="5" hidden="1">'[1]CART-VEN'!#REF!</definedName>
    <definedName name="__123Graph_ACARTOTAL" localSheetId="1" hidden="1">'[1]CART-VEN'!#REF!</definedName>
    <definedName name="__123Graph_ACARTOTAL" hidden="1">'[1]CART-VEN'!#REF!</definedName>
    <definedName name="__123Graph_B" localSheetId="3" hidden="1">'[1]CART-VEN'!#REF!</definedName>
    <definedName name="__123Graph_B" localSheetId="5" hidden="1">'[1]CART-VEN'!#REF!</definedName>
    <definedName name="__123Graph_B" localSheetId="1" hidden="1">'[1]CART-VEN'!#REF!</definedName>
    <definedName name="__123Graph_B" hidden="1">'[1]CART-VEN'!#REF!</definedName>
    <definedName name="__123Graph_BCAR3MES" hidden="1">'[1]CART-VEN'!$E$10:$E$12</definedName>
    <definedName name="__123Graph_BCAR3MMES" hidden="1">'[1]CART-VEN'!$E$22:$E$24</definedName>
    <definedName name="__123Graph_BCARTOTAL" localSheetId="3" hidden="1">'[1]CART-VEN'!#REF!</definedName>
    <definedName name="__123Graph_BCARTOTAL" localSheetId="5" hidden="1">'[1]CART-VEN'!#REF!</definedName>
    <definedName name="__123Graph_BCARTOTAL" localSheetId="1" hidden="1">'[1]CART-VEN'!#REF!</definedName>
    <definedName name="__123Graph_BCARTOTAL" hidden="1">'[1]CART-VEN'!#REF!</definedName>
    <definedName name="__123Graph_X" localSheetId="3" hidden="1">'[1]CART-VEN'!#REF!</definedName>
    <definedName name="__123Graph_X" localSheetId="5" hidden="1">'[1]CART-VEN'!#REF!</definedName>
    <definedName name="__123Graph_X" localSheetId="1" hidden="1">'[1]CART-VEN'!#REF!</definedName>
    <definedName name="__123Graph_X" hidden="1">'[1]CART-VEN'!#REF!</definedName>
    <definedName name="__123Graph_XCAR3MES" localSheetId="3" hidden="1">'[1]CART-VEN'!#REF!</definedName>
    <definedName name="__123Graph_XCAR3MES" localSheetId="5" hidden="1">'[1]CART-VEN'!#REF!</definedName>
    <definedName name="__123Graph_XCAR3MES" localSheetId="1" hidden="1">'[1]CART-VEN'!#REF!</definedName>
    <definedName name="__123Graph_XCAR3MES" hidden="1">'[1]CART-VEN'!#REF!</definedName>
    <definedName name="__123Graph_XCAR3MMES" localSheetId="3" hidden="1">'[1]CART-VEN'!#REF!</definedName>
    <definedName name="__123Graph_XCAR3MMES" localSheetId="5" hidden="1">'[1]CART-VEN'!#REF!</definedName>
    <definedName name="__123Graph_XCAR3MMES" localSheetId="1" hidden="1">'[1]CART-VEN'!#REF!</definedName>
    <definedName name="__123Graph_XCAR3MMES" hidden="1">'[1]CART-VEN'!#REF!</definedName>
    <definedName name="__123Graph_XCARTOTAL" localSheetId="3" hidden="1">'[1]CART-VEN'!#REF!</definedName>
    <definedName name="__123Graph_XCARTOTAL" localSheetId="5" hidden="1">'[1]CART-VEN'!#REF!</definedName>
    <definedName name="__123Graph_XCARTOTAL" localSheetId="1" hidden="1">'[1]CART-VEN'!#REF!</definedName>
    <definedName name="__123Graph_XCARTOTAL" hidden="1">'[1]CART-VEN'!#REF!</definedName>
    <definedName name="_124Graph_ACARTOTAL" localSheetId="3" hidden="1">'[1]CART-VEN'!#REF!</definedName>
    <definedName name="_124Graph_ACARTOTAL" localSheetId="5" hidden="1">'[1]CART-VEN'!#REF!</definedName>
    <definedName name="_124Graph_ACARTOTAL" localSheetId="1" hidden="1">'[1]CART-VEN'!#REF!</definedName>
    <definedName name="_124Graph_ACARTOTAL" hidden="1">'[1]CART-VEN'!#REF!</definedName>
    <definedName name="A" localSheetId="3">#REF!</definedName>
    <definedName name="A" localSheetId="5">#REF!</definedName>
    <definedName name="A" localSheetId="1">#REF!</definedName>
    <definedName name="A">#REF!</definedName>
    <definedName name="AA" localSheetId="3">#REF!</definedName>
    <definedName name="AA" localSheetId="5">#REF!</definedName>
    <definedName name="AA" localSheetId="1">#REF!</definedName>
    <definedName name="AA">#REF!</definedName>
    <definedName name="Arial" localSheetId="3">#REF!</definedName>
    <definedName name="Arial" localSheetId="5">#REF!</definedName>
    <definedName name="Arial" localSheetId="1">#REF!</definedName>
    <definedName name="Arial">#REF!</definedName>
    <definedName name="Ast_accumulated_depcn_chg">[2]Deprec!$C$193:$AS$193</definedName>
    <definedName name="Ast_depcn_charge">[2]Deprec!$C$125:$AS$125</definedName>
    <definedName name="Ast_total_fxd_assets">[2]Deprec!$C$192:$AS$192</definedName>
    <definedName name="Ast_WIP">[2]Deprec!$C$37:$BK$37</definedName>
    <definedName name="_xlnm.Database" localSheetId="3">#REF!</definedName>
    <definedName name="_xlnm.Database" localSheetId="5">#REF!</definedName>
    <definedName name="_xlnm.Database" localSheetId="1">#REF!</definedName>
    <definedName name="_xlnm.Database">#REF!</definedName>
    <definedName name="Beg_Bal" localSheetId="3">#REF!</definedName>
    <definedName name="Beg_Bal" localSheetId="5">#REF!</definedName>
    <definedName name="Beg_Bal" localSheetId="1">#REF!</definedName>
    <definedName name="Beg_Bal">#REF!</definedName>
    <definedName name="BG">'[3]50MM 15 AÑOS'!$D$13</definedName>
    <definedName name="BID" localSheetId="3">MATCH(0.01,'Inversiones Pasadas'!End_Bal,-1)+1</definedName>
    <definedName name="BID" localSheetId="5">MATCH(0.01,'Proyección 09122021'!End_Bal,-1)+1</definedName>
    <definedName name="BID" localSheetId="1">MATCH(0.01,'Proyección 24012022'!End_Bal,-1)+1</definedName>
    <definedName name="BID">MATCH(0.01,End_Bal,-1)+1</definedName>
    <definedName name="cambio">#N/A</definedName>
    <definedName name="CashF_Capital_repaid">[2]CFS!$C$91:$AS$91</definedName>
    <definedName name="CashF_Dividends">[2]CFS!$C$80:$AS$80</definedName>
    <definedName name="CashF_EOY_bal">[2]CFS!$C$101:$AS$101</definedName>
    <definedName name="CashF_Operations_equity_call">[2]CFS!$C$103:$AS$103</definedName>
    <definedName name="CashF_release_of_WC">[2]CFS!$C$89:$AS$89</definedName>
    <definedName name="CashF_witholding_Tax">[2]CFS!$C$81:$AS$81</definedName>
    <definedName name="CFS_ROC">[2]CFS!$C$82:$AS$82</definedName>
    <definedName name="change">'[4]Chiffres clés'!$Y$20</definedName>
    <definedName name="CNXAGUA" localSheetId="3">#REF!</definedName>
    <definedName name="CNXAGUA" localSheetId="5">#REF!</definedName>
    <definedName name="CNXAGUA" localSheetId="1">#REF!</definedName>
    <definedName name="CNXAGUA">#REF!</definedName>
    <definedName name="CNXALCA" localSheetId="3">#REF!</definedName>
    <definedName name="CNXALCA" localSheetId="5">#REF!</definedName>
    <definedName name="CNXALCA" localSheetId="1">#REF!</definedName>
    <definedName name="CNXALCA">#REF!</definedName>
    <definedName name="CNXCONSUL" localSheetId="3">#REF!</definedName>
    <definedName name="CNXCONSUL" localSheetId="5">#REF!</definedName>
    <definedName name="CNXCONSUL" localSheetId="1">#REF!</definedName>
    <definedName name="CNXCONSUL">#REF!</definedName>
    <definedName name="CNXMAQYEQUIP" localSheetId="3">#REF!</definedName>
    <definedName name="CNXMAQYEQUIP" localSheetId="5">#REF!</definedName>
    <definedName name="CNXMAQYEQUIP" localSheetId="1">#REF!</definedName>
    <definedName name="CNXMAQYEQUIP">#REF!</definedName>
    <definedName name="CNXMAQYEQUIPDURACION" localSheetId="3">#REF!</definedName>
    <definedName name="CNXMAQYEQUIPDURACION" localSheetId="5">#REF!</definedName>
    <definedName name="CNXMAQYEQUIPDURACION" localSheetId="1">#REF!</definedName>
    <definedName name="CNXMAQYEQUIPDURACION">#REF!</definedName>
    <definedName name="CNXMED" localSheetId="3">#REF!</definedName>
    <definedName name="CNXMED" localSheetId="5">#REF!</definedName>
    <definedName name="CNXMED" localSheetId="1">#REF!</definedName>
    <definedName name="CNXMED">#REF!</definedName>
    <definedName name="CNXOTROSSERVGENERALES" localSheetId="3">#REF!</definedName>
    <definedName name="CNXOTROSSERVGENERALES" localSheetId="5">#REF!</definedName>
    <definedName name="CNXOTROSSERVGENERALES" localSheetId="1">#REF!</definedName>
    <definedName name="CNXOTROSSERVGENERALES">#REF!</definedName>
    <definedName name="CNXPUBLICIDAD" localSheetId="3">#REF!</definedName>
    <definedName name="CNXPUBLICIDAD" localSheetId="5">#REF!</definedName>
    <definedName name="CNXPUBLICIDAD" localSheetId="1">#REF!</definedName>
    <definedName name="CNXPUBLICIDAD">#REF!</definedName>
    <definedName name="CNXREPYACC" localSheetId="3">#REF!</definedName>
    <definedName name="CNXREPYACC" localSheetId="5">#REF!</definedName>
    <definedName name="CNXREPYACC" localSheetId="1">#REF!</definedName>
    <definedName name="CNXREPYACC">#REF!</definedName>
    <definedName name="CONSUMO_DE_ENERGIA_1994" localSheetId="3">#REF!</definedName>
    <definedName name="CONSUMO_DE_ENERGIA_1994" localSheetId="5">#REF!</definedName>
    <definedName name="CONSUMO_DE_ENERGIA_1994" localSheetId="1">#REF!</definedName>
    <definedName name="CONSUMO_DE_ENERGIA_1994">#REF!</definedName>
    <definedName name="Ctos2015NIIF" localSheetId="3" hidden="1">'[1]CART-VEN'!#REF!</definedName>
    <definedName name="Ctos2015NIIF" localSheetId="5" hidden="1">'[1]CART-VEN'!#REF!</definedName>
    <definedName name="Ctos2015NIIF" localSheetId="1" hidden="1">'[1]CART-VEN'!#REF!</definedName>
    <definedName name="Ctos2015NIIF" hidden="1">'[1]CART-VEN'!#REF!</definedName>
    <definedName name="Data" localSheetId="3">#REF!</definedName>
    <definedName name="Data" localSheetId="5">#REF!</definedName>
    <definedName name="Data" localSheetId="1">#REF!</definedName>
    <definedName name="Data">#REF!</definedName>
    <definedName name="Date">'[4]Infos générales'!$H$12</definedName>
    <definedName name="Debt_Inh_loan_EOY_bal">[2]Debt!$C$34:$AS$34</definedName>
    <definedName name="Debt_Inh_loan_total_int">[2]Debt!$C$79:$AS$79</definedName>
    <definedName name="Debt_Interest_On_Cash_Balance">[2]Debt!$C$277:$AS$277</definedName>
    <definedName name="Debt_LC_cost_DSR">[2]Debt!$C$54:$AS$54</definedName>
    <definedName name="Debt_term_loan_EOY_bal">[2]Debt!$C$32:$AS$32</definedName>
    <definedName name="Debt_total_realised_FX.loss">[2]Debt!$C$47:$AS$47</definedName>
    <definedName name="Debt_Tranche1_EOY_CL_Balance">[2]Debt!$C$30:$AS$30</definedName>
    <definedName name="Debt_tranche1_int">[2]Debt!$C$57:$AS$57</definedName>
    <definedName name="Debt_TRanche2_EOY_CL_Balance">[2]Debt!$C$31:$AS$31</definedName>
    <definedName name="Debt_tranche2_int">[2]Debt!$C$66:$AS$66</definedName>
    <definedName name="Debt_unrealised.FX_losses">[2]Debt!$C$35:$AS$35</definedName>
    <definedName name="DEUDA" localSheetId="3">#REF!</definedName>
    <definedName name="DEUDA" localSheetId="5">#REF!</definedName>
    <definedName name="DEUDA" localSheetId="1">#REF!</definedName>
    <definedName name="DEUDA">#REF!</definedName>
    <definedName name="devise">'[4]Infos générales'!$H$10</definedName>
    <definedName name="DIAS" localSheetId="3">#REF!</definedName>
    <definedName name="DIAS" localSheetId="5">#REF!</definedName>
    <definedName name="DIAS" localSheetId="1">#REF!</definedName>
    <definedName name="DIAS">#REF!</definedName>
    <definedName name="EGRESOS_BEDE11548" localSheetId="3">#REF!</definedName>
    <definedName name="EGRESOS_BEDE11548" localSheetId="5">#REF!</definedName>
    <definedName name="EGRESOS_BEDE11548" localSheetId="1">#REF!</definedName>
    <definedName name="EGRESOS_BEDE11548">#REF!</definedName>
    <definedName name="EGRESOS_BID0380" localSheetId="3">#REF!</definedName>
    <definedName name="EGRESOS_BID0380" localSheetId="5">#REF!</definedName>
    <definedName name="EGRESOS_BID0380" localSheetId="1">#REF!</definedName>
    <definedName name="EGRESOS_BID0380">#REF!</definedName>
    <definedName name="EGRESOS_BID381" localSheetId="3">#REF!</definedName>
    <definedName name="EGRESOS_BID381" localSheetId="5">#REF!</definedName>
    <definedName name="EGRESOS_BID381" localSheetId="1">#REF!</definedName>
    <definedName name="EGRESOS_BID381">#REF!</definedName>
    <definedName name="EGRESOS_CAF015" localSheetId="3">#REF!</definedName>
    <definedName name="EGRESOS_CAF015" localSheetId="5">#REF!</definedName>
    <definedName name="EGRESOS_CAF015" localSheetId="1">#REF!</definedName>
    <definedName name="EGRESOS_CAF015">#REF!</definedName>
    <definedName name="EGRESOS_CAF0619" localSheetId="3">#REF!</definedName>
    <definedName name="EGRESOS_CAF0619" localSheetId="5">#REF!</definedName>
    <definedName name="EGRESOS_CAF0619" localSheetId="1">#REF!</definedName>
    <definedName name="EGRESOS_CAF0619">#REF!</definedName>
    <definedName name="EGRESOS_ESPBID" localSheetId="3">#REF!</definedName>
    <definedName name="EGRESOS_ESPBID" localSheetId="5">#REF!</definedName>
    <definedName name="EGRESOS_ESPBID" localSheetId="1">#REF!</definedName>
    <definedName name="EGRESOS_ESPBID">#REF!</definedName>
    <definedName name="EGRESOS_ESPCAF" localSheetId="3">#REF!</definedName>
    <definedName name="EGRESOS_ESPCAF" localSheetId="5">#REF!</definedName>
    <definedName name="EGRESOS_ESPCAF" localSheetId="1">#REF!</definedName>
    <definedName name="EGRESOS_ESPCAF">#REF!</definedName>
    <definedName name="EGRESOS_MANTE" localSheetId="3">#REF!</definedName>
    <definedName name="EGRESOS_MANTE" localSheetId="5">#REF!</definedName>
    <definedName name="EGRESOS_MANTE" localSheetId="1">#REF!</definedName>
    <definedName name="EGRESOS_MANTE">#REF!</definedName>
    <definedName name="EGRESOS_QAV0939" localSheetId="3">#REF!</definedName>
    <definedName name="EGRESOS_QAV0939" localSheetId="5">#REF!</definedName>
    <definedName name="EGRESOS_QAV0939" localSheetId="1">#REF!</definedName>
    <definedName name="EGRESOS_QAV0939">#REF!</definedName>
    <definedName name="End_Bal" localSheetId="3">#REF!</definedName>
    <definedName name="End_Bal" localSheetId="5">#REF!</definedName>
    <definedName name="End_Bal" localSheetId="1">#REF!</definedName>
    <definedName name="End_Bal">#REF!</definedName>
    <definedName name="Extra_Pay" localSheetId="3">#REF!</definedName>
    <definedName name="Extra_Pay" localSheetId="5">#REF!</definedName>
    <definedName name="Extra_Pay" localSheetId="1">#REF!</definedName>
    <definedName name="Extra_Pay">#REF!</definedName>
    <definedName name="Full_Print" localSheetId="3">#REF!</definedName>
    <definedName name="Full_Print" localSheetId="5">#REF!</definedName>
    <definedName name="Full_Print" localSheetId="1">#REF!</definedName>
    <definedName name="Full_Print">#REF!</definedName>
    <definedName name="G" localSheetId="3">ROW(#REF!)</definedName>
    <definedName name="G" localSheetId="5">ROW(#REF!)</definedName>
    <definedName name="G" localSheetId="1">ROW(#REF!)</definedName>
    <definedName name="G">ROW(#REF!)</definedName>
    <definedName name="globa1" localSheetId="3">#REF!</definedName>
    <definedName name="globa1" localSheetId="5">#REF!</definedName>
    <definedName name="globa1" localSheetId="1">#REF!</definedName>
    <definedName name="globa1">#REF!</definedName>
    <definedName name="GLOBAL" localSheetId="3">#REF!</definedName>
    <definedName name="GLOBAL" localSheetId="5">#REF!</definedName>
    <definedName name="GLOBAL" localSheetId="1">#REF!</definedName>
    <definedName name="GLOBAL">#REF!</definedName>
    <definedName name="Header_Row" localSheetId="3">ROW(#REF!)</definedName>
    <definedName name="Header_Row" localSheetId="5">ROW(#REF!)</definedName>
    <definedName name="Header_Row" localSheetId="1">ROW(#REF!)</definedName>
    <definedName name="Header_Row">ROW(#REF!)</definedName>
    <definedName name="i">[5]Hoja1!$B$13</definedName>
    <definedName name="INGRESOS_BEDE11548" localSheetId="3">#REF!</definedName>
    <definedName name="INGRESOS_BEDE11548" localSheetId="5">#REF!</definedName>
    <definedName name="INGRESOS_BEDE11548" localSheetId="1">#REF!</definedName>
    <definedName name="INGRESOS_BEDE11548">#REF!</definedName>
    <definedName name="INGRESOS_BID0380" localSheetId="3">#REF!</definedName>
    <definedName name="INGRESOS_BID0380" localSheetId="5">#REF!</definedName>
    <definedName name="INGRESOS_BID0380" localSheetId="1">#REF!</definedName>
    <definedName name="INGRESOS_BID0380">#REF!</definedName>
    <definedName name="INGRESOS_BID381" localSheetId="3">#REF!</definedName>
    <definedName name="INGRESOS_BID381" localSheetId="5">#REF!</definedName>
    <definedName name="INGRESOS_BID381" localSheetId="1">#REF!</definedName>
    <definedName name="INGRESOS_BID381">#REF!</definedName>
    <definedName name="INGRESOS_CAF015" localSheetId="3">#REF!</definedName>
    <definedName name="INGRESOS_CAF015" localSheetId="5">#REF!</definedName>
    <definedName name="INGRESOS_CAF015" localSheetId="1">#REF!</definedName>
    <definedName name="INGRESOS_CAF015">#REF!</definedName>
    <definedName name="INGRESOS_CAF0619" localSheetId="3">#REF!</definedName>
    <definedName name="INGRESOS_CAF0619" localSheetId="5">#REF!</definedName>
    <definedName name="INGRESOS_CAF0619" localSheetId="1">#REF!</definedName>
    <definedName name="INGRESOS_CAF0619">#REF!</definedName>
    <definedName name="INGRESOS_ESPBID" localSheetId="3">#REF!</definedName>
    <definedName name="INGRESOS_ESPBID" localSheetId="5">#REF!</definedName>
    <definedName name="INGRESOS_ESPBID" localSheetId="1">#REF!</definedName>
    <definedName name="INGRESOS_ESPBID">#REF!</definedName>
    <definedName name="INGRESOS_ESPCAF" localSheetId="3">#REF!</definedName>
    <definedName name="INGRESOS_ESPCAF" localSheetId="5">#REF!</definedName>
    <definedName name="INGRESOS_ESPCAF" localSheetId="1">#REF!</definedName>
    <definedName name="INGRESOS_ESPCAF">#REF!</definedName>
    <definedName name="INGRESOS_MANTE" localSheetId="3">#REF!</definedName>
    <definedName name="INGRESOS_MANTE" localSheetId="5">#REF!</definedName>
    <definedName name="INGRESOS_MANTE" localSheetId="1">#REF!</definedName>
    <definedName name="INGRESOS_MANTE">#REF!</definedName>
    <definedName name="INGRESOS_QAV0939" localSheetId="3">#REF!</definedName>
    <definedName name="INGRESOS_QAV0939" localSheetId="5">#REF!</definedName>
    <definedName name="INGRESOS_QAV0939" localSheetId="1">#REF!</definedName>
    <definedName name="INGRESOS_QAV0939">#REF!</definedName>
    <definedName name="Inp_BS_Retained_earnings_c.fwd">[2]Input!$C$466</definedName>
    <definedName name="Inp_BS_Shldr_Equity_b.fwd">[2]Input!$C$464</definedName>
    <definedName name="Inp_conc_period">[2]Input!$C$17</definedName>
    <definedName name="Inp_concession_flag">[2]Input!$C$30:$AU$30</definedName>
    <definedName name="Inp_LC_DSR">[2]Input!$C$301</definedName>
    <definedName name="Inp_Legal_Reserve_Maximum_Pct">[2]Input!$C$267</definedName>
    <definedName name="Inp_Legal_Reserve_Pct">[2]Input!$C$266</definedName>
    <definedName name="Inp_release_WC.at.end">[2]Input!$C$347</definedName>
    <definedName name="Inp_Revenue_PYF">[2]Input!$C$33:$AS$33</definedName>
    <definedName name="Inp_VAT_Refundable">[2]Input!$C$394</definedName>
    <definedName name="Int" localSheetId="3">#REF!</definedName>
    <definedName name="Int" localSheetId="5">#REF!</definedName>
    <definedName name="Int" localSheetId="1">#REF!</definedName>
    <definedName name="Int">#REF!</definedName>
    <definedName name="Interest_Rate" localSheetId="3">#REF!</definedName>
    <definedName name="Interest_Rate" localSheetId="5">#REF!</definedName>
    <definedName name="Interest_Rate" localSheetId="1">#REF!</definedName>
    <definedName name="Interest_Rate">#REF!</definedName>
    <definedName name="inv" localSheetId="3">#REF!</definedName>
    <definedName name="inv" localSheetId="5">#REF!</definedName>
    <definedName name="inv" localSheetId="1">#REF!</definedName>
    <definedName name="inv">#REF!</definedName>
    <definedName name="INVERSIONES" localSheetId="3">#REF!</definedName>
    <definedName name="INVERSIONES" localSheetId="5">#REF!</definedName>
    <definedName name="INVERSIONES" localSheetId="1">#REF!</definedName>
    <definedName name="INVERSIONES">#REF!</definedName>
    <definedName name="IS_Income_Reserved">[2]IS!$C$43:$AS$43</definedName>
    <definedName name="IS_Legal_Reserve_Balance">[2]IS!$C$54:$AS$54</definedName>
    <definedName name="Last_Row">#N/A</definedName>
    <definedName name="Loan_Amount" localSheetId="3">#REF!</definedName>
    <definedName name="Loan_Amount" localSheetId="5">#REF!</definedName>
    <definedName name="Loan_Amount" localSheetId="1">#REF!</definedName>
    <definedName name="Loan_Amount">#REF!</definedName>
    <definedName name="Loan_Start" localSheetId="3">#REF!</definedName>
    <definedName name="Loan_Start" localSheetId="5">#REF!</definedName>
    <definedName name="Loan_Start" localSheetId="1">#REF!</definedName>
    <definedName name="Loan_Start">#REF!</definedName>
    <definedName name="Loan_Years" localSheetId="3">#REF!</definedName>
    <definedName name="Loan_Years" localSheetId="5">#REF!</definedName>
    <definedName name="Loan_Years" localSheetId="1">#REF!</definedName>
    <definedName name="Loan_Years">#REF!</definedName>
    <definedName name="MATRIZ_DE_PRODUCTOS_QUIMICOS_UTILIZADOS_POR_METRO" localSheetId="3">#REF!</definedName>
    <definedName name="MATRIZ_DE_PRODUCTOS_QUIMICOS_UTILIZADOS_POR_METRO" localSheetId="5">#REF!</definedName>
    <definedName name="MATRIZ_DE_PRODUCTOS_QUIMICOS_UTILIZADOS_POR_METRO" localSheetId="1">#REF!</definedName>
    <definedName name="MATRIZ_DE_PRODUCTOS_QUIMICOS_UTILIZADOS_POR_METRO">#REF!</definedName>
    <definedName name="MESES" localSheetId="3">#REF!</definedName>
    <definedName name="MESES" localSheetId="5">#REF!</definedName>
    <definedName name="MESES" localSheetId="1">#REF!</definedName>
    <definedName name="MESES">#REF!</definedName>
    <definedName name="n">[5]Hoja1!$B$14</definedName>
    <definedName name="Num_Pmt_Per_Year" localSheetId="3">#REF!</definedName>
    <definedName name="Num_Pmt_Per_Year" localSheetId="5">#REF!</definedName>
    <definedName name="Num_Pmt_Per_Year" localSheetId="1">#REF!</definedName>
    <definedName name="Num_Pmt_Per_Year">#REF!</definedName>
    <definedName name="Number_of_Payments" localSheetId="3">MATCH(0.01,'Inversiones Pasadas'!End_Bal,-1)+1</definedName>
    <definedName name="Number_of_Payments" localSheetId="5">MATCH(0.01,'Proyección 09122021'!End_Bal,-1)+1</definedName>
    <definedName name="Number_of_Payments" localSheetId="1">MATCH(0.01,'Proyección 24012022'!End_Bal,-1)+1</definedName>
    <definedName name="Number_of_Payments">MATCH(0.01,End_Bal,-1)+1</definedName>
    <definedName name="NUMES" localSheetId="3">#REF!</definedName>
    <definedName name="NUMES" localSheetId="5">#REF!</definedName>
    <definedName name="NUMES" localSheetId="1">#REF!</definedName>
    <definedName name="NUMES">#REF!</definedName>
    <definedName name="Opex_total_ops_cost">[2]Opex!$C$103:$AS$103</definedName>
    <definedName name="PATRICIOR" localSheetId="3">Scheduled_Payment+Extra_Payment</definedName>
    <definedName name="PATRICIOR" localSheetId="5">Scheduled_Payment+Extra_Payment</definedName>
    <definedName name="PATRICIOR" localSheetId="1">Scheduled_Payment+Extra_Payment</definedName>
    <definedName name="PATRICIOR">Scheduled_Payment+Extra_Payment</definedName>
    <definedName name="Pay_Date" localSheetId="3">#REF!</definedName>
    <definedName name="Pay_Date" localSheetId="5">#REF!</definedName>
    <definedName name="Pay_Date" localSheetId="1">#REF!</definedName>
    <definedName name="Pay_Date">#REF!</definedName>
    <definedName name="Pay_Num" localSheetId="3">#REF!</definedName>
    <definedName name="Pay_Num" localSheetId="5">#REF!</definedName>
    <definedName name="Pay_Num" localSheetId="1">#REF!</definedName>
    <definedName name="Pay_Num">#REF!</definedName>
    <definedName name="Payment_Date" localSheetId="3">DATE(YEAR('Inversiones Pasadas'!Loan_Start),MONTH('Inversiones Pasadas'!Loan_Start)+Payment_Number,DAY('Inversiones Pasadas'!Loan_Start))</definedName>
    <definedName name="Payment_Date" localSheetId="5">DATE(YEAR('Proyección 09122021'!Loan_Start),MONTH('Proyección 09122021'!Loan_Start)+Payment_Number,DAY('Proyección 09122021'!Loan_Start))</definedName>
    <definedName name="Payment_Date" localSheetId="1">DATE(YEAR('Proyección 24012022'!Loan_Start),MONTH('Proyección 24012022'!Loan_Start)+Payment_Number,DAY('Proyección 24012022'!Loan_Start))</definedName>
    <definedName name="Payment_Date">DATE(YEAR(Loan_Start),MONTH(Loan_Start)+Payment_Number,DAY(Loan_Start))</definedName>
    <definedName name="Payment_Needed">"Pago necesario"</definedName>
    <definedName name="Perf_Bond_Cost">[2]Debt!$C$50:$AS$50</definedName>
    <definedName name="PRES" localSheetId="3">#REF!</definedName>
    <definedName name="PRES" localSheetId="5">#REF!</definedName>
    <definedName name="PRES" localSheetId="1">#REF!</definedName>
    <definedName name="PRES">#REF!</definedName>
    <definedName name="PRESU1" localSheetId="3">#REF!</definedName>
    <definedName name="PRESU1" localSheetId="5">#REF!</definedName>
    <definedName name="PRESU1" localSheetId="1">#REF!</definedName>
    <definedName name="PRESU1">#REF!</definedName>
    <definedName name="PRESU2" localSheetId="3">#REF!</definedName>
    <definedName name="PRESU2" localSheetId="5">#REF!</definedName>
    <definedName name="PRESU2" localSheetId="1">#REF!</definedName>
    <definedName name="PRESU2">#REF!</definedName>
    <definedName name="PRESU3" localSheetId="3">#REF!</definedName>
    <definedName name="PRESU3" localSheetId="5">#REF!</definedName>
    <definedName name="PRESU3" localSheetId="1">#REF!</definedName>
    <definedName name="PRESU3">#REF!</definedName>
    <definedName name="PRESU4" localSheetId="3">#REF!</definedName>
    <definedName name="PRESU4" localSheetId="5">#REF!</definedName>
    <definedName name="PRESU4" localSheetId="1">#REF!</definedName>
    <definedName name="PRESU4">#REF!</definedName>
    <definedName name="Princ" localSheetId="3">#REF!</definedName>
    <definedName name="Princ" localSheetId="5">#REF!</definedName>
    <definedName name="Princ" localSheetId="1">#REF!</definedName>
    <definedName name="Princ">#REF!</definedName>
    <definedName name="Print_Area_Reset" localSheetId="3">OFFSET('Inversiones Pasadas'!Full_Print,0,0,[0]!Last_Row)</definedName>
    <definedName name="Print_Area_Reset" localSheetId="5">OFFSET('Proyección 09122021'!Full_Print,0,0,[0]!Last_Row)</definedName>
    <definedName name="Print_Area_Reset" localSheetId="1">OFFSET('Proyección 24012022'!Full_Print,0,0,[0]!Last_Row)</definedName>
    <definedName name="Print_Area_Reset">OFFSET(Full_Print,0,0,Last_Row)</definedName>
    <definedName name="q" localSheetId="3">#REF!</definedName>
    <definedName name="q" localSheetId="5">#REF!</definedName>
    <definedName name="q" localSheetId="1">#REF!</definedName>
    <definedName name="q">#REF!</definedName>
    <definedName name="Reimbursement">"Reembolso"</definedName>
    <definedName name="reoooooroepo" localSheetId="3">#REF!</definedName>
    <definedName name="reoooooroepo" localSheetId="5">#REF!</definedName>
    <definedName name="reoooooroepo" localSheetId="1">#REF!</definedName>
    <definedName name="reoooooroepo">#REF!</definedName>
    <definedName name="restotalcopia" localSheetId="3">OFFSET('Inversiones Pasadas'!Full_Print,0,0,[0]!Last_Row)</definedName>
    <definedName name="restotalcopia" localSheetId="5">OFFSET('Proyección 09122021'!Full_Print,0,0,[0]!Last_Row)</definedName>
    <definedName name="restotalcopia" localSheetId="1">OFFSET('Proyección 24012022'!Full_Print,0,0,[0]!Last_Row)</definedName>
    <definedName name="restotalcopia">OFFSET(Full_Print,0,0,Last_Row)</definedName>
    <definedName name="Revolving_facility_loan_balance">[2]Debt!$C$33:$AS$33</definedName>
    <definedName name="SAAC0380" localSheetId="3">#REF!</definedName>
    <definedName name="SAAC0380" localSheetId="5">#REF!</definedName>
    <definedName name="SAAC0380" localSheetId="1">#REF!</definedName>
    <definedName name="SAAC0380">#REF!</definedName>
    <definedName name="SAAC0381" localSheetId="3">#REF!</definedName>
    <definedName name="SAAC0381" localSheetId="5">#REF!</definedName>
    <definedName name="SAAC0381" localSheetId="1">#REF!</definedName>
    <definedName name="SAAC0381">#REF!</definedName>
    <definedName name="SAAC1337" localSheetId="3">#REF!</definedName>
    <definedName name="SAAC1337" localSheetId="5">#REF!</definedName>
    <definedName name="SAAC1337" localSheetId="1">#REF!</definedName>
    <definedName name="SAAC1337">#REF!</definedName>
    <definedName name="SAAC9014" localSheetId="3">#REF!</definedName>
    <definedName name="SAAC9014" localSheetId="5">#REF!</definedName>
    <definedName name="SAAC9014" localSheetId="1">#REF!</definedName>
    <definedName name="SAAC9014">#REF!</definedName>
    <definedName name="SAAC9015" localSheetId="3">#REF!</definedName>
    <definedName name="SAAC9015" localSheetId="5">#REF!</definedName>
    <definedName name="SAAC9015" localSheetId="1">#REF!</definedName>
    <definedName name="SAAC9015">#REF!</definedName>
    <definedName name="SAACMANT" localSheetId="3">#REF!</definedName>
    <definedName name="SAACMANT" localSheetId="5">#REF!</definedName>
    <definedName name="SAACMANT" localSheetId="1">#REF!</definedName>
    <definedName name="SAACMANT">#REF!</definedName>
    <definedName name="SAIN0380" localSheetId="3">#REF!</definedName>
    <definedName name="SAIN0380" localSheetId="5">#REF!</definedName>
    <definedName name="SAIN0380" localSheetId="1">#REF!</definedName>
    <definedName name="SAIN0380">#REF!</definedName>
    <definedName name="SAIN0381" localSheetId="3">#REF!</definedName>
    <definedName name="SAIN0381" localSheetId="5">#REF!</definedName>
    <definedName name="SAIN0381" localSheetId="1">#REF!</definedName>
    <definedName name="SAIN0381">#REF!</definedName>
    <definedName name="SAIN1337" localSheetId="3">#REF!</definedName>
    <definedName name="SAIN1337" localSheetId="5">#REF!</definedName>
    <definedName name="SAIN1337" localSheetId="1">#REF!</definedName>
    <definedName name="SAIN1337">#REF!</definedName>
    <definedName name="SAIN9014" localSheetId="3">#REF!</definedName>
    <definedName name="SAIN9014" localSheetId="5">#REF!</definedName>
    <definedName name="SAIN9014" localSheetId="1">#REF!</definedName>
    <definedName name="SAIN9014">#REF!</definedName>
    <definedName name="SAIN9015" localSheetId="3">#REF!</definedName>
    <definedName name="SAIN9015" localSheetId="5">#REF!</definedName>
    <definedName name="SAIN9015" localSheetId="1">#REF!</definedName>
    <definedName name="SAIN9015">#REF!</definedName>
    <definedName name="SAINMANT" localSheetId="3">#REF!</definedName>
    <definedName name="SAINMANT" localSheetId="5">#REF!</definedName>
    <definedName name="SAINMANT" localSheetId="1">#REF!</definedName>
    <definedName name="SAINMANT">#REF!</definedName>
    <definedName name="Sched_Pay" localSheetId="3">#REF!</definedName>
    <definedName name="Sched_Pay" localSheetId="5">#REF!</definedName>
    <definedName name="Sched_Pay" localSheetId="1">#REF!</definedName>
    <definedName name="Sched_Pay">#REF!</definedName>
    <definedName name="Scheduled_Extra_Payments" localSheetId="3">#REF!</definedName>
    <definedName name="Scheduled_Extra_Payments" localSheetId="5">#REF!</definedName>
    <definedName name="Scheduled_Extra_Payments" localSheetId="1">#REF!</definedName>
    <definedName name="Scheduled_Extra_Payments">#REF!</definedName>
    <definedName name="Scheduled_Interest_Rate" localSheetId="3">#REF!</definedName>
    <definedName name="Scheduled_Interest_Rate" localSheetId="5">#REF!</definedName>
    <definedName name="Scheduled_Interest_Rate" localSheetId="1">#REF!</definedName>
    <definedName name="Scheduled_Interest_Rate">#REF!</definedName>
    <definedName name="Scheduled_Monthly_Payment" localSheetId="3">#REF!</definedName>
    <definedName name="Scheduled_Monthly_Payment" localSheetId="5">#REF!</definedName>
    <definedName name="Scheduled_Monthly_Payment" localSheetId="1">#REF!</definedName>
    <definedName name="Scheduled_Monthly_Payment">#REF!</definedName>
    <definedName name="SRI" localSheetId="3">#REF!</definedName>
    <definedName name="SRI" localSheetId="5">#REF!</definedName>
    <definedName name="SRI" localSheetId="1">#REF!</definedName>
    <definedName name="SRI">#REF!</definedName>
    <definedName name="total" localSheetId="3">#REF!</definedName>
    <definedName name="total" localSheetId="5">#REF!</definedName>
    <definedName name="total" localSheetId="1">#REF!</definedName>
    <definedName name="total">#REF!</definedName>
    <definedName name="Total_Interest" localSheetId="3">#REF!</definedName>
    <definedName name="Total_Interest" localSheetId="5">#REF!</definedName>
    <definedName name="Total_Interest" localSheetId="1">#REF!</definedName>
    <definedName name="Total_Interest">#REF!</definedName>
    <definedName name="Total_Pay" localSheetId="3">#REF!</definedName>
    <definedName name="Total_Pay" localSheetId="5">#REF!</definedName>
    <definedName name="Total_Pay" localSheetId="1">#REF!</definedName>
    <definedName name="Total_Pay">#REF!</definedName>
    <definedName name="Total_Payment" localSheetId="3">Scheduled_Payment+Extra_Payment</definedName>
    <definedName name="Total_Payment" localSheetId="5">Scheduled_Payment+Extra_Payment</definedName>
    <definedName name="Total_Payment" localSheetId="1">Scheduled_Payment+Extra_Payment</definedName>
    <definedName name="Total_Payment">Scheduled_Payment+Extra_Payment</definedName>
    <definedName name="uuu" localSheetId="3">#REF!</definedName>
    <definedName name="uuu" localSheetId="5">#REF!</definedName>
    <definedName name="uuu" localSheetId="1">#REF!</definedName>
    <definedName name="uuu">#REF!</definedName>
    <definedName name="Values_Entered" localSheetId="3">IF('Inversiones Pasadas'!Loan_Amount*'Inversiones Pasadas'!Interest_Rate*'Inversiones Pasadas'!Loan_Years*'Inversiones Pasadas'!Loan_Start&gt;0,1,0)</definedName>
    <definedName name="Values_Entered" localSheetId="5">IF('Proyección 09122021'!Loan_Amount*'Proyección 09122021'!Interest_Rate*'Proyección 09122021'!Loan_Years*'Proyección 09122021'!Loan_Start&gt;0,1,0)</definedName>
    <definedName name="Values_Entered" localSheetId="1">IF('Proyección 24012022'!Loan_Amount*'Proyección 24012022'!Interest_Rate*'Proyección 24012022'!Loan_Years*'Proyección 24012022'!Loan_Start&gt;0,1,0)</definedName>
    <definedName name="Values_Entered">IF(Loan_Amount*Interest_Rate*Loan_Years*Loan_Start&gt;0,1,0)</definedName>
    <definedName name="vhruales" localSheetId="3">#REF!</definedName>
    <definedName name="vhruales" localSheetId="5">#REF!</definedName>
    <definedName name="vhruales" localSheetId="1">#REF!</definedName>
    <definedName name="vhruales">#REF!</definedName>
    <definedName name="WC_Working_capital">'[2]WC and Tax'!$C$45:$AS$45</definedName>
    <definedName name="X" localSheetId="3">#REF!</definedName>
    <definedName name="X" localSheetId="5">#REF!</definedName>
    <definedName name="X" localSheetId="1">#REF!</definedName>
    <definedName name="X">#REF!</definedName>
    <definedName name="XXXX" localSheetId="3">#REF!</definedName>
    <definedName name="XXXX" localSheetId="5">#REF!</definedName>
    <definedName name="XXXX" localSheetId="1">#REF!</definedName>
    <definedName name="XXXX">#REF!</definedName>
    <definedName name="XXXXXXXXXXXXXXXXXXXXXXXXXXXXXX" localSheetId="3">#REF!</definedName>
    <definedName name="XXXXXXXXXXXXXXXXXXXXXXXXXXXXXX" localSheetId="5">#REF!</definedName>
    <definedName name="XXXXXXXXXXXXXXXXXXXXXXXXXXXXXX" localSheetId="1">#REF!</definedName>
    <definedName name="XXXXXXXXXXXXXXXXXXXXXXXXXXXXXX">#REF!</definedName>
    <definedName name="year">[2]Input!$C$29:$AU$29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0" l="1"/>
  <c r="C11" i="10"/>
  <c r="D11" i="10" s="1"/>
  <c r="E11" i="10" s="1"/>
  <c r="F11" i="10" s="1"/>
  <c r="G11" i="10" s="1"/>
  <c r="H11" i="10" s="1"/>
  <c r="I11" i="10" s="1"/>
  <c r="J11" i="10" s="1"/>
  <c r="K11" i="10" s="1"/>
  <c r="L11" i="10" s="1"/>
  <c r="M11" i="10" s="1"/>
  <c r="N11" i="10" s="1"/>
  <c r="O11" i="10" s="1"/>
  <c r="P11" i="10" s="1"/>
  <c r="Q11" i="10" s="1"/>
  <c r="R11" i="10" s="1"/>
  <c r="S11" i="10" s="1"/>
  <c r="T11" i="10" s="1"/>
  <c r="U11" i="10" s="1"/>
  <c r="V11" i="10" s="1"/>
  <c r="W11" i="10" s="1"/>
  <c r="X11" i="10" s="1"/>
  <c r="Y11" i="10" s="1"/>
  <c r="Z11" i="10" s="1"/>
  <c r="AA11" i="10" s="1"/>
  <c r="AB11" i="10" s="1"/>
  <c r="AC11" i="10" s="1"/>
  <c r="AD11" i="10" s="1"/>
  <c r="AE11" i="10" s="1"/>
  <c r="AF11" i="10" s="1"/>
  <c r="AG11" i="10" s="1"/>
  <c r="AG17" i="10"/>
  <c r="AG16" i="10"/>
  <c r="AG15" i="10"/>
  <c r="AG12" i="10"/>
  <c r="C13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D15" i="10"/>
  <c r="C15" i="10"/>
  <c r="B17" i="10"/>
  <c r="B15" i="10"/>
  <c r="C2" i="10" l="1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AC2" i="10" s="1"/>
  <c r="AD2" i="10" s="1"/>
  <c r="AE2" i="10" s="1"/>
  <c r="AF2" i="10" s="1"/>
  <c r="AG2" i="10" s="1"/>
  <c r="C11" i="9" l="1"/>
  <c r="B11" i="9"/>
  <c r="F11" i="9"/>
  <c r="F14" i="9" s="1"/>
  <c r="F15" i="9" s="1"/>
  <c r="H7" i="9" l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D11" i="9"/>
  <c r="E11" i="9"/>
  <c r="C6" i="9"/>
  <c r="D6" i="9" s="1"/>
  <c r="E6" i="9" s="1"/>
  <c r="F6" i="9" s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  <c r="U6" i="9" s="1"/>
  <c r="V6" i="9" s="1"/>
  <c r="W6" i="9" s="1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A7" i="9" l="1"/>
  <c r="F7" i="4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AB7" i="9" l="1"/>
  <c r="B75" i="4"/>
  <c r="B76" i="4" s="1"/>
  <c r="B77" i="4" s="1"/>
  <c r="B67" i="4"/>
  <c r="C53" i="4"/>
  <c r="C54" i="4" s="1"/>
  <c r="C44" i="4" s="1"/>
  <c r="B34" i="4"/>
  <c r="C29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C27" i="4"/>
  <c r="C26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C24" i="4"/>
  <c r="E22" i="4"/>
  <c r="E21" i="4"/>
  <c r="F21" i="4" s="1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B20" i="4" s="1"/>
  <c r="E19" i="4"/>
  <c r="F18" i="4"/>
  <c r="G18" i="4" s="1"/>
  <c r="H18" i="4" s="1"/>
  <c r="I18" i="4" s="1"/>
  <c r="F17" i="4"/>
  <c r="AC7" i="9" l="1"/>
  <c r="F23" i="4"/>
  <c r="C28" i="4"/>
  <c r="B35" i="4"/>
  <c r="C34" i="4" s="1"/>
  <c r="C35" i="4" s="1"/>
  <c r="G21" i="4"/>
  <c r="F19" i="4"/>
  <c r="F22" i="4"/>
  <c r="G17" i="4"/>
  <c r="J18" i="4"/>
  <c r="C25" i="4"/>
  <c r="E23" i="4"/>
  <c r="AD7" i="9" l="1"/>
  <c r="F30" i="4"/>
  <c r="F16" i="4" s="1"/>
  <c r="G23" i="4"/>
  <c r="H21" i="4"/>
  <c r="G19" i="4"/>
  <c r="H17" i="4"/>
  <c r="G22" i="4"/>
  <c r="E30" i="4"/>
  <c r="K18" i="4"/>
  <c r="E5" i="3"/>
  <c r="O14" i="3"/>
  <c r="N14" i="3"/>
  <c r="M14" i="3"/>
  <c r="L14" i="3"/>
  <c r="K14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K13" i="3"/>
  <c r="J13" i="3"/>
  <c r="I13" i="3"/>
  <c r="H13" i="3"/>
  <c r="G13" i="3"/>
  <c r="F13" i="3"/>
  <c r="E13" i="3"/>
  <c r="R12" i="3"/>
  <c r="H11" i="3"/>
  <c r="H10" i="3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AE7" i="9" l="1"/>
  <c r="L18" i="4"/>
  <c r="I21" i="4"/>
  <c r="H23" i="4"/>
  <c r="E16" i="4"/>
  <c r="G30" i="4"/>
  <c r="G16" i="4" s="1"/>
  <c r="I17" i="4"/>
  <c r="H19" i="4"/>
  <c r="H22" i="4"/>
  <c r="R8" i="3"/>
  <c r="J8" i="3"/>
  <c r="H8" i="3"/>
  <c r="F8" i="3"/>
  <c r="U8" i="3"/>
  <c r="K8" i="3"/>
  <c r="S8" i="3"/>
  <c r="G18" i="1"/>
  <c r="B82" i="1"/>
  <c r="B83" i="1" s="1"/>
  <c r="B81" i="1"/>
  <c r="AF7" i="9" l="1"/>
  <c r="J21" i="4"/>
  <c r="I23" i="4"/>
  <c r="M18" i="4"/>
  <c r="H30" i="4"/>
  <c r="I22" i="4"/>
  <c r="J17" i="4"/>
  <c r="I19" i="4"/>
  <c r="C8" i="3"/>
  <c r="L8" i="3"/>
  <c r="T8" i="3"/>
  <c r="P8" i="3"/>
  <c r="N8" i="3"/>
  <c r="E8" i="3"/>
  <c r="G8" i="3"/>
  <c r="I8" i="3"/>
  <c r="M8" i="3"/>
  <c r="O8" i="3"/>
  <c r="Q8" i="3"/>
  <c r="C35" i="1"/>
  <c r="C33" i="1"/>
  <c r="C32" i="1"/>
  <c r="C30" i="1"/>
  <c r="E19" i="3" l="1"/>
  <c r="Q7" i="3"/>
  <c r="P7" i="3"/>
  <c r="O7" i="3"/>
  <c r="R7" i="3"/>
  <c r="T7" i="3"/>
  <c r="S7" i="3"/>
  <c r="AG7" i="9"/>
  <c r="K21" i="4"/>
  <c r="J23" i="4"/>
  <c r="H16" i="4"/>
  <c r="N18" i="4"/>
  <c r="J22" i="4"/>
  <c r="K17" i="4"/>
  <c r="J19" i="4"/>
  <c r="I30" i="4"/>
  <c r="I16" i="4" s="1"/>
  <c r="F19" i="3"/>
  <c r="E27" i="1"/>
  <c r="B41" i="1" s="1"/>
  <c r="B40" i="1"/>
  <c r="E28" i="1"/>
  <c r="E25" i="1"/>
  <c r="F24" i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B24" i="1" s="1"/>
  <c r="B73" i="1"/>
  <c r="C11" i="1" s="1"/>
  <c r="C10" i="1"/>
  <c r="C13" i="1" s="1"/>
  <c r="AH7" i="9" l="1"/>
  <c r="J30" i="4"/>
  <c r="J16" i="4" s="1"/>
  <c r="L17" i="4"/>
  <c r="K19" i="4"/>
  <c r="K22" i="4"/>
  <c r="O18" i="4"/>
  <c r="L21" i="4"/>
  <c r="K23" i="4"/>
  <c r="C40" i="1"/>
  <c r="C41" i="1" s="1"/>
  <c r="G19" i="3"/>
  <c r="F27" i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E29" i="1"/>
  <c r="C14" i="1"/>
  <c r="F23" i="1"/>
  <c r="F26" i="1"/>
  <c r="E17" i="1"/>
  <c r="H18" i="1"/>
  <c r="AH34" i="1"/>
  <c r="AH31" i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M11" i="1" s="1"/>
  <c r="F17" i="1"/>
  <c r="M34" i="1"/>
  <c r="O34" i="1"/>
  <c r="P3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E34" i="1"/>
  <c r="F34" i="1"/>
  <c r="G34" i="1"/>
  <c r="H34" i="1"/>
  <c r="I34" i="1"/>
  <c r="J34" i="1"/>
  <c r="K34" i="1"/>
  <c r="L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C59" i="1"/>
  <c r="AI7" i="9" l="1"/>
  <c r="K30" i="4"/>
  <c r="P18" i="4"/>
  <c r="M17" i="4"/>
  <c r="L19" i="4"/>
  <c r="L22" i="4"/>
  <c r="M21" i="4"/>
  <c r="L23" i="4"/>
  <c r="H19" i="3"/>
  <c r="E36" i="1"/>
  <c r="AH29" i="1"/>
  <c r="B27" i="1"/>
  <c r="C31" i="1"/>
  <c r="W11" i="1"/>
  <c r="AC11" i="1"/>
  <c r="O11" i="1"/>
  <c r="E11" i="1"/>
  <c r="L11" i="1"/>
  <c r="AA11" i="1"/>
  <c r="AF11" i="1"/>
  <c r="V11" i="1"/>
  <c r="AB11" i="1"/>
  <c r="I11" i="1"/>
  <c r="P11" i="1"/>
  <c r="N11" i="1"/>
  <c r="AG11" i="1"/>
  <c r="Q11" i="1"/>
  <c r="S11" i="1"/>
  <c r="H11" i="1"/>
  <c r="F11" i="1"/>
  <c r="AE11" i="1"/>
  <c r="AH11" i="1"/>
  <c r="H29" i="1"/>
  <c r="L29" i="1"/>
  <c r="Y29" i="1"/>
  <c r="O29" i="1"/>
  <c r="M29" i="1"/>
  <c r="K29" i="1"/>
  <c r="Q29" i="1"/>
  <c r="G29" i="1"/>
  <c r="T29" i="1"/>
  <c r="AB29" i="1"/>
  <c r="AG29" i="1"/>
  <c r="W29" i="1"/>
  <c r="U29" i="1"/>
  <c r="AA29" i="1"/>
  <c r="I29" i="1"/>
  <c r="AD29" i="1"/>
  <c r="S29" i="1"/>
  <c r="P29" i="1"/>
  <c r="V29" i="1"/>
  <c r="Z29" i="1"/>
  <c r="N29" i="1"/>
  <c r="R29" i="1"/>
  <c r="AF29" i="1"/>
  <c r="F29" i="1"/>
  <c r="X29" i="1"/>
  <c r="J29" i="1"/>
  <c r="AE29" i="1"/>
  <c r="AC29" i="1"/>
  <c r="I18" i="1"/>
  <c r="J18" i="1" s="1"/>
  <c r="K18" i="1" s="1"/>
  <c r="X11" i="1"/>
  <c r="G11" i="1"/>
  <c r="T11" i="1"/>
  <c r="Z11" i="1"/>
  <c r="G23" i="1"/>
  <c r="G25" i="1" s="1"/>
  <c r="F25" i="1"/>
  <c r="K11" i="1"/>
  <c r="R11" i="1"/>
  <c r="U11" i="1"/>
  <c r="Y11" i="1"/>
  <c r="J11" i="1"/>
  <c r="AD11" i="1"/>
  <c r="F28" i="1"/>
  <c r="G26" i="1"/>
  <c r="H26" i="1" s="1"/>
  <c r="I10" i="1"/>
  <c r="X10" i="1"/>
  <c r="J10" i="1"/>
  <c r="AF10" i="1"/>
  <c r="C12" i="1"/>
  <c r="H10" i="1"/>
  <c r="Z10" i="1"/>
  <c r="AG10" i="1"/>
  <c r="Q34" i="1"/>
  <c r="P10" i="1"/>
  <c r="AH10" i="1"/>
  <c r="Q10" i="1"/>
  <c r="AE10" i="1"/>
  <c r="R10" i="1"/>
  <c r="Y10" i="1"/>
  <c r="L10" i="1"/>
  <c r="T10" i="1"/>
  <c r="AB10" i="1"/>
  <c r="E10" i="1"/>
  <c r="M10" i="1"/>
  <c r="U10" i="1"/>
  <c r="AC10" i="1"/>
  <c r="K10" i="1"/>
  <c r="S10" i="1"/>
  <c r="AA10" i="1"/>
  <c r="F10" i="1"/>
  <c r="N10" i="1"/>
  <c r="V10" i="1"/>
  <c r="AD10" i="1"/>
  <c r="G10" i="1"/>
  <c r="O10" i="1"/>
  <c r="W10" i="1"/>
  <c r="AB9" i="1"/>
  <c r="T9" i="1"/>
  <c r="L9" i="1"/>
  <c r="X9" i="1"/>
  <c r="AA9" i="1"/>
  <c r="S9" i="1"/>
  <c r="K9" i="1"/>
  <c r="O9" i="1"/>
  <c r="AH9" i="1"/>
  <c r="Z9" i="1"/>
  <c r="R9" i="1"/>
  <c r="J9" i="1"/>
  <c r="P9" i="1"/>
  <c r="W9" i="1"/>
  <c r="AG9" i="1"/>
  <c r="Y9" i="1"/>
  <c r="Q9" i="1"/>
  <c r="I9" i="1"/>
  <c r="AE9" i="1"/>
  <c r="AD9" i="1"/>
  <c r="V9" i="1"/>
  <c r="N9" i="1"/>
  <c r="F9" i="1"/>
  <c r="H9" i="1"/>
  <c r="G9" i="1"/>
  <c r="AC9" i="1"/>
  <c r="U9" i="1"/>
  <c r="M9" i="1"/>
  <c r="E9" i="1"/>
  <c r="AF9" i="1"/>
  <c r="T34" i="1"/>
  <c r="S34" i="1"/>
  <c r="N34" i="1"/>
  <c r="C60" i="1"/>
  <c r="C50" i="1" s="1"/>
  <c r="R34" i="1"/>
  <c r="E7" i="1" l="1"/>
  <c r="B8" i="3"/>
  <c r="AJ7" i="9"/>
  <c r="L30" i="4"/>
  <c r="L16" i="4" s="1"/>
  <c r="Q18" i="4"/>
  <c r="M19" i="4"/>
  <c r="M22" i="4"/>
  <c r="N17" i="4"/>
  <c r="N21" i="4"/>
  <c r="M23" i="4"/>
  <c r="K16" i="4"/>
  <c r="B29" i="1"/>
  <c r="I19" i="3"/>
  <c r="C34" i="1"/>
  <c r="L18" i="1"/>
  <c r="M18" i="1" s="1"/>
  <c r="N18" i="1" s="1"/>
  <c r="O18" i="1" s="1"/>
  <c r="P18" i="1" s="1"/>
  <c r="C29" i="1"/>
  <c r="B10" i="1"/>
  <c r="B9" i="1"/>
  <c r="B11" i="1"/>
  <c r="H23" i="1"/>
  <c r="H25" i="1" s="1"/>
  <c r="E22" i="1"/>
  <c r="G28" i="1"/>
  <c r="F36" i="1"/>
  <c r="F22" i="1" s="1"/>
  <c r="AF13" i="1"/>
  <c r="X13" i="1"/>
  <c r="P13" i="1"/>
  <c r="H13" i="1"/>
  <c r="AE13" i="1"/>
  <c r="W13" i="1"/>
  <c r="O13" i="1"/>
  <c r="G13" i="1"/>
  <c r="AD13" i="1"/>
  <c r="V13" i="1"/>
  <c r="F13" i="1"/>
  <c r="N13" i="1"/>
  <c r="Y13" i="1"/>
  <c r="AC13" i="1"/>
  <c r="U13" i="1"/>
  <c r="M13" i="1"/>
  <c r="E13" i="1"/>
  <c r="J13" i="1"/>
  <c r="AB13" i="1"/>
  <c r="T13" i="1"/>
  <c r="L13" i="1"/>
  <c r="Z13" i="1"/>
  <c r="Q13" i="1"/>
  <c r="AA13" i="1"/>
  <c r="S13" i="1"/>
  <c r="K13" i="1"/>
  <c r="AH13" i="1"/>
  <c r="R13" i="1"/>
  <c r="AG13" i="1"/>
  <c r="I13" i="1"/>
  <c r="AG14" i="1"/>
  <c r="Y14" i="1"/>
  <c r="Q14" i="1"/>
  <c r="I14" i="1"/>
  <c r="AF14" i="1"/>
  <c r="X14" i="1"/>
  <c r="P14" i="1"/>
  <c r="H14" i="1"/>
  <c r="W14" i="1"/>
  <c r="O14" i="1"/>
  <c r="G14" i="1"/>
  <c r="R14" i="1"/>
  <c r="AE14" i="1"/>
  <c r="AD14" i="1"/>
  <c r="V14" i="1"/>
  <c r="N14" i="1"/>
  <c r="F14" i="1"/>
  <c r="J14" i="1"/>
  <c r="AC14" i="1"/>
  <c r="U14" i="1"/>
  <c r="M14" i="1"/>
  <c r="E14" i="1"/>
  <c r="AA14" i="1"/>
  <c r="K14" i="1"/>
  <c r="Z14" i="1"/>
  <c r="AB14" i="1"/>
  <c r="T14" i="1"/>
  <c r="L14" i="1"/>
  <c r="S14" i="1"/>
  <c r="AH14" i="1"/>
  <c r="AE12" i="1"/>
  <c r="W12" i="1"/>
  <c r="O12" i="1"/>
  <c r="G12" i="1"/>
  <c r="AD12" i="1"/>
  <c r="V12" i="1"/>
  <c r="N12" i="1"/>
  <c r="F12" i="1"/>
  <c r="AC12" i="1"/>
  <c r="U12" i="1"/>
  <c r="M12" i="1"/>
  <c r="E12" i="1"/>
  <c r="AB12" i="1"/>
  <c r="T12" i="1"/>
  <c r="L12" i="1"/>
  <c r="AF12" i="1"/>
  <c r="AA12" i="1"/>
  <c r="S12" i="1"/>
  <c r="K12" i="1"/>
  <c r="AG12" i="1"/>
  <c r="Q12" i="1"/>
  <c r="X12" i="1"/>
  <c r="H12" i="1"/>
  <c r="AH12" i="1"/>
  <c r="Z12" i="1"/>
  <c r="R12" i="1"/>
  <c r="J12" i="1"/>
  <c r="Y12" i="1"/>
  <c r="I12" i="1"/>
  <c r="P12" i="1"/>
  <c r="C15" i="1"/>
  <c r="I26" i="1"/>
  <c r="AK7" i="9" l="1"/>
  <c r="O21" i="4"/>
  <c r="N23" i="4"/>
  <c r="N19" i="4"/>
  <c r="N22" i="4"/>
  <c r="O17" i="4"/>
  <c r="R18" i="4"/>
  <c r="M30" i="4"/>
  <c r="J19" i="3"/>
  <c r="Q18" i="1"/>
  <c r="R18" i="1" s="1"/>
  <c r="S18" i="1" s="1"/>
  <c r="T18" i="1" s="1"/>
  <c r="B13" i="1"/>
  <c r="I23" i="1"/>
  <c r="I28" i="1" s="1"/>
  <c r="B12" i="1"/>
  <c r="B14" i="1"/>
  <c r="H28" i="1"/>
  <c r="H36" i="1"/>
  <c r="H22" i="1" s="1"/>
  <c r="G36" i="1"/>
  <c r="G22" i="1" s="1"/>
  <c r="I25" i="1"/>
  <c r="AH15" i="1"/>
  <c r="AH8" i="1" s="1"/>
  <c r="AG15" i="1"/>
  <c r="AG8" i="1" s="1"/>
  <c r="K15" i="1"/>
  <c r="K8" i="1" s="1"/>
  <c r="G15" i="1"/>
  <c r="G8" i="1" s="1"/>
  <c r="I15" i="1"/>
  <c r="I8" i="1" s="1"/>
  <c r="V15" i="1"/>
  <c r="V8" i="1" s="1"/>
  <c r="R15" i="1"/>
  <c r="R8" i="1" s="1"/>
  <c r="L15" i="1"/>
  <c r="L8" i="1" s="1"/>
  <c r="O15" i="1"/>
  <c r="O8" i="1" s="1"/>
  <c r="Q15" i="1"/>
  <c r="Q8" i="1" s="1"/>
  <c r="Y15" i="1"/>
  <c r="Y8" i="1" s="1"/>
  <c r="AF15" i="1"/>
  <c r="AF8" i="1" s="1"/>
  <c r="Z15" i="1"/>
  <c r="Z8" i="1" s="1"/>
  <c r="T15" i="1"/>
  <c r="T8" i="1" s="1"/>
  <c r="W15" i="1"/>
  <c r="W8" i="1" s="1"/>
  <c r="F15" i="1"/>
  <c r="F8" i="1" s="1"/>
  <c r="AB15" i="1"/>
  <c r="AB8" i="1" s="1"/>
  <c r="AE15" i="1"/>
  <c r="AE8" i="1" s="1"/>
  <c r="U15" i="1"/>
  <c r="U8" i="1" s="1"/>
  <c r="AA15" i="1"/>
  <c r="AA8" i="1" s="1"/>
  <c r="E15" i="1"/>
  <c r="F7" i="1" s="1"/>
  <c r="H15" i="1"/>
  <c r="H8" i="1" s="1"/>
  <c r="C8" i="1"/>
  <c r="AC15" i="1"/>
  <c r="AC8" i="1" s="1"/>
  <c r="N15" i="1"/>
  <c r="N8" i="1" s="1"/>
  <c r="M15" i="1"/>
  <c r="M8" i="1" s="1"/>
  <c r="P15" i="1"/>
  <c r="P8" i="1" s="1"/>
  <c r="S15" i="1"/>
  <c r="S8" i="1" s="1"/>
  <c r="J15" i="1"/>
  <c r="J8" i="1" s="1"/>
  <c r="X15" i="1"/>
  <c r="X8" i="1" s="1"/>
  <c r="AD15" i="1"/>
  <c r="AD8" i="1" s="1"/>
  <c r="J26" i="1"/>
  <c r="AL7" i="9" l="1"/>
  <c r="N30" i="4"/>
  <c r="N16" i="4" s="1"/>
  <c r="M16" i="4"/>
  <c r="S18" i="4"/>
  <c r="P21" i="4"/>
  <c r="O23" i="4"/>
  <c r="O19" i="4"/>
  <c r="O22" i="4"/>
  <c r="P17" i="4"/>
  <c r="K19" i="3"/>
  <c r="J23" i="1"/>
  <c r="K23" i="1" s="1"/>
  <c r="E8" i="1"/>
  <c r="B8" i="1" s="1"/>
  <c r="B15" i="1"/>
  <c r="I36" i="1"/>
  <c r="J25" i="1"/>
  <c r="U18" i="1"/>
  <c r="V18" i="1" s="1"/>
  <c r="K26" i="1"/>
  <c r="J28" i="1" l="1"/>
  <c r="J36" i="1" s="1"/>
  <c r="J22" i="1" s="1"/>
  <c r="P22" i="4"/>
  <c r="Q17" i="4"/>
  <c r="P19" i="4"/>
  <c r="T18" i="4"/>
  <c r="Q21" i="4"/>
  <c r="P23" i="4"/>
  <c r="O30" i="4"/>
  <c r="L19" i="3"/>
  <c r="I22" i="1"/>
  <c r="K28" i="1"/>
  <c r="L23" i="1"/>
  <c r="K25" i="1"/>
  <c r="L26" i="1"/>
  <c r="R21" i="4" l="1"/>
  <c r="Q23" i="4"/>
  <c r="U18" i="4"/>
  <c r="Q22" i="4"/>
  <c r="R17" i="4"/>
  <c r="Q19" i="4"/>
  <c r="O16" i="4"/>
  <c r="P30" i="4"/>
  <c r="P16" i="4" s="1"/>
  <c r="M19" i="3"/>
  <c r="K36" i="1"/>
  <c r="K22" i="1" s="1"/>
  <c r="L28" i="1"/>
  <c r="M23" i="1"/>
  <c r="L25" i="1"/>
  <c r="W18" i="1"/>
  <c r="M26" i="1"/>
  <c r="Q30" i="4" l="1"/>
  <c r="Q16" i="4" s="1"/>
  <c r="V18" i="4"/>
  <c r="R22" i="4"/>
  <c r="S17" i="4"/>
  <c r="R19" i="4"/>
  <c r="S21" i="4"/>
  <c r="R23" i="4"/>
  <c r="N19" i="3"/>
  <c r="L36" i="1"/>
  <c r="M28" i="1"/>
  <c r="N23" i="1"/>
  <c r="M25" i="1"/>
  <c r="X18" i="1"/>
  <c r="N26" i="1"/>
  <c r="R30" i="4" l="1"/>
  <c r="R16" i="4" s="1"/>
  <c r="T21" i="4"/>
  <c r="S23" i="4"/>
  <c r="T17" i="4"/>
  <c r="S19" i="4"/>
  <c r="S22" i="4"/>
  <c r="S30" i="4" s="1"/>
  <c r="S16" i="4" s="1"/>
  <c r="W18" i="4"/>
  <c r="O19" i="3"/>
  <c r="L22" i="1"/>
  <c r="M36" i="1"/>
  <c r="M22" i="1" s="1"/>
  <c r="N28" i="1"/>
  <c r="O23" i="1"/>
  <c r="N25" i="1"/>
  <c r="Y18" i="1"/>
  <c r="O26" i="1"/>
  <c r="X18" i="4" l="1"/>
  <c r="U17" i="4"/>
  <c r="T19" i="4"/>
  <c r="T22" i="4"/>
  <c r="U21" i="4"/>
  <c r="T23" i="4"/>
  <c r="P19" i="3"/>
  <c r="N36" i="1"/>
  <c r="N22" i="1" s="1"/>
  <c r="O28" i="1"/>
  <c r="P23" i="1"/>
  <c r="O25" i="1"/>
  <c r="Z18" i="1"/>
  <c r="AA18" i="1" s="1"/>
  <c r="P26" i="1"/>
  <c r="V21" i="4" l="1"/>
  <c r="U23" i="4"/>
  <c r="V17" i="4"/>
  <c r="U19" i="4"/>
  <c r="U22" i="4"/>
  <c r="T30" i="4"/>
  <c r="T16" i="4" s="1"/>
  <c r="Y18" i="4"/>
  <c r="Q19" i="3"/>
  <c r="O36" i="1"/>
  <c r="O22" i="1" s="1"/>
  <c r="P28" i="1"/>
  <c r="Q23" i="1"/>
  <c r="P25" i="1"/>
  <c r="Q26" i="1"/>
  <c r="U30" i="4" l="1"/>
  <c r="U16" i="4" s="1"/>
  <c r="V19" i="4"/>
  <c r="W17" i="4"/>
  <c r="V22" i="4"/>
  <c r="Z18" i="4"/>
  <c r="W21" i="4"/>
  <c r="V23" i="4"/>
  <c r="R19" i="3"/>
  <c r="P36" i="1"/>
  <c r="P22" i="1" s="1"/>
  <c r="Q28" i="1"/>
  <c r="R23" i="1"/>
  <c r="Q25" i="1"/>
  <c r="AB18" i="1"/>
  <c r="R26" i="1"/>
  <c r="V30" i="4" l="1"/>
  <c r="V16" i="4" s="1"/>
  <c r="AA18" i="4"/>
  <c r="X21" i="4"/>
  <c r="W23" i="4"/>
  <c r="W19" i="4"/>
  <c r="W22" i="4"/>
  <c r="X17" i="4"/>
  <c r="S19" i="3"/>
  <c r="Q36" i="1"/>
  <c r="Q22" i="1" s="1"/>
  <c r="R28" i="1"/>
  <c r="S23" i="1"/>
  <c r="R25" i="1"/>
  <c r="AC18" i="1"/>
  <c r="S26" i="1"/>
  <c r="W30" i="4" l="1"/>
  <c r="W16" i="4" s="1"/>
  <c r="AB18" i="4"/>
  <c r="X19" i="4"/>
  <c r="X22" i="4"/>
  <c r="Y17" i="4"/>
  <c r="Y21" i="4"/>
  <c r="X23" i="4"/>
  <c r="T19" i="3"/>
  <c r="R36" i="1"/>
  <c r="R22" i="1" s="1"/>
  <c r="S28" i="1"/>
  <c r="T23" i="1"/>
  <c r="S25" i="1"/>
  <c r="AD18" i="1"/>
  <c r="T26" i="1"/>
  <c r="Z21" i="4" l="1"/>
  <c r="Y23" i="4"/>
  <c r="X30" i="4"/>
  <c r="X16" i="4" s="1"/>
  <c r="AC18" i="4"/>
  <c r="Y22" i="4"/>
  <c r="Y19" i="4"/>
  <c r="Z17" i="4"/>
  <c r="U19" i="3"/>
  <c r="S36" i="1"/>
  <c r="S22" i="1" s="1"/>
  <c r="T28" i="1"/>
  <c r="T36" i="1" s="1"/>
  <c r="T22" i="1" s="1"/>
  <c r="U23" i="1"/>
  <c r="T25" i="1"/>
  <c r="AE18" i="1"/>
  <c r="AF18" i="1" s="1"/>
  <c r="U26" i="1"/>
  <c r="Y30" i="4" l="1"/>
  <c r="Y16" i="4" s="1"/>
  <c r="AD18" i="4"/>
  <c r="Z22" i="4"/>
  <c r="AA17" i="4"/>
  <c r="Z19" i="4"/>
  <c r="AA21" i="4"/>
  <c r="Z23" i="4"/>
  <c r="U28" i="1"/>
  <c r="V23" i="1"/>
  <c r="U25" i="1"/>
  <c r="V26" i="1"/>
  <c r="Z30" i="4" l="1"/>
  <c r="Z16" i="4" s="1"/>
  <c r="AB21" i="4"/>
  <c r="AA23" i="4"/>
  <c r="AB17" i="4"/>
  <c r="AA22" i="4"/>
  <c r="AA30" i="4" s="1"/>
  <c r="AA16" i="4" s="1"/>
  <c r="AA19" i="4"/>
  <c r="AE18" i="4"/>
  <c r="U36" i="1"/>
  <c r="U22" i="1" s="1"/>
  <c r="V28" i="1"/>
  <c r="V36" i="1" s="1"/>
  <c r="V22" i="1" s="1"/>
  <c r="W23" i="1"/>
  <c r="V25" i="1"/>
  <c r="AG18" i="1"/>
  <c r="W26" i="1"/>
  <c r="AF18" i="4" l="1"/>
  <c r="AB22" i="4"/>
  <c r="AC17" i="4"/>
  <c r="AB19" i="4"/>
  <c r="AC21" i="4"/>
  <c r="AB23" i="4"/>
  <c r="W28" i="1"/>
  <c r="X23" i="1"/>
  <c r="W25" i="1"/>
  <c r="AH18" i="1"/>
  <c r="B18" i="1" s="1"/>
  <c r="X26" i="1"/>
  <c r="AB30" i="4" l="1"/>
  <c r="AB16" i="4" s="1"/>
  <c r="AD21" i="4"/>
  <c r="AC23" i="4"/>
  <c r="AD17" i="4"/>
  <c r="AC19" i="4"/>
  <c r="AC22" i="4"/>
  <c r="AC30" i="4" s="1"/>
  <c r="AC16" i="4" s="1"/>
  <c r="AG18" i="4"/>
  <c r="C18" i="1"/>
  <c r="W36" i="1"/>
  <c r="W22" i="1" s="1"/>
  <c r="X28" i="1"/>
  <c r="X36" i="1" s="1"/>
  <c r="X22" i="1" s="1"/>
  <c r="Y23" i="1"/>
  <c r="X25" i="1"/>
  <c r="Y26" i="1"/>
  <c r="AH18" i="4" l="1"/>
  <c r="AD19" i="4"/>
  <c r="AE17" i="4"/>
  <c r="AD22" i="4"/>
  <c r="AE21" i="4"/>
  <c r="AD23" i="4"/>
  <c r="Y28" i="1"/>
  <c r="Y36" i="1" s="1"/>
  <c r="Y22" i="1" s="1"/>
  <c r="Z23" i="1"/>
  <c r="Y25" i="1"/>
  <c r="C20" i="1"/>
  <c r="C17" i="1" s="1"/>
  <c r="C19" i="1"/>
  <c r="N19" i="1" s="1"/>
  <c r="Z26" i="1"/>
  <c r="AD30" i="4" l="1"/>
  <c r="AD16" i="4" s="1"/>
  <c r="AF21" i="4"/>
  <c r="AE23" i="4"/>
  <c r="AE19" i="4"/>
  <c r="AF17" i="4"/>
  <c r="AE22" i="4"/>
  <c r="AE30" i="4" s="1"/>
  <c r="AE16" i="4" s="1"/>
  <c r="B18" i="4"/>
  <c r="Z28" i="1"/>
  <c r="AA23" i="1"/>
  <c r="Z25" i="1"/>
  <c r="X19" i="1"/>
  <c r="AE19" i="1"/>
  <c r="Z19" i="1"/>
  <c r="AC19" i="1"/>
  <c r="J19" i="1"/>
  <c r="AA19" i="1"/>
  <c r="W19" i="1"/>
  <c r="H19" i="1"/>
  <c r="K19" i="1"/>
  <c r="G19" i="1"/>
  <c r="V19" i="1"/>
  <c r="L19" i="1"/>
  <c r="AD19" i="1"/>
  <c r="S19" i="1"/>
  <c r="R19" i="1"/>
  <c r="U19" i="1"/>
  <c r="O19" i="1"/>
  <c r="Q19" i="1"/>
  <c r="Y19" i="1"/>
  <c r="M19" i="1"/>
  <c r="AF19" i="1"/>
  <c r="AH19" i="1"/>
  <c r="AG19" i="1"/>
  <c r="AB19" i="1"/>
  <c r="T19" i="1"/>
  <c r="I19" i="1"/>
  <c r="P19" i="1"/>
  <c r="AF20" i="1"/>
  <c r="AE20" i="1"/>
  <c r="W20" i="1"/>
  <c r="O20" i="1"/>
  <c r="G20" i="1"/>
  <c r="AD20" i="1"/>
  <c r="V20" i="1"/>
  <c r="N20" i="1"/>
  <c r="N17" i="1" s="1"/>
  <c r="K20" i="1"/>
  <c r="R20" i="1"/>
  <c r="AG20" i="1"/>
  <c r="X20" i="1"/>
  <c r="H20" i="1"/>
  <c r="AC20" i="1"/>
  <c r="U20" i="1"/>
  <c r="M20" i="1"/>
  <c r="S20" i="1"/>
  <c r="AH20" i="1"/>
  <c r="Y20" i="1"/>
  <c r="AB20" i="1"/>
  <c r="T20" i="1"/>
  <c r="L20" i="1"/>
  <c r="AA20" i="1"/>
  <c r="Z20" i="1"/>
  <c r="Z17" i="1" s="1"/>
  <c r="J20" i="1"/>
  <c r="Q20" i="1"/>
  <c r="Q17" i="1" s="1"/>
  <c r="I20" i="1"/>
  <c r="P20" i="1"/>
  <c r="AA26" i="1"/>
  <c r="G17" i="1" l="1"/>
  <c r="B19" i="1"/>
  <c r="AG17" i="4"/>
  <c r="AF19" i="4"/>
  <c r="AF22" i="4"/>
  <c r="AG21" i="4"/>
  <c r="AF23" i="4"/>
  <c r="B20" i="1"/>
  <c r="V17" i="1"/>
  <c r="Y17" i="1"/>
  <c r="W17" i="1"/>
  <c r="Z36" i="1"/>
  <c r="Z22" i="1" s="1"/>
  <c r="AA28" i="1"/>
  <c r="AB23" i="1"/>
  <c r="AA25" i="1"/>
  <c r="H17" i="1"/>
  <c r="R17" i="1"/>
  <c r="S17" i="1"/>
  <c r="AA17" i="1"/>
  <c r="U17" i="1"/>
  <c r="L17" i="1"/>
  <c r="AB17" i="1"/>
  <c r="X17" i="1"/>
  <c r="O17" i="1"/>
  <c r="T17" i="1"/>
  <c r="J17" i="1"/>
  <c r="K17" i="1"/>
  <c r="M17" i="1"/>
  <c r="P17" i="1"/>
  <c r="I17" i="1"/>
  <c r="AB26" i="1"/>
  <c r="AC17" i="1"/>
  <c r="AH21" i="4" l="1"/>
  <c r="AG23" i="4"/>
  <c r="AF30" i="4"/>
  <c r="AF16" i="4" s="1"/>
  <c r="AG22" i="4"/>
  <c r="AG30" i="4" s="1"/>
  <c r="AG16" i="4" s="1"/>
  <c r="AG19" i="4"/>
  <c r="AH17" i="4"/>
  <c r="AA36" i="1"/>
  <c r="AA22" i="1" s="1"/>
  <c r="AB28" i="1"/>
  <c r="AC23" i="1"/>
  <c r="AB25" i="1"/>
  <c r="AC26" i="1"/>
  <c r="AD17" i="1"/>
  <c r="AH22" i="4" l="1"/>
  <c r="AH19" i="4"/>
  <c r="B19" i="4" s="1"/>
  <c r="B17" i="4"/>
  <c r="B21" i="4"/>
  <c r="AH23" i="4"/>
  <c r="C6" i="3"/>
  <c r="AB36" i="1"/>
  <c r="AB22" i="1" s="1"/>
  <c r="AC28" i="1"/>
  <c r="AD23" i="1"/>
  <c r="AC25" i="1"/>
  <c r="AD26" i="1"/>
  <c r="AE17" i="1"/>
  <c r="B23" i="4" l="1"/>
  <c r="C23" i="4"/>
  <c r="AH30" i="4"/>
  <c r="B22" i="4"/>
  <c r="C22" i="4"/>
  <c r="AD28" i="1"/>
  <c r="AC36" i="1"/>
  <c r="AC22" i="1" s="1"/>
  <c r="AE23" i="1"/>
  <c r="AD25" i="1"/>
  <c r="AE26" i="1"/>
  <c r="AF17" i="1"/>
  <c r="AH16" i="4" l="1"/>
  <c r="B30" i="4"/>
  <c r="B16" i="4" s="1"/>
  <c r="C30" i="4"/>
  <c r="C16" i="4" s="1"/>
  <c r="AD36" i="1"/>
  <c r="AD22" i="1" s="1"/>
  <c r="AE28" i="1"/>
  <c r="AE36" i="1" s="1"/>
  <c r="AE22" i="1" s="1"/>
  <c r="AF23" i="1"/>
  <c r="AE25" i="1"/>
  <c r="AF26" i="1"/>
  <c r="AG17" i="1"/>
  <c r="B6" i="3" l="1"/>
  <c r="AF28" i="1"/>
  <c r="AF36" i="1" s="1"/>
  <c r="AF22" i="1" s="1"/>
  <c r="AG23" i="1"/>
  <c r="AF25" i="1"/>
  <c r="AG26" i="1"/>
  <c r="C6" i="1"/>
  <c r="AH17" i="1"/>
  <c r="B17" i="1" s="1"/>
  <c r="B6" i="1" s="1"/>
  <c r="AG28" i="1" l="1"/>
  <c r="AG36" i="1" s="1"/>
  <c r="AG22" i="1" s="1"/>
  <c r="AH23" i="1"/>
  <c r="B23" i="1" s="1"/>
  <c r="AG25" i="1"/>
  <c r="AH26" i="1"/>
  <c r="B26" i="1" s="1"/>
  <c r="AH25" i="1" l="1"/>
  <c r="B25" i="1" s="1"/>
  <c r="AH28" i="1"/>
  <c r="C28" i="1" l="1"/>
  <c r="B28" i="1"/>
  <c r="AH36" i="1"/>
  <c r="B36" i="1" s="1"/>
  <c r="B22" i="1" l="1"/>
  <c r="B38" i="1"/>
  <c r="AH22" i="1"/>
  <c r="C36" i="1"/>
  <c r="C22" i="1" s="1"/>
  <c r="B11" i="4" l="1"/>
  <c r="E10" i="4" l="1"/>
  <c r="AE80" i="4" l="1"/>
  <c r="O80" i="4"/>
  <c r="V80" i="4"/>
  <c r="AC80" i="4"/>
  <c r="U80" i="4"/>
  <c r="M80" i="4"/>
  <c r="E80" i="4"/>
  <c r="AB80" i="4"/>
  <c r="T80" i="4"/>
  <c r="L80" i="4"/>
  <c r="AA80" i="4"/>
  <c r="K80" i="4"/>
  <c r="AH80" i="4"/>
  <c r="Z80" i="4"/>
  <c r="J80" i="4"/>
  <c r="AD80" i="4"/>
  <c r="S80" i="4"/>
  <c r="R80" i="4"/>
  <c r="N80" i="4"/>
  <c r="AG80" i="4"/>
  <c r="Y80" i="4"/>
  <c r="Q80" i="4"/>
  <c r="I80" i="4"/>
  <c r="AF80" i="4"/>
  <c r="X80" i="4"/>
  <c r="P80" i="4"/>
  <c r="H80" i="4"/>
  <c r="W80" i="4"/>
  <c r="G80" i="4"/>
  <c r="F80" i="4"/>
  <c r="C13" i="4" l="1"/>
  <c r="F13" i="4" l="1"/>
  <c r="F8" i="4" s="1"/>
  <c r="Z13" i="4"/>
  <c r="Z8" i="4" s="1"/>
  <c r="AH13" i="4"/>
  <c r="AH8" i="4" s="1"/>
  <c r="T13" i="4"/>
  <c r="T8" i="4" s="1"/>
  <c r="I13" i="4"/>
  <c r="I8" i="4" s="1"/>
  <c r="AF13" i="4"/>
  <c r="AF8" i="4" s="1"/>
  <c r="AG13" i="4"/>
  <c r="AG8" i="4" s="1"/>
  <c r="P13" i="4"/>
  <c r="P8" i="4" s="1"/>
  <c r="X13" i="4"/>
  <c r="X8" i="4" s="1"/>
  <c r="L13" i="4"/>
  <c r="L8" i="4" s="1"/>
  <c r="AA13" i="4"/>
  <c r="AA8" i="4" s="1"/>
  <c r="U13" i="4"/>
  <c r="U8" i="4" s="1"/>
  <c r="J13" i="4"/>
  <c r="J8" i="4" s="1"/>
  <c r="Q13" i="4"/>
  <c r="Q8" i="4" s="1"/>
  <c r="W13" i="4"/>
  <c r="W8" i="4" s="1"/>
  <c r="AE13" i="4"/>
  <c r="AE8" i="4" s="1"/>
  <c r="K13" i="4"/>
  <c r="K8" i="4" s="1"/>
  <c r="V13" i="4"/>
  <c r="V8" i="4" s="1"/>
  <c r="AD13" i="4"/>
  <c r="AD8" i="4" s="1"/>
  <c r="M13" i="4"/>
  <c r="M8" i="4" s="1"/>
  <c r="N13" i="4"/>
  <c r="N8" i="4" s="1"/>
  <c r="G13" i="4"/>
  <c r="G8" i="4" s="1"/>
  <c r="S13" i="4"/>
  <c r="S8" i="4" s="1"/>
  <c r="AC13" i="4"/>
  <c r="AC8" i="4" s="1"/>
  <c r="O13" i="4"/>
  <c r="O8" i="4" s="1"/>
  <c r="AB13" i="4"/>
  <c r="R13" i="4"/>
  <c r="R8" i="4" s="1"/>
  <c r="H13" i="4"/>
  <c r="H8" i="4" s="1"/>
  <c r="Y13" i="4"/>
  <c r="Y8" i="4" s="1"/>
  <c r="E13" i="4"/>
  <c r="E8" i="4" s="1"/>
  <c r="AD4" i="10" l="1"/>
  <c r="AE3" i="10"/>
  <c r="B4" i="10"/>
  <c r="B5" i="10" s="1"/>
  <c r="C3" i="10"/>
  <c r="D4" i="10"/>
  <c r="E3" i="10"/>
  <c r="N4" i="10"/>
  <c r="O3" i="10"/>
  <c r="AC4" i="10"/>
  <c r="AD3" i="10"/>
  <c r="AD5" i="10" s="1"/>
  <c r="M4" i="10"/>
  <c r="N3" i="10"/>
  <c r="F4" i="10"/>
  <c r="G3" i="10"/>
  <c r="R4" i="10"/>
  <c r="S3" i="10"/>
  <c r="S5" i="10" s="1"/>
  <c r="Q4" i="10"/>
  <c r="R3" i="10"/>
  <c r="Z4" i="10"/>
  <c r="AA3" i="10"/>
  <c r="G4" i="10"/>
  <c r="H3" i="10"/>
  <c r="AA4" i="10"/>
  <c r="AB3" i="10"/>
  <c r="AB5" i="10" s="1"/>
  <c r="AE4" i="10"/>
  <c r="AF3" i="10"/>
  <c r="AF5" i="10" s="1"/>
  <c r="P4" i="10"/>
  <c r="Q3" i="10"/>
  <c r="V4" i="10"/>
  <c r="W3" i="10"/>
  <c r="W5" i="10" s="1"/>
  <c r="J4" i="10"/>
  <c r="K3" i="10"/>
  <c r="S4" i="10"/>
  <c r="T3" i="10"/>
  <c r="W4" i="10"/>
  <c r="X3" i="10"/>
  <c r="AB4" i="10"/>
  <c r="AC3" i="10"/>
  <c r="AC5" i="10" s="1"/>
  <c r="T4" i="10"/>
  <c r="U3" i="10"/>
  <c r="U5" i="10" s="1"/>
  <c r="K4" i="10"/>
  <c r="L3" i="10"/>
  <c r="E4" i="10"/>
  <c r="F3" i="10"/>
  <c r="O4" i="10"/>
  <c r="P3" i="10"/>
  <c r="P5" i="10" s="1"/>
  <c r="X4" i="10"/>
  <c r="Y3" i="10"/>
  <c r="I4" i="10"/>
  <c r="J3" i="10"/>
  <c r="L4" i="10"/>
  <c r="M3" i="10"/>
  <c r="H4" i="10"/>
  <c r="I3" i="10"/>
  <c r="I5" i="10" s="1"/>
  <c r="U4" i="10"/>
  <c r="V3" i="10"/>
  <c r="C4" i="10"/>
  <c r="D3" i="10"/>
  <c r="W81" i="4"/>
  <c r="O81" i="4"/>
  <c r="G81" i="4"/>
  <c r="V81" i="4"/>
  <c r="N81" i="4"/>
  <c r="F81" i="4"/>
  <c r="U81" i="4"/>
  <c r="M81" i="4"/>
  <c r="E81" i="4"/>
  <c r="T81" i="4"/>
  <c r="L81" i="4"/>
  <c r="AA81" i="4"/>
  <c r="S81" i="4"/>
  <c r="K81" i="4"/>
  <c r="R81" i="4"/>
  <c r="J81" i="4"/>
  <c r="Q81" i="4"/>
  <c r="I81" i="4"/>
  <c r="X81" i="4"/>
  <c r="H81" i="4"/>
  <c r="Z81" i="4"/>
  <c r="Y81" i="4"/>
  <c r="P81" i="4"/>
  <c r="B13" i="4"/>
  <c r="C10" i="4"/>
  <c r="M5" i="10" l="1"/>
  <c r="Q5" i="10"/>
  <c r="V5" i="10"/>
  <c r="K5" i="10"/>
  <c r="O5" i="10"/>
  <c r="C5" i="10"/>
  <c r="AE5" i="10"/>
  <c r="H5" i="10"/>
  <c r="G5" i="10"/>
  <c r="E5" i="10"/>
  <c r="F5" i="10"/>
  <c r="X5" i="10"/>
  <c r="AA5" i="10"/>
  <c r="N5" i="10"/>
  <c r="D5" i="10"/>
  <c r="J5" i="10"/>
  <c r="L5" i="10"/>
  <c r="T5" i="10"/>
  <c r="R5" i="10"/>
  <c r="AB8" i="4"/>
  <c r="B10" i="4"/>
  <c r="B8" i="4" s="1"/>
  <c r="B32" i="4" s="1"/>
  <c r="C8" i="4"/>
  <c r="Y4" i="10" l="1"/>
  <c r="Y5" i="10" s="1"/>
  <c r="B8" i="10" s="1"/>
  <c r="Z3" i="10"/>
  <c r="Z5" i="10" s="1"/>
  <c r="AE81" i="4"/>
  <c r="AC81" i="4"/>
  <c r="AH81" i="4"/>
  <c r="AF81" i="4"/>
  <c r="AB81" i="4"/>
  <c r="AD81" i="4"/>
  <c r="AG81" i="4"/>
  <c r="C12" i="10"/>
  <c r="D18" i="10" s="1"/>
  <c r="B7" i="10" l="1"/>
  <c r="B12" i="10"/>
  <c r="C17" i="10" l="1"/>
  <c r="C19" i="10" l="1"/>
  <c r="D17" i="10"/>
  <c r="E13" i="10" s="1"/>
  <c r="E17" i="10"/>
  <c r="F18" i="10" l="1"/>
  <c r="E15" i="10"/>
  <c r="F17" i="10"/>
  <c r="G13" i="10" l="1"/>
  <c r="F15" i="10"/>
  <c r="G17" i="10"/>
  <c r="H18" i="10" l="1"/>
  <c r="G15" i="10"/>
  <c r="H17" i="10"/>
  <c r="I13" i="10" l="1"/>
  <c r="H15" i="10"/>
  <c r="I17" i="10"/>
  <c r="J18" i="10" l="1"/>
  <c r="I15" i="10"/>
  <c r="J17" i="10"/>
  <c r="K13" i="10" l="1"/>
  <c r="K15" i="10"/>
  <c r="J15" i="10"/>
  <c r="K17" i="10"/>
  <c r="L18" i="10" l="1"/>
  <c r="M13" i="10" s="1"/>
  <c r="N18" i="10" l="1"/>
  <c r="O13" i="10" s="1"/>
  <c r="P18" i="10" l="1"/>
  <c r="Q13" i="10" s="1"/>
  <c r="R18" i="10" l="1"/>
  <c r="S13" i="10" s="1"/>
  <c r="T18" i="10" l="1"/>
  <c r="U13" i="10" s="1"/>
  <c r="V18" i="10" l="1"/>
  <c r="W13" i="10" s="1"/>
  <c r="X18" i="10" l="1"/>
  <c r="Y13" i="10" s="1"/>
  <c r="Z18" i="10" l="1"/>
  <c r="AA13" i="10" s="1"/>
  <c r="AB18" i="10" l="1"/>
  <c r="AC13" i="10" s="1"/>
  <c r="AD18" i="10" l="1"/>
  <c r="AE13" i="10" s="1"/>
  <c r="AF18" i="10" l="1"/>
  <c r="AG13" i="10" s="1"/>
  <c r="AG19" i="10" s="1"/>
  <c r="B16" i="10" l="1"/>
  <c r="B19" i="10" l="1"/>
  <c r="D13" i="10"/>
  <c r="E18" i="10" l="1"/>
  <c r="D19" i="10"/>
  <c r="F13" i="10" l="1"/>
  <c r="E19" i="10"/>
  <c r="G18" i="10" l="1"/>
  <c r="F19" i="10"/>
  <c r="H13" i="10" l="1"/>
  <c r="G19" i="10"/>
  <c r="I18" i="10" l="1"/>
  <c r="H19" i="10"/>
  <c r="J13" i="10" l="1"/>
  <c r="I19" i="10"/>
  <c r="K18" i="10" l="1"/>
  <c r="J19" i="10"/>
  <c r="L13" i="10" l="1"/>
  <c r="K19" i="10"/>
  <c r="L19" i="10" l="1"/>
  <c r="M18" i="10"/>
  <c r="N13" i="10" l="1"/>
  <c r="M19" i="10"/>
  <c r="O18" i="10" l="1"/>
  <c r="N19" i="10"/>
  <c r="P13" i="10" l="1"/>
  <c r="O19" i="10"/>
  <c r="P19" i="10" l="1"/>
  <c r="Q18" i="10"/>
  <c r="R13" i="10" l="1"/>
  <c r="Q19" i="10"/>
  <c r="R19" i="10" l="1"/>
  <c r="S18" i="10"/>
  <c r="T13" i="10" l="1"/>
  <c r="S19" i="10"/>
  <c r="U18" i="10" l="1"/>
  <c r="T19" i="10"/>
  <c r="V13" i="10" l="1"/>
  <c r="U19" i="10"/>
  <c r="W18" i="10" l="1"/>
  <c r="V19" i="10"/>
  <c r="X13" i="10" l="1"/>
  <c r="W19" i="10"/>
  <c r="Y18" i="10" l="1"/>
  <c r="X19" i="10"/>
  <c r="Z13" i="10" l="1"/>
  <c r="Y19" i="10"/>
  <c r="AA18" i="10" l="1"/>
  <c r="Z19" i="10"/>
  <c r="AB13" i="10" l="1"/>
  <c r="AA19" i="10"/>
  <c r="AB19" i="10" l="1"/>
  <c r="AC18" i="10"/>
  <c r="AD13" i="10" l="1"/>
  <c r="AC19" i="10"/>
  <c r="AE18" i="10" l="1"/>
  <c r="AD19" i="10"/>
  <c r="AF13" i="10" l="1"/>
  <c r="AF19" i="10" s="1"/>
  <c r="AE19" i="10"/>
  <c r="B21" i="10" l="1"/>
  <c r="B2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Sanchez</author>
    <author>Fausto Cabrera</author>
  </authors>
  <commentList>
    <comment ref="C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Veronica Sanchez:</t>
        </r>
        <r>
          <rPr>
            <sz val="9"/>
            <color indexed="81"/>
            <rFont val="Tahoma"/>
            <family val="2"/>
          </rPr>
          <t xml:space="preserve">
se incrementa por los tanques tormenta</t>
        </r>
      </text>
    </comment>
    <comment ref="E14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Fausto Cabrera:</t>
        </r>
        <r>
          <rPr>
            <sz val="9"/>
            <color indexed="81"/>
            <rFont val="Tahoma"/>
            <family val="2"/>
          </rPr>
          <t xml:space="preserve">
Rspaldo en % crecimiento op y mant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Sanchez</author>
  </authors>
  <commentList>
    <comment ref="C1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Veronica Sanchez:</t>
        </r>
        <r>
          <rPr>
            <sz val="9"/>
            <color indexed="81"/>
            <rFont val="Tahoma"/>
            <family val="2"/>
          </rPr>
          <t xml:space="preserve">
se incrementa por los tanques tormenta</t>
        </r>
      </text>
    </comment>
  </commentList>
</comments>
</file>

<file path=xl/sharedStrings.xml><?xml version="1.0" encoding="utf-8"?>
<sst xmlns="http://schemas.openxmlformats.org/spreadsheetml/2006/main" count="145" uniqueCount="92">
  <si>
    <t>CAPM EPMAPS</t>
  </si>
  <si>
    <t>(KM - Kl)</t>
  </si>
  <si>
    <t xml:space="preserve">Rentabilidad EPMAPS - KM </t>
  </si>
  <si>
    <t>Tasa libre de riesgo - KI</t>
  </si>
  <si>
    <t>Beta de la Industria</t>
  </si>
  <si>
    <t>Total</t>
  </si>
  <si>
    <t>Patrimonio</t>
  </si>
  <si>
    <t>Deuda financiera</t>
  </si>
  <si>
    <t>Costo Deuda</t>
  </si>
  <si>
    <t>WACC EPMAPS (Fondos Propios y Financiamiento)</t>
  </si>
  <si>
    <t>Intereses por el Financiamiento Trasladados al Aliado</t>
  </si>
  <si>
    <t>Riesgos a Transferir del Proyecto</t>
  </si>
  <si>
    <t>Reajustes del Contrato (proyección considerada en el periodo de construcción)</t>
  </si>
  <si>
    <t>Riesgo a Retener del Proyecto</t>
  </si>
  <si>
    <t>Costo de Inversión</t>
  </si>
  <si>
    <t>Costo Base del Proyecto</t>
  </si>
  <si>
    <t>EPMAPS</t>
  </si>
  <si>
    <t>Parques lineales</t>
  </si>
  <si>
    <t>Seguros</t>
  </si>
  <si>
    <t>Otros Costos</t>
  </si>
  <si>
    <t>Obras de Control de Drenaje Urbano (Cuencas y Quebradas)</t>
  </si>
  <si>
    <t>Costos de Operación y Mantenimiento</t>
  </si>
  <si>
    <t>Costos de Mantenimiento y Operación</t>
  </si>
  <si>
    <t>Estabilidad Taludes</t>
  </si>
  <si>
    <t>Costos de Administración y Gestión</t>
  </si>
  <si>
    <t>Ingresos</t>
  </si>
  <si>
    <t>Número de Clientes Residenciales</t>
  </si>
  <si>
    <t>Número de Clientes no Residenciales</t>
  </si>
  <si>
    <t xml:space="preserve">Recuperación de Bordes de Quebrada </t>
  </si>
  <si>
    <t>Expropiaciones y Reubicaciones</t>
  </si>
  <si>
    <t>Número de Predios Rio Monjas</t>
  </si>
  <si>
    <t>Número de Predios Rio Machangara</t>
  </si>
  <si>
    <t>Número de Predios Quebrada Batan</t>
  </si>
  <si>
    <t>Número de Predios Valle de los Chillos</t>
  </si>
  <si>
    <t>Número de Predios Valle de Tumbaco</t>
  </si>
  <si>
    <t>Costo por Reubicación (casa/predio) USD</t>
  </si>
  <si>
    <t>Suma Número de Predios</t>
  </si>
  <si>
    <t>Clientes EPMAPS</t>
  </si>
  <si>
    <t>Ingresos Tasa de Drenaje Pluvial Residencial</t>
  </si>
  <si>
    <t>Ingresos Tasa de Drenaje Pluvial no Residencial</t>
  </si>
  <si>
    <t>Ingresos Tasa de Drenaje Total</t>
  </si>
  <si>
    <t>PERIODO</t>
  </si>
  <si>
    <t>SUMATORIA</t>
  </si>
  <si>
    <t>VALOR ACTUAL</t>
  </si>
  <si>
    <t>Tasa Anual por Drenaje Pluvial Residencial</t>
  </si>
  <si>
    <t>Tasa Anual por Drenaje Pluvial no Residencial</t>
  </si>
  <si>
    <t>Tasa Mensual por Drenaje Pluvial Residencial</t>
  </si>
  <si>
    <t>Tasa Mensual por Drenaje Pluvial no Residencial</t>
  </si>
  <si>
    <t>Respaldos</t>
  </si>
  <si>
    <t>Mantenimiento Tanques Tormenta 35% de la infraestructura</t>
  </si>
  <si>
    <t>VALIDADOR</t>
  </si>
  <si>
    <t>Drenaje Pluvial: Proyecto de Inversión y Recuperación de la Inversión</t>
  </si>
  <si>
    <t>Del 2022 al 2052</t>
  </si>
  <si>
    <t>Del 2005 al 2021</t>
  </si>
  <si>
    <t>Sistema de Alivio Jatunhuancu</t>
  </si>
  <si>
    <t>Sistema de Alivio El Colegio</t>
  </si>
  <si>
    <t>Sistema de Alivio Almagro</t>
  </si>
  <si>
    <t>Sistema de Alivio Tumbaco</t>
  </si>
  <si>
    <t>Sistema de Alivio Centro - Norte, Centro y Sur - PSA</t>
  </si>
  <si>
    <t>VALOR 2021</t>
  </si>
  <si>
    <t>Sistema de Alivio Sur - PSA</t>
  </si>
  <si>
    <t>Inversión Acumulada</t>
  </si>
  <si>
    <t>Inversión, Operación y Mantenimiento 2005 - 2052</t>
  </si>
  <si>
    <t>INVERSIONES ACUMULADAS DESDE EL 2005</t>
  </si>
  <si>
    <t>Obras de Control de Drenaje Urbano (Cuencas y Quebradas) A precios constantes</t>
  </si>
  <si>
    <t>Valores Determinados con Costos Reales a Diciembre 2021</t>
  </si>
  <si>
    <t>Unidad de Mantenimiento de Quebradas UG030304</t>
  </si>
  <si>
    <t>Unidad de Operaciones Norte UG030301</t>
  </si>
  <si>
    <t>Unidad de Operaciones Centro UG030302</t>
  </si>
  <si>
    <t>Unidad de Operaciones Sur UG030303</t>
  </si>
  <si>
    <t>ALCANTARILLADO</t>
  </si>
  <si>
    <t xml:space="preserve">Redes de Alcantarillado 12010209 </t>
  </si>
  <si>
    <t>Proporcional Costos de Operación y Mantenimiento vs Valor Activado en Redes de Alcantarillado</t>
  </si>
  <si>
    <t>5% Costo de mantenimiento alcantarillado pluvial vs 95% costo de mantenimiento alcatarillado sanitario</t>
  </si>
  <si>
    <t>Valores Determinados con Costos Reales Sistema SAP - ERP</t>
  </si>
  <si>
    <t>Del 2016 al 2052</t>
  </si>
  <si>
    <t>Costos Operativos Departamento de Alcantarillado (Sin depreciación)</t>
  </si>
  <si>
    <t>Egresos</t>
  </si>
  <si>
    <t>VAN</t>
  </si>
  <si>
    <t>TIR</t>
  </si>
  <si>
    <t xml:space="preserve">Capital </t>
  </si>
  <si>
    <t>Comisión</t>
  </si>
  <si>
    <t>Inversión OM</t>
  </si>
  <si>
    <t>Intereses</t>
  </si>
  <si>
    <t>Ingresos Prestamo</t>
  </si>
  <si>
    <t>Ingresos Municipio</t>
  </si>
  <si>
    <t>Flujo de Caja sin Prestamo</t>
  </si>
  <si>
    <t>Flujo de Caja con Prestamo</t>
  </si>
  <si>
    <t>Resultado</t>
  </si>
  <si>
    <t>ESTRUCTURAS EXISTENTES + INVERSIONES</t>
  </si>
  <si>
    <t>30 años</t>
  </si>
  <si>
    <t>Inversión histórica (2005-2021) y requerida horizonte de 30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</si>
</sst>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164" fontId="0" fillId="0" borderId="0" xfId="1" applyNumberFormat="1" applyFont="1" applyAlignment="1">
      <alignment vertical="center"/>
    </xf>
    <xf numFmtId="10" fontId="2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0" fontId="0" fillId="0" borderId="1" xfId="3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164" fontId="0" fillId="0" borderId="0" xfId="1" applyNumberFormat="1" applyFont="1"/>
    <xf numFmtId="164" fontId="2" fillId="2" borderId="1" xfId="1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0" xfId="1" applyNumberFormat="1" applyFont="1" applyAlignment="1">
      <alignment vertical="center" wrapText="1"/>
    </xf>
    <xf numFmtId="164" fontId="0" fillId="0" borderId="2" xfId="1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64" fontId="0" fillId="0" borderId="0" xfId="2" applyNumberFormat="1" applyFont="1"/>
    <xf numFmtId="10" fontId="0" fillId="0" borderId="0" xfId="2" applyNumberFormat="1" applyFont="1"/>
    <xf numFmtId="9" fontId="0" fillId="0" borderId="0" xfId="2" applyFont="1" applyAlignment="1">
      <alignment vertical="center"/>
    </xf>
    <xf numFmtId="0" fontId="0" fillId="0" borderId="5" xfId="0" applyBorder="1" applyAlignment="1">
      <alignment vertical="center" wrapText="1"/>
    </xf>
    <xf numFmtId="43" fontId="0" fillId="0" borderId="1" xfId="1" applyNumberFormat="1" applyFont="1" applyBorder="1" applyAlignment="1">
      <alignment vertical="center" wrapText="1"/>
    </xf>
    <xf numFmtId="43" fontId="0" fillId="0" borderId="0" xfId="1" applyFont="1"/>
    <xf numFmtId="164" fontId="0" fillId="0" borderId="1" xfId="1" applyNumberFormat="1" applyFont="1" applyFill="1" applyBorder="1" applyAlignment="1">
      <alignment vertical="center" wrapText="1"/>
    </xf>
    <xf numFmtId="43" fontId="0" fillId="3" borderId="1" xfId="1" applyNumberFormat="1" applyFont="1" applyFill="1" applyBorder="1" applyAlignment="1">
      <alignment vertical="center" wrapText="1"/>
    </xf>
    <xf numFmtId="43" fontId="0" fillId="0" borderId="1" xfId="1" applyFont="1" applyBorder="1" applyAlignment="1">
      <alignment vertical="center"/>
    </xf>
    <xf numFmtId="164" fontId="0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3" fillId="0" borderId="3" xfId="0" applyNumberFormat="1" applyFont="1" applyBorder="1" applyAlignment="1">
      <alignment horizontal="centerContinuous" vertical="center"/>
    </xf>
    <xf numFmtId="0" fontId="3" fillId="0" borderId="5" xfId="0" applyNumberFormat="1" applyFont="1" applyBorder="1" applyAlignment="1">
      <alignment horizontal="centerContinuous" vertical="center"/>
    </xf>
    <xf numFmtId="0" fontId="3" fillId="0" borderId="5" xfId="2" applyNumberFormat="1" applyFont="1" applyBorder="1" applyAlignment="1">
      <alignment horizontal="centerContinuous" vertical="center"/>
    </xf>
    <xf numFmtId="0" fontId="3" fillId="0" borderId="2" xfId="0" applyNumberFormat="1" applyFont="1" applyBorder="1" applyAlignment="1">
      <alignment horizontal="centerContinuous" vertical="center"/>
    </xf>
    <xf numFmtId="164" fontId="0" fillId="0" borderId="0" xfId="1" applyNumberFormat="1" applyFont="1" applyBorder="1" applyAlignment="1">
      <alignment vertical="center" wrapText="1"/>
    </xf>
    <xf numFmtId="0" fontId="0" fillId="0" borderId="0" xfId="0" applyBorder="1"/>
    <xf numFmtId="0" fontId="5" fillId="4" borderId="1" xfId="0" applyFont="1" applyFill="1" applyBorder="1" applyAlignment="1">
      <alignment vertical="center" wrapText="1"/>
    </xf>
    <xf numFmtId="9" fontId="6" fillId="0" borderId="0" xfId="2" applyFont="1" applyAlignment="1">
      <alignment horizont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Alignment="1">
      <alignment vertical="center" wrapText="1"/>
    </xf>
    <xf numFmtId="0" fontId="9" fillId="0" borderId="0" xfId="0" applyFont="1"/>
    <xf numFmtId="164" fontId="2" fillId="5" borderId="1" xfId="1" applyNumberFormat="1" applyFont="1" applyFill="1" applyBorder="1" applyAlignment="1">
      <alignment vertical="center" wrapText="1"/>
    </xf>
    <xf numFmtId="164" fontId="0" fillId="5" borderId="1" xfId="1" applyNumberFormat="1" applyFont="1" applyFill="1" applyBorder="1" applyAlignment="1">
      <alignment vertical="center" wrapText="1"/>
    </xf>
    <xf numFmtId="9" fontId="0" fillId="0" borderId="0" xfId="2" applyFont="1"/>
    <xf numFmtId="0" fontId="9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0" fillId="0" borderId="8" xfId="1" applyNumberFormat="1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9" fontId="0" fillId="0" borderId="0" xfId="2" applyFont="1" applyAlignment="1">
      <alignment vertical="center" wrapText="1"/>
    </xf>
    <xf numFmtId="43" fontId="2" fillId="5" borderId="1" xfId="1" applyNumberFormat="1" applyFont="1" applyFill="1" applyBorder="1" applyAlignment="1">
      <alignment vertical="center" wrapText="1"/>
    </xf>
    <xf numFmtId="43" fontId="0" fillId="0" borderId="0" xfId="0" applyNumberFormat="1"/>
    <xf numFmtId="164" fontId="0" fillId="0" borderId="0" xfId="0" applyNumberFormat="1"/>
    <xf numFmtId="10" fontId="0" fillId="0" borderId="0" xfId="2" applyNumberFormat="1" applyFont="1" applyBorder="1" applyAlignment="1">
      <alignment vertical="center" wrapText="1"/>
    </xf>
    <xf numFmtId="9" fontId="0" fillId="0" borderId="0" xfId="0" applyNumberFormat="1"/>
    <xf numFmtId="9" fontId="0" fillId="0" borderId="0" xfId="2" applyNumberFormat="1" applyFont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164" fontId="10" fillId="0" borderId="5" xfId="0" applyNumberFormat="1" applyFont="1" applyFill="1" applyBorder="1" applyAlignment="1">
      <alignment horizontal="centerContinuous" vertical="center"/>
    </xf>
    <xf numFmtId="10" fontId="0" fillId="0" borderId="0" xfId="0" applyNumberFormat="1"/>
    <xf numFmtId="0" fontId="3" fillId="0" borderId="1" xfId="0" applyFont="1" applyBorder="1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164" fontId="0" fillId="0" borderId="1" xfId="0" applyNumberFormat="1" applyBorder="1"/>
    <xf numFmtId="164" fontId="3" fillId="0" borderId="1" xfId="0" applyNumberFormat="1" applyFont="1" applyBorder="1" applyAlignment="1">
      <alignment vertical="center"/>
    </xf>
    <xf numFmtId="164" fontId="0" fillId="0" borderId="6" xfId="0" applyNumberFormat="1" applyBorder="1" applyAlignment="1"/>
    <xf numFmtId="164" fontId="0" fillId="0" borderId="7" xfId="0" applyNumberFormat="1" applyBorder="1" applyAlignment="1"/>
    <xf numFmtId="164" fontId="0" fillId="0" borderId="8" xfId="0" applyNumberFormat="1" applyBorder="1" applyAlignment="1"/>
    <xf numFmtId="164" fontId="0" fillId="0" borderId="4" xfId="0" applyNumberFormat="1" applyBorder="1" applyAlignment="1"/>
    <xf numFmtId="164" fontId="0" fillId="0" borderId="0" xfId="0" applyNumberFormat="1" applyBorder="1" applyAlignment="1"/>
    <xf numFmtId="164" fontId="0" fillId="0" borderId="9" xfId="0" applyNumberFormat="1" applyBorder="1" applyAlignment="1"/>
    <xf numFmtId="164" fontId="0" fillId="0" borderId="10" xfId="0" applyNumberFormat="1" applyBorder="1" applyAlignment="1"/>
    <xf numFmtId="164" fontId="0" fillId="0" borderId="11" xfId="0" applyNumberFormat="1" applyBorder="1" applyAlignment="1"/>
    <xf numFmtId="164" fontId="0" fillId="0" borderId="12" xfId="0" applyNumberFormat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/>
    </xf>
    <xf numFmtId="9" fontId="0" fillId="0" borderId="1" xfId="0" applyNumberFormat="1" applyBorder="1"/>
    <xf numFmtId="0" fontId="3" fillId="0" borderId="1" xfId="0" applyFont="1" applyBorder="1"/>
    <xf numFmtId="164" fontId="0" fillId="0" borderId="3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43" fontId="0" fillId="0" borderId="3" xfId="1" applyNumberFormat="1" applyFont="1" applyBorder="1" applyAlignment="1">
      <alignment horizontal="center" vertical="center" wrapText="1"/>
    </xf>
    <xf numFmtId="43" fontId="0" fillId="0" borderId="2" xfId="1" applyNumberFormat="1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Porcentaje" xfId="2" builtinId="5"/>
    <cellStyle name="Porcentaje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5.xml"/><Relationship Id="rId5" Type="http://schemas.openxmlformats.org/officeDocument/2006/relationships/chartsheet" Target="chartsheets/sheet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/>
              <a:t>INVERSIONES</a:t>
            </a:r>
            <a:r>
              <a:rPr lang="es-EC" sz="1800" baseline="0"/>
              <a:t> PARA DRENAJE PLUVIAL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0.12621530229713279"/>
          <c:y val="0.1294905608417265"/>
          <c:w val="0.85878086619471361"/>
          <c:h val="0.73019826165322754"/>
        </c:manualLayout>
      </c:layout>
      <c:lineChart>
        <c:grouping val="standard"/>
        <c:varyColors val="0"/>
        <c:ser>
          <c:idx val="0"/>
          <c:order val="0"/>
          <c:tx>
            <c:strRef>
              <c:f>'Proyección 24012022'!$A$80</c:f>
              <c:strCache>
                <c:ptCount val="1"/>
                <c:pt idx="0">
                  <c:v>INVERSIONES ACUMULADAS DESDE EL 2005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'Proyección 24012022'!$E$80:$AH$80</c:f>
              <c:numCache>
                <c:formatCode>_ * #,##0_ ;_ * \-#,##0_ ;_ * "-"??_ ;_ @_ </c:formatCode>
                <c:ptCount val="30"/>
                <c:pt idx="0">
                  <c:v>141698096.72</c:v>
                </c:pt>
                <c:pt idx="1">
                  <c:v>156706721.72</c:v>
                </c:pt>
                <c:pt idx="2">
                  <c:v>174216784.22</c:v>
                </c:pt>
                <c:pt idx="3">
                  <c:v>196142710.14592588</c:v>
                </c:pt>
                <c:pt idx="4">
                  <c:v>220647088.80072951</c:v>
                </c:pt>
                <c:pt idx="5">
                  <c:v>245151467.45553315</c:v>
                </c:pt>
                <c:pt idx="6">
                  <c:v>269655846.11033678</c:v>
                </c:pt>
                <c:pt idx="7">
                  <c:v>294160224.76514041</c:v>
                </c:pt>
                <c:pt idx="8">
                  <c:v>318664603.41994405</c:v>
                </c:pt>
                <c:pt idx="9">
                  <c:v>343168982.07474768</c:v>
                </c:pt>
                <c:pt idx="10">
                  <c:v>367673360.72955132</c:v>
                </c:pt>
                <c:pt idx="11">
                  <c:v>392177739.38435495</c:v>
                </c:pt>
                <c:pt idx="12">
                  <c:v>416682118.03915858</c:v>
                </c:pt>
                <c:pt idx="13">
                  <c:v>441186496.69396222</c:v>
                </c:pt>
                <c:pt idx="14">
                  <c:v>465690875.34876585</c:v>
                </c:pt>
                <c:pt idx="15">
                  <c:v>490195254.00356948</c:v>
                </c:pt>
                <c:pt idx="16">
                  <c:v>514699632.65837312</c:v>
                </c:pt>
                <c:pt idx="17">
                  <c:v>539204011.31317675</c:v>
                </c:pt>
                <c:pt idx="18">
                  <c:v>563708389.96798038</c:v>
                </c:pt>
                <c:pt idx="19">
                  <c:v>588212768.62278402</c:v>
                </c:pt>
                <c:pt idx="20">
                  <c:v>612717147.27758765</c:v>
                </c:pt>
                <c:pt idx="21">
                  <c:v>637221525.93239129</c:v>
                </c:pt>
                <c:pt idx="22">
                  <c:v>661725904.58719492</c:v>
                </c:pt>
                <c:pt idx="23">
                  <c:v>686230283.24199855</c:v>
                </c:pt>
                <c:pt idx="24">
                  <c:v>710734661.89680219</c:v>
                </c:pt>
                <c:pt idx="25">
                  <c:v>735239040.55160582</c:v>
                </c:pt>
                <c:pt idx="26">
                  <c:v>759743419.20640945</c:v>
                </c:pt>
                <c:pt idx="27">
                  <c:v>784247797.86121309</c:v>
                </c:pt>
                <c:pt idx="28">
                  <c:v>808752176.51601672</c:v>
                </c:pt>
                <c:pt idx="29">
                  <c:v>831692346.72000003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1-488F-9617-23D5E8654A01}"/>
            </c:ext>
          </c:extLst>
        </c:ser>
        <c:ser>
          <c:idx val="1"/>
          <c:order val="1"/>
          <c:tx>
            <c:strRef>
              <c:f>'Proyección 24012022'!$A$81</c:f>
              <c:strCache>
                <c:ptCount val="1"/>
                <c:pt idx="0">
                  <c:v>ESTRUCTURAS EXISTENTES + INVERSIONES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'Proyección 24012022'!$E$81:$AH$81</c:f>
              <c:numCache>
                <c:formatCode>_ * #,##0_ ;_ * \-#,##0_ ;_ * "-"??_ ;_ @_ </c:formatCode>
                <c:ptCount val="30"/>
                <c:pt idx="0">
                  <c:v>141698096.72</c:v>
                </c:pt>
                <c:pt idx="1">
                  <c:v>156706721.72</c:v>
                </c:pt>
                <c:pt idx="2">
                  <c:v>174216784.22</c:v>
                </c:pt>
                <c:pt idx="3">
                  <c:v>196142710.14592588</c:v>
                </c:pt>
                <c:pt idx="4">
                  <c:v>220647088.80072951</c:v>
                </c:pt>
                <c:pt idx="5">
                  <c:v>245151467.45553315</c:v>
                </c:pt>
                <c:pt idx="6">
                  <c:v>269655846.11033678</c:v>
                </c:pt>
                <c:pt idx="7">
                  <c:v>294160224.76514041</c:v>
                </c:pt>
                <c:pt idx="8">
                  <c:v>318664603.41994405</c:v>
                </c:pt>
                <c:pt idx="9">
                  <c:v>343168982.07474768</c:v>
                </c:pt>
                <c:pt idx="10">
                  <c:v>367673360.72955132</c:v>
                </c:pt>
                <c:pt idx="11">
                  <c:v>392177739.38435495</c:v>
                </c:pt>
                <c:pt idx="12">
                  <c:v>416682118.03915858</c:v>
                </c:pt>
                <c:pt idx="13">
                  <c:v>441186496.69396222</c:v>
                </c:pt>
                <c:pt idx="14">
                  <c:v>465690875.34876585</c:v>
                </c:pt>
                <c:pt idx="15">
                  <c:v>490195254.00356948</c:v>
                </c:pt>
                <c:pt idx="16">
                  <c:v>514699632.65837312</c:v>
                </c:pt>
                <c:pt idx="17">
                  <c:v>539204011.31317675</c:v>
                </c:pt>
                <c:pt idx="18">
                  <c:v>563708389.96798038</c:v>
                </c:pt>
                <c:pt idx="19">
                  <c:v>588212768.62278402</c:v>
                </c:pt>
                <c:pt idx="20">
                  <c:v>612717147.27758765</c:v>
                </c:pt>
                <c:pt idx="21">
                  <c:v>637221525.93239129</c:v>
                </c:pt>
                <c:pt idx="22">
                  <c:v>661725904.58719492</c:v>
                </c:pt>
                <c:pt idx="23">
                  <c:v>686230283.24199855</c:v>
                </c:pt>
                <c:pt idx="24">
                  <c:v>710734661.89680219</c:v>
                </c:pt>
                <c:pt idx="25">
                  <c:v>735239040.55160582</c:v>
                </c:pt>
                <c:pt idx="26">
                  <c:v>759743419.20640945</c:v>
                </c:pt>
                <c:pt idx="27">
                  <c:v>784247797.86121309</c:v>
                </c:pt>
                <c:pt idx="28">
                  <c:v>808752176.51601672</c:v>
                </c:pt>
                <c:pt idx="29">
                  <c:v>831692346.72000003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1-488F-9617-23D5E8654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926050208"/>
        <c:axId val="926043136"/>
      </c:lineChart>
      <c:catAx>
        <c:axId val="92605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AÑO</a:t>
                </a:r>
                <a:r>
                  <a:rPr lang="es-EC" baseline="0"/>
                  <a:t>  DE INVERSIÓN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26043136"/>
        <c:crosses val="autoZero"/>
        <c:auto val="1"/>
        <c:lblAlgn val="ctr"/>
        <c:lblOffset val="100"/>
        <c:noMultiLvlLbl val="0"/>
      </c:catAx>
      <c:valAx>
        <c:axId val="926043136"/>
        <c:scaling>
          <c:orientation val="minMax"/>
          <c:min val="1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INVERSIÓN</a:t>
                </a:r>
                <a:r>
                  <a:rPr lang="es-EC" baseline="0"/>
                  <a:t> EN USD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_ * #,##0_ ;_ * \-#,##0_ ;_ * &quot;-&quot;??_ ;_ 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9260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7648903898687"/>
          <c:y val="0.94186560351709048"/>
          <c:w val="0.80429386674084458"/>
          <c:h val="3.5193565926314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emap\respaldos\C1152\EXCEL\C-4A-Fac-cv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boxsvr\sergio\Proyectos\Agua%20Potable\Procesado2\Guayaquil15_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ERONICA.SANCHEZ\AppData\Local\Microsoft\Windows\Temporary%20Internet%20Files\Content.Outlook\2LW4JX7G\FAUSTO%20CABRERA\Analisis%20Financiero\FAUSTO%20CABRERA\Analisis%20Financiero\Proyecci&#243;n%20Ram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E\10_Financements%20structur&#233;s\_BASE%20PRIVATIVE%20DE%20TJF\1.PROD_FINANCIERE\1.4.Dossiers%20FIN%20par%20pays\Equateur\EPMAPS%20-%20510546\CEC1010\2-%20Instruction\Analyse%20fin\_Grille_EPMAPS_TRAVAIL%20FIN%20vdef%2021-04-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AUSTO.CABRERA\AppData\Local\Microsoft\Windows\Temporary%20Internet%20Files\Content.Outlook\C92N4WJ8\luis%20delgado%20MUNICIPIO\EXAMEN%20FINAL%20MUNICIPIO%20Silvia%20D&#225;vila%20-%20Luis%20E.%20Delgado\Tabla%20de%20Amortizaci&#242;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usto%20Cabrera\FC\APF\Modelo%20Financiero\Consultora\Modelo%20financiero-EPMAPS-DRENAJE%201304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-VEN"/>
      <sheetName val="Actual"/>
      <sheetName val="CARTOTAL"/>
      <sheetName val="CAR3MMES"/>
      <sheetName val="CAR3MES"/>
    </sheetNames>
    <sheetDataSet>
      <sheetData sheetId="0">
        <row r="10">
          <cell r="C10">
            <v>13512</v>
          </cell>
          <cell r="E10">
            <v>37123</v>
          </cell>
        </row>
        <row r="11">
          <cell r="C11">
            <v>14189</v>
          </cell>
          <cell r="E11">
            <v>46260</v>
          </cell>
        </row>
        <row r="12">
          <cell r="C12">
            <v>13490</v>
          </cell>
          <cell r="E12">
            <v>54020</v>
          </cell>
        </row>
        <row r="22">
          <cell r="C22">
            <v>3703.8</v>
          </cell>
          <cell r="E22">
            <v>3680.7</v>
          </cell>
        </row>
        <row r="23">
          <cell r="C23">
            <v>7557.7</v>
          </cell>
          <cell r="E23">
            <v>6701</v>
          </cell>
        </row>
        <row r="24">
          <cell r="C24">
            <v>9196.9</v>
          </cell>
          <cell r="E24">
            <v>8765.7000000000007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Data &amp; Key Results"/>
      <sheetName val="Links"/>
      <sheetName val="Input"/>
      <sheetName val="Time&amp;Esc"/>
      <sheetName val="Engineering"/>
      <sheetName val="Tariffs"/>
      <sheetName val="Capex"/>
      <sheetName val="Sources &amp; Uses"/>
      <sheetName val="Revenue"/>
      <sheetName val="Opex"/>
      <sheetName val="Deprec"/>
      <sheetName val="WC and Tax"/>
      <sheetName val="DSCR"/>
      <sheetName val="Debt"/>
      <sheetName val="IS"/>
      <sheetName val="CFS"/>
      <sheetName val="BS"/>
      <sheetName val="Check"/>
      <sheetName val="Kons"/>
      <sheetName val="IWL Outputs"/>
      <sheetName val="Valuation Summary"/>
      <sheetName val="Module2"/>
    </sheetNames>
    <sheetDataSet>
      <sheetData sheetId="0"/>
      <sheetData sheetId="1"/>
      <sheetData sheetId="2"/>
      <sheetData sheetId="3">
        <row r="17">
          <cell r="C17">
            <v>30</v>
          </cell>
        </row>
        <row r="29">
          <cell r="C29">
            <v>2000</v>
          </cell>
          <cell r="D29">
            <v>2001</v>
          </cell>
          <cell r="E29">
            <v>2002</v>
          </cell>
          <cell r="F29">
            <v>2003</v>
          </cell>
          <cell r="G29">
            <v>2004</v>
          </cell>
          <cell r="H29">
            <v>2005</v>
          </cell>
          <cell r="I29">
            <v>2006</v>
          </cell>
          <cell r="J29">
            <v>2007</v>
          </cell>
          <cell r="K29">
            <v>2008</v>
          </cell>
          <cell r="L29">
            <v>2009</v>
          </cell>
          <cell r="M29">
            <v>2010</v>
          </cell>
          <cell r="N29">
            <v>2011</v>
          </cell>
          <cell r="O29">
            <v>2012</v>
          </cell>
          <cell r="P29">
            <v>2013</v>
          </cell>
          <cell r="Q29">
            <v>2014</v>
          </cell>
          <cell r="R29">
            <v>2015</v>
          </cell>
          <cell r="S29">
            <v>2016</v>
          </cell>
          <cell r="T29">
            <v>2017</v>
          </cell>
          <cell r="U29">
            <v>2018</v>
          </cell>
          <cell r="V29">
            <v>2019</v>
          </cell>
          <cell r="W29">
            <v>2020</v>
          </cell>
          <cell r="X29">
            <v>2021</v>
          </cell>
          <cell r="Y29">
            <v>2022</v>
          </cell>
          <cell r="Z29">
            <v>2023</v>
          </cell>
          <cell r="AA29">
            <v>2024</v>
          </cell>
          <cell r="AB29">
            <v>2025</v>
          </cell>
          <cell r="AC29">
            <v>2026</v>
          </cell>
          <cell r="AD29">
            <v>2027</v>
          </cell>
          <cell r="AE29">
            <v>2028</v>
          </cell>
          <cell r="AF29">
            <v>2029</v>
          </cell>
          <cell r="AG29">
            <v>2030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C30">
            <v>0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1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</row>
        <row r="33">
          <cell r="C33">
            <v>0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>
            <v>1</v>
          </cell>
          <cell r="AD33">
            <v>1</v>
          </cell>
          <cell r="AE33">
            <v>1</v>
          </cell>
          <cell r="AF33">
            <v>1</v>
          </cell>
          <cell r="AG33">
            <v>1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266">
          <cell r="C266">
            <v>0.05</v>
          </cell>
        </row>
        <row r="267">
          <cell r="C267">
            <v>0.2</v>
          </cell>
        </row>
        <row r="301">
          <cell r="C301">
            <v>0</v>
          </cell>
        </row>
        <row r="347">
          <cell r="C347">
            <v>1</v>
          </cell>
        </row>
        <row r="394">
          <cell r="C394">
            <v>0</v>
          </cell>
        </row>
        <row r="464">
          <cell r="C464">
            <v>0</v>
          </cell>
        </row>
        <row r="466">
          <cell r="C46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3">
          <cell r="C103">
            <v>0</v>
          </cell>
          <cell r="D103">
            <v>34432.01452213461</v>
          </cell>
          <cell r="E103">
            <v>40005.513746104931</v>
          </cell>
          <cell r="F103">
            <v>41790.407031436029</v>
          </cell>
          <cell r="G103">
            <v>43019.557881312438</v>
          </cell>
          <cell r="H103">
            <v>44039.00960729034</v>
          </cell>
          <cell r="I103">
            <v>42763.865343627229</v>
          </cell>
          <cell r="J103">
            <v>44138.494882241474</v>
          </cell>
          <cell r="K103">
            <v>45561.380852169284</v>
          </cell>
          <cell r="L103">
            <v>47035.308094467648</v>
          </cell>
          <cell r="M103">
            <v>48405.575838329067</v>
          </cell>
          <cell r="N103">
            <v>49885.623749118895</v>
          </cell>
          <cell r="O103">
            <v>51424.094332081033</v>
          </cell>
          <cell r="P103">
            <v>53017.453863604933</v>
          </cell>
          <cell r="Q103">
            <v>54667.709686973743</v>
          </cell>
          <cell r="R103">
            <v>56186.864041436405</v>
          </cell>
          <cell r="S103">
            <v>57768.85887374507</v>
          </cell>
          <cell r="T103">
            <v>59408.525309687553</v>
          </cell>
          <cell r="U103">
            <v>61107.507614484755</v>
          </cell>
          <cell r="V103">
            <v>62867.263339152967</v>
          </cell>
          <cell r="W103">
            <v>64589.141520569538</v>
          </cell>
          <cell r="X103">
            <v>66410.69433278506</v>
          </cell>
          <cell r="Y103">
            <v>68292.144896898419</v>
          </cell>
          <cell r="Z103">
            <v>70234.908585799058</v>
          </cell>
          <cell r="AA103">
            <v>72236.33781402107</v>
          </cell>
          <cell r="AB103">
            <v>74239.123258913096</v>
          </cell>
          <cell r="AC103">
            <v>76322.080952901029</v>
          </cell>
          <cell r="AD103">
            <v>78414.652563058029</v>
          </cell>
          <cell r="AE103">
            <v>80455.48204107309</v>
          </cell>
          <cell r="AF103">
            <v>82259.476508026419</v>
          </cell>
          <cell r="AG103">
            <v>84695.863328460429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</row>
      </sheetData>
      <sheetData sheetId="11"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</row>
        <row r="125">
          <cell r="C125">
            <v>0</v>
          </cell>
          <cell r="D125">
            <v>814.83684746127005</v>
          </cell>
          <cell r="E125">
            <v>2723.786679663061</v>
          </cell>
          <cell r="F125">
            <v>4328.9926094041875</v>
          </cell>
          <cell r="G125">
            <v>6496.8262722365989</v>
          </cell>
          <cell r="H125">
            <v>8938.9456519567721</v>
          </cell>
          <cell r="I125">
            <v>14118.662475390205</v>
          </cell>
          <cell r="J125">
            <v>19208.413061648203</v>
          </cell>
          <cell r="K125">
            <v>24600.220219550396</v>
          </cell>
          <cell r="L125">
            <v>30070.5958921813</v>
          </cell>
          <cell r="M125">
            <v>35711.064312275914</v>
          </cell>
          <cell r="N125">
            <v>37920.099808743747</v>
          </cell>
          <cell r="O125">
            <v>40012.49147878676</v>
          </cell>
          <cell r="P125">
            <v>42390.820147647843</v>
          </cell>
          <cell r="Q125">
            <v>44845.186710669492</v>
          </cell>
          <cell r="R125">
            <v>47484.606670266163</v>
          </cell>
          <cell r="S125">
            <v>47771.186936875798</v>
          </cell>
          <cell r="T125">
            <v>48183.811844596748</v>
          </cell>
          <cell r="U125">
            <v>48749.070395860894</v>
          </cell>
          <cell r="V125">
            <v>49500.704091884123</v>
          </cell>
          <cell r="W125">
            <v>50482.248722412711</v>
          </cell>
          <cell r="X125">
            <v>51819.111885910905</v>
          </cell>
          <cell r="Y125">
            <v>53107.475107469792</v>
          </cell>
          <cell r="Z125">
            <v>55032.389782033817</v>
          </cell>
          <cell r="AA125">
            <v>57403.943274275436</v>
          </cell>
          <cell r="AB125">
            <v>60585.998599568564</v>
          </cell>
          <cell r="AC125">
            <v>64518.294657276572</v>
          </cell>
          <cell r="AD125">
            <v>70564.786188027458</v>
          </cell>
          <cell r="AE125">
            <v>80240.574051668795</v>
          </cell>
          <cell r="AF125">
            <v>97343.928691770794</v>
          </cell>
          <cell r="AG125">
            <v>137090.41546414778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</row>
        <row r="192">
          <cell r="C192">
            <v>0</v>
          </cell>
          <cell r="D192">
            <v>11111.411556290044</v>
          </cell>
          <cell r="E192">
            <v>37101.808332746361</v>
          </cell>
          <cell r="F192">
            <v>58920.141358353896</v>
          </cell>
          <cell r="G192">
            <v>88332.95989929614</v>
          </cell>
          <cell r="H192">
            <v>121403.32649967352</v>
          </cell>
          <cell r="I192">
            <v>194402.58399371724</v>
          </cell>
          <cell r="J192">
            <v>270037.08091668971</v>
          </cell>
          <cell r="K192">
            <v>348427.72291875398</v>
          </cell>
          <cell r="L192">
            <v>429702.05520893348</v>
          </cell>
          <cell r="M192">
            <v>513994.66081030009</v>
          </cell>
          <cell r="N192">
            <v>565877.97917662677</v>
          </cell>
          <cell r="O192">
            <v>619558.04858525714</v>
          </cell>
          <cell r="P192">
            <v>675110.96904262423</v>
          </cell>
          <cell r="Q192">
            <v>732616.66676287737</v>
          </cell>
          <cell r="R192">
            <v>792159.10740325414</v>
          </cell>
          <cell r="S192">
            <v>824284.85875498923</v>
          </cell>
          <cell r="T192">
            <v>857606.15024780051</v>
          </cell>
          <cell r="U192">
            <v>892174.74648213328</v>
          </cell>
          <cell r="V192">
            <v>928044.92576584732</v>
          </cell>
          <cell r="W192">
            <v>965273.61094917892</v>
          </cell>
          <cell r="X192">
            <v>995731.67371779832</v>
          </cell>
          <cell r="Y192">
            <v>1027465.8599084767</v>
          </cell>
          <cell r="Z192">
            <v>1060536.7655625618</v>
          </cell>
          <cell r="AA192">
            <v>1095008.10125472</v>
          </cell>
          <cell r="AB192">
            <v>1130946.8591357707</v>
          </cell>
          <cell r="AC192">
            <v>1167816.6094604528</v>
          </cell>
          <cell r="AD192">
            <v>1206283.1534288921</v>
          </cell>
          <cell r="AE192">
            <v>1246424.0449133071</v>
          </cell>
          <cell r="AF192">
            <v>1288320.8747299565</v>
          </cell>
          <cell r="AG192">
            <v>1332059.4885316622</v>
          </cell>
          <cell r="AH192">
            <v>1332059.4885316622</v>
          </cell>
          <cell r="AI192">
            <v>1332059.4885316622</v>
          </cell>
          <cell r="AJ192">
            <v>1332059.4885316622</v>
          </cell>
          <cell r="AK192">
            <v>1332059.4885316622</v>
          </cell>
          <cell r="AL192">
            <v>1332059.4885316622</v>
          </cell>
          <cell r="AM192">
            <v>1332059.4885316622</v>
          </cell>
          <cell r="AN192">
            <v>1332059.4885316622</v>
          </cell>
          <cell r="AO192">
            <v>1332059.4885316622</v>
          </cell>
          <cell r="AP192">
            <v>1332059.4885316622</v>
          </cell>
          <cell r="AQ192">
            <v>1332059.4885316622</v>
          </cell>
          <cell r="AR192">
            <v>1332059.4885316622</v>
          </cell>
          <cell r="AS192">
            <v>1332059.4885316622</v>
          </cell>
        </row>
        <row r="193">
          <cell r="C193">
            <v>0</v>
          </cell>
          <cell r="D193">
            <v>814.83684746127005</v>
          </cell>
          <cell r="E193">
            <v>3538.6235271243308</v>
          </cell>
          <cell r="F193">
            <v>7867.6161365285179</v>
          </cell>
          <cell r="G193">
            <v>14364.442408765117</v>
          </cell>
          <cell r="H193">
            <v>23303.388060721889</v>
          </cell>
          <cell r="I193">
            <v>37422.050536112089</v>
          </cell>
          <cell r="J193">
            <v>56630.463597760296</v>
          </cell>
          <cell r="K193">
            <v>81230.683817310695</v>
          </cell>
          <cell r="L193">
            <v>111301.279709492</v>
          </cell>
          <cell r="M193">
            <v>147012.3440217679</v>
          </cell>
          <cell r="N193">
            <v>184932.44383051168</v>
          </cell>
          <cell r="O193">
            <v>224944.93530929839</v>
          </cell>
          <cell r="P193">
            <v>267335.75545694627</v>
          </cell>
          <cell r="Q193">
            <v>312180.94216761575</v>
          </cell>
          <cell r="R193">
            <v>359665.54883788188</v>
          </cell>
          <cell r="S193">
            <v>407436.73577475763</v>
          </cell>
          <cell r="T193">
            <v>455620.54761935445</v>
          </cell>
          <cell r="U193">
            <v>504369.61801521532</v>
          </cell>
          <cell r="V193">
            <v>553870.32210709946</v>
          </cell>
          <cell r="W193">
            <v>604352.57082951209</v>
          </cell>
          <cell r="X193">
            <v>656171.68271542306</v>
          </cell>
          <cell r="Y193">
            <v>709279.15782289288</v>
          </cell>
          <cell r="Z193">
            <v>764311.54760492663</v>
          </cell>
          <cell r="AA193">
            <v>821715.49087920215</v>
          </cell>
          <cell r="AB193">
            <v>882301.48947877064</v>
          </cell>
          <cell r="AC193">
            <v>946819.78413604724</v>
          </cell>
          <cell r="AD193">
            <v>1017384.5703240747</v>
          </cell>
          <cell r="AE193">
            <v>1097625.1443757433</v>
          </cell>
          <cell r="AF193">
            <v>1194969.0730675142</v>
          </cell>
          <cell r="AG193">
            <v>1332059.4885316622</v>
          </cell>
          <cell r="AH193">
            <v>1332059.4885316622</v>
          </cell>
          <cell r="AI193">
            <v>1332059.4885316622</v>
          </cell>
          <cell r="AJ193">
            <v>1332059.4885316622</v>
          </cell>
          <cell r="AK193">
            <v>1332059.4885316622</v>
          </cell>
          <cell r="AL193">
            <v>1332059.4885316622</v>
          </cell>
          <cell r="AM193">
            <v>1332059.4885316622</v>
          </cell>
          <cell r="AN193">
            <v>1332059.4885316622</v>
          </cell>
          <cell r="AO193">
            <v>1332059.4885316622</v>
          </cell>
          <cell r="AP193">
            <v>1332059.4885316622</v>
          </cell>
          <cell r="AQ193">
            <v>1332059.4885316622</v>
          </cell>
          <cell r="AR193">
            <v>1332059.4885316622</v>
          </cell>
          <cell r="AS193">
            <v>1332059.4885316622</v>
          </cell>
        </row>
      </sheetData>
      <sheetData sheetId="12">
        <row r="45">
          <cell r="C45">
            <v>0</v>
          </cell>
          <cell r="D45">
            <v>8430.03831615741</v>
          </cell>
          <cell r="E45">
            <v>12038.601820615228</v>
          </cell>
          <cell r="F45">
            <v>17315.821787511704</v>
          </cell>
          <cell r="G45">
            <v>16464.595141441958</v>
          </cell>
          <cell r="H45">
            <v>18337.425723879267</v>
          </cell>
          <cell r="I45">
            <v>12286.201323576603</v>
          </cell>
          <cell r="J45">
            <v>13674.757591492278</v>
          </cell>
          <cell r="K45">
            <v>14879.117132188634</v>
          </cell>
          <cell r="L45">
            <v>16027.761117655013</v>
          </cell>
          <cell r="M45">
            <v>17277.935676260844</v>
          </cell>
          <cell r="N45">
            <v>20061.752994895978</v>
          </cell>
          <cell r="O45">
            <v>21209.298229168478</v>
          </cell>
          <cell r="P45">
            <v>22426.834316628629</v>
          </cell>
          <cell r="Q45">
            <v>23718.79917791795</v>
          </cell>
          <cell r="R45">
            <v>25108.141511211157</v>
          </cell>
          <cell r="S45">
            <v>21511.364521555653</v>
          </cell>
          <cell r="T45">
            <v>22648.126336238383</v>
          </cell>
          <cell r="U45">
            <v>23846.008301991023</v>
          </cell>
          <cell r="V45">
            <v>25108.509023175735</v>
          </cell>
          <cell r="W45">
            <v>26448.930892023651</v>
          </cell>
          <cell r="X45">
            <v>20572.937379405645</v>
          </cell>
          <cell r="Y45">
            <v>21700.837268023955</v>
          </cell>
          <cell r="Z45">
            <v>22891.185348987638</v>
          </cell>
          <cell r="AA45">
            <v>24147.983323058193</v>
          </cell>
          <cell r="AB45">
            <v>25480.685921364315</v>
          </cell>
          <cell r="AC45">
            <v>20316.562661093052</v>
          </cell>
          <cell r="AD45">
            <v>21477.336669642165</v>
          </cell>
          <cell r="AE45">
            <v>22714.929877420662</v>
          </cell>
          <cell r="AF45">
            <v>24051.058740366861</v>
          </cell>
          <cell r="AG45">
            <v>25406.565423369131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</row>
      </sheetData>
      <sheetData sheetId="13"/>
      <sheetData sheetId="14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</row>
      </sheetData>
      <sheetData sheetId="15">
        <row r="43">
          <cell r="C43">
            <v>0</v>
          </cell>
          <cell r="D43">
            <v>0</v>
          </cell>
          <cell r="E43">
            <v>584.90723535634481</v>
          </cell>
          <cell r="F43">
            <v>1155.0275644358387</v>
          </cell>
          <cell r="G43">
            <v>1462.872266617351</v>
          </cell>
          <cell r="H43">
            <v>630.748089038947</v>
          </cell>
          <cell r="I43">
            <v>1185.9259388326507</v>
          </cell>
          <cell r="J43">
            <v>1292.8584193819377</v>
          </cell>
          <cell r="K43">
            <v>1353.8598292720849</v>
          </cell>
          <cell r="L43">
            <v>1400.9022582214957</v>
          </cell>
          <cell r="M43">
            <v>1463.5832908054224</v>
          </cell>
          <cell r="N43">
            <v>1908.6870616422655</v>
          </cell>
          <cell r="O43">
            <v>2036.4975537920775</v>
          </cell>
          <cell r="P43">
            <v>2166.8919610681487</v>
          </cell>
          <cell r="Q43">
            <v>2307.7642919850855</v>
          </cell>
          <cell r="R43">
            <v>2462.7364853224044</v>
          </cell>
          <cell r="S43">
            <v>1678.0296726385677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-23091.291918410618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</row>
        <row r="54">
          <cell r="C54">
            <v>0</v>
          </cell>
          <cell r="D54">
            <v>0</v>
          </cell>
          <cell r="E54">
            <v>584.90723535634481</v>
          </cell>
          <cell r="F54">
            <v>1739.9347997921836</v>
          </cell>
          <cell r="G54">
            <v>3202.8070664095349</v>
          </cell>
          <cell r="H54">
            <v>3833.5551554484819</v>
          </cell>
          <cell r="I54">
            <v>5019.4810942811328</v>
          </cell>
          <cell r="J54">
            <v>6312.3395136630706</v>
          </cell>
          <cell r="K54">
            <v>7666.1993429351551</v>
          </cell>
          <cell r="L54">
            <v>9067.1016011566498</v>
          </cell>
          <cell r="M54">
            <v>10530.684891962072</v>
          </cell>
          <cell r="N54">
            <v>12439.371953604337</v>
          </cell>
          <cell r="O54">
            <v>14475.869507396415</v>
          </cell>
          <cell r="P54">
            <v>16642.761468464563</v>
          </cell>
          <cell r="Q54">
            <v>18950.525760449647</v>
          </cell>
          <cell r="R54">
            <v>21413.26224577205</v>
          </cell>
          <cell r="S54">
            <v>23091.291918410618</v>
          </cell>
          <cell r="T54">
            <v>23091.291918410618</v>
          </cell>
          <cell r="U54">
            <v>23091.291918410618</v>
          </cell>
          <cell r="V54">
            <v>23091.291918410618</v>
          </cell>
          <cell r="W54">
            <v>23091.291918410618</v>
          </cell>
          <cell r="X54">
            <v>23091.291918410618</v>
          </cell>
          <cell r="Y54">
            <v>23091.291918410618</v>
          </cell>
          <cell r="Z54">
            <v>23091.291918410618</v>
          </cell>
          <cell r="AA54">
            <v>23091.291918410618</v>
          </cell>
          <cell r="AB54">
            <v>23091.291918410618</v>
          </cell>
          <cell r="AC54">
            <v>23091.291918410618</v>
          </cell>
          <cell r="AD54">
            <v>23091.291918410618</v>
          </cell>
          <cell r="AE54">
            <v>23091.291918410618</v>
          </cell>
          <cell r="AF54">
            <v>23091.291918410618</v>
          </cell>
          <cell r="AG54">
            <v>23091.291918410618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</row>
      </sheetData>
      <sheetData sheetId="16">
        <row r="80">
          <cell r="C80">
            <v>0</v>
          </cell>
          <cell r="D80">
            <v>0</v>
          </cell>
          <cell r="E80">
            <v>0</v>
          </cell>
          <cell r="F80">
            <v>9853.6</v>
          </cell>
          <cell r="G80">
            <v>16714.2</v>
          </cell>
          <cell r="H80">
            <v>16900.900000000001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29047.9</v>
          </cell>
          <cell r="O80">
            <v>33878</v>
          </cell>
          <cell r="P80">
            <v>37301.599999999999</v>
          </cell>
          <cell r="Q80">
            <v>40953.699999999997</v>
          </cell>
          <cell r="R80">
            <v>44988.800000000003</v>
          </cell>
          <cell r="S80">
            <v>61985.4</v>
          </cell>
          <cell r="T80">
            <v>60325</v>
          </cell>
          <cell r="U80">
            <v>63566.9</v>
          </cell>
          <cell r="V80">
            <v>67058.2</v>
          </cell>
          <cell r="W80">
            <v>70880.3</v>
          </cell>
          <cell r="X80">
            <v>60239.6</v>
          </cell>
          <cell r="Y80">
            <v>56328.4</v>
          </cell>
          <cell r="Z80">
            <v>59694</v>
          </cell>
          <cell r="AA80">
            <v>63314.400000000001</v>
          </cell>
          <cell r="AB80">
            <v>67333.399999999994</v>
          </cell>
          <cell r="AC80">
            <v>51542.8</v>
          </cell>
          <cell r="AD80">
            <v>49026.400000000001</v>
          </cell>
          <cell r="AE80">
            <v>53875.1</v>
          </cell>
          <cell r="AF80">
            <v>59051.199999999997</v>
          </cell>
          <cell r="AG80">
            <v>63738.7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-1355.5066830022697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1355.3952916898979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3.8329736451487406E-2</v>
          </cell>
          <cell r="G101">
            <v>8.5444768008528627E-2</v>
          </cell>
          <cell r="H101">
            <v>0.11483175969442527</v>
          </cell>
          <cell r="I101">
            <v>0.11483175969442527</v>
          </cell>
          <cell r="J101">
            <v>0.11483175969442527</v>
          </cell>
          <cell r="K101">
            <v>0.11483175969442527</v>
          </cell>
          <cell r="L101">
            <v>0.11483175969442527</v>
          </cell>
          <cell r="M101">
            <v>0.11483175969442527</v>
          </cell>
          <cell r="N101">
            <v>0.12285457940197375</v>
          </cell>
          <cell r="O101">
            <v>0.11284210450139653</v>
          </cell>
          <cell r="P101">
            <v>0.11120679944906442</v>
          </cell>
          <cell r="Q101">
            <v>0.1009284877745813</v>
          </cell>
          <cell r="R101">
            <v>9.01504718731303E-2</v>
          </cell>
          <cell r="S101">
            <v>0.12910555096641474</v>
          </cell>
          <cell r="T101">
            <v>0.154177439328123</v>
          </cell>
          <cell r="U101">
            <v>0.13734064930213208</v>
          </cell>
          <cell r="V101">
            <v>0.14015821062821487</v>
          </cell>
          <cell r="W101">
            <v>0.16817745749176538</v>
          </cell>
          <cell r="X101">
            <v>0.14494754945371824</v>
          </cell>
          <cell r="Y101">
            <v>0.13140806086630619</v>
          </cell>
          <cell r="Z101">
            <v>0.12025296450337919</v>
          </cell>
          <cell r="AA101">
            <v>0.13046323447088071</v>
          </cell>
          <cell r="AB101">
            <v>0.12009435268009838</v>
          </cell>
          <cell r="AC101">
            <v>9.0585933170586941E-2</v>
          </cell>
          <cell r="AD101">
            <v>5.6254234945299686E-2</v>
          </cell>
          <cell r="AE101">
            <v>8.197288352130272E-2</v>
          </cell>
          <cell r="AF101">
            <v>6.9612957538993214E-2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</row>
      </sheetData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I 2009"/>
      <sheetName val="ERI2010"/>
      <sheetName val="ERI 2011"/>
      <sheetName val="ERI 2012"/>
      <sheetName val="BALANCE DEL SISTEMA"/>
      <sheetName val="PROYECC SIN REMUN 50 MM"/>
      <sheetName val="PROYECC ER"/>
      <sheetName val="PROYECC SIN REMUN 25 MM"/>
      <sheetName val="50MM 15 AÑOS"/>
      <sheetName val="PROYECC 25MM CON REMUNERAC "/>
      <sheetName val="SIN CREDITO CON AFEC REMUN"/>
      <sheetName val="RESUMEN NORMAL"/>
      <sheetName val="CON NIFF"/>
      <sheetName val="NIFF"/>
      <sheetName val="BALANCE DE 45M"/>
      <sheetName val="Hoja3"/>
      <sheetName val="PROYECCIÓN TRANSF"/>
      <sheetName val="Resumen Deuda"/>
      <sheetName val="ANALISIS"/>
      <sheetName val="PROYECC ER ING CHALPI"/>
      <sheetName val="FLUJO"/>
      <sheetName val="TABLA DE AMORTIZACIÓN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D13">
            <v>3.5000000000000003E-2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Infos générales"/>
      <sheetName val="Flux de tréso auditeurs FY13 14"/>
      <sheetName val="Bilan et CDR 2015"/>
      <sheetName val="FLUJO DE EFECTIVO 2015"/>
      <sheetName val="Bilan"/>
      <sheetName val="Compte de résultat"/>
      <sheetName val="Chiffres clés"/>
      <sheetName val="Tableau de flux de trésorerie"/>
      <sheetName val="Ratios financiers"/>
      <sheetName val="Tableau de passage"/>
      <sheetName val="RECAP"/>
      <sheetName val="Endettement"/>
      <sheetName val="Recouvrement "/>
      <sheetName val="INV 2016-2025"/>
      <sheetName val="Calcul DSCR FIP"/>
      <sheetName val="Feuil1"/>
    </sheetNames>
    <sheetDataSet>
      <sheetData sheetId="0"/>
      <sheetData sheetId="1">
        <row r="10">
          <cell r="H10" t="str">
            <v>USD</v>
          </cell>
        </row>
        <row r="12">
          <cell r="H12">
            <v>42004</v>
          </cell>
        </row>
      </sheetData>
      <sheetData sheetId="2"/>
      <sheetData sheetId="3"/>
      <sheetData sheetId="4"/>
      <sheetData sheetId="5"/>
      <sheetData sheetId="6"/>
      <sheetData sheetId="7">
        <row r="20">
          <cell r="Y20">
            <v>1.21563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  <sheetName val="Hoja3"/>
    </sheetNames>
    <sheetDataSet>
      <sheetData sheetId="0">
        <row r="13">
          <cell r="B13">
            <v>6.6666666666666671E-3</v>
          </cell>
        </row>
      </sheetData>
      <sheetData sheetId="1">
        <row r="13">
          <cell r="B13">
            <v>6.6666666666666671E-3</v>
          </cell>
        </row>
        <row r="14">
          <cell r="B14">
            <v>60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pFin"/>
      <sheetName val="PLANTILLAS"/>
      <sheetName val="CMLP_Estr 5 años"/>
      <sheetName val="Tarifa"/>
      <sheetName val="Necesidad de fondos"/>
      <sheetName val="Base Hipótesis Costos"/>
      <sheetName val="INGRESOS NUEVOS RANGOS"/>
      <sheetName val="ING 0-11"/>
      <sheetName val="Hipotesis"/>
      <sheetName val="CAPEX"/>
      <sheetName val="Deuda Hoja de Trabajo"/>
      <sheetName val="Datos proyección"/>
      <sheetName val="Deudas"/>
      <sheetName val="EdR %"/>
      <sheetName val="EdR"/>
      <sheetName val="Bce"/>
      <sheetName val="FdF"/>
      <sheetName val="FC"/>
      <sheetName val="Hoja de Trabajo Flujo de Caja"/>
      <sheetName val="BCE año 0"/>
      <sheetName val="ER año 0 y OPEX"/>
      <sheetName val="Eficiencia en cobranza"/>
      <sheetName val="Indicadores"/>
      <sheetName val="O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41">
          <cell r="Q541">
            <v>-12342481.91051219</v>
          </cell>
        </row>
      </sheetData>
      <sheetData sheetId="10"/>
      <sheetData sheetId="11"/>
      <sheetData sheetId="12">
        <row r="129">
          <cell r="O129">
            <v>12342481.91051219</v>
          </cell>
        </row>
        <row r="130">
          <cell r="P130">
            <v>17374584.561544545</v>
          </cell>
          <cell r="Q130">
            <v>0</v>
          </cell>
        </row>
        <row r="132">
          <cell r="O132">
            <v>0</v>
          </cell>
          <cell r="P132">
            <v>0</v>
          </cell>
          <cell r="Q132">
            <v>0</v>
          </cell>
          <cell r="R132">
            <v>4245295.2102938192</v>
          </cell>
          <cell r="S132">
            <v>4245295.2102938192</v>
          </cell>
          <cell r="T132">
            <v>4245295.2102938192</v>
          </cell>
          <cell r="U132">
            <v>4245295.2102938192</v>
          </cell>
          <cell r="V132">
            <v>4245295.2102938192</v>
          </cell>
          <cell r="W132">
            <v>4245295.2102938192</v>
          </cell>
          <cell r="X132">
            <v>4245295.2102938192</v>
          </cell>
        </row>
        <row r="133">
          <cell r="O133">
            <v>295367.93754625728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O134">
            <v>0</v>
          </cell>
          <cell r="P134">
            <v>425815.62591267063</v>
          </cell>
          <cell r="Q134">
            <v>1025238.7932859574</v>
          </cell>
          <cell r="R134">
            <v>1025238.7932859574</v>
          </cell>
          <cell r="S134">
            <v>878776.1085308207</v>
          </cell>
          <cell r="T134">
            <v>732313.42377568397</v>
          </cell>
          <cell r="U134">
            <v>585850.73902054725</v>
          </cell>
          <cell r="V134">
            <v>439388.05426541046</v>
          </cell>
          <cell r="W134">
            <v>292925.36951027374</v>
          </cell>
          <cell r="X134">
            <v>146462.68475513696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4"/>
  <sheetViews>
    <sheetView showGridLines="0" zoomScaleNormal="100" workbookViewId="0"/>
  </sheetViews>
  <sheetFormatPr baseColWidth="10" defaultRowHeight="15" x14ac:dyDescent="0.25"/>
  <cols>
    <col min="1" max="1" width="25" bestFit="1" customWidth="1"/>
    <col min="2" max="32" width="13.7109375" customWidth="1"/>
    <col min="33" max="33" width="12.5703125" bestFit="1" customWidth="1"/>
  </cols>
  <sheetData>
    <row r="2" spans="1:33" x14ac:dyDescent="0.25">
      <c r="A2" s="96" t="s">
        <v>86</v>
      </c>
      <c r="B2" s="94">
        <v>0</v>
      </c>
      <c r="C2" s="94">
        <f>+B2+1</f>
        <v>1</v>
      </c>
      <c r="D2" s="94">
        <f t="shared" ref="D2:AG2" si="0">+C2+1</f>
        <v>2</v>
      </c>
      <c r="E2" s="94">
        <f t="shared" si="0"/>
        <v>3</v>
      </c>
      <c r="F2" s="94">
        <f t="shared" si="0"/>
        <v>4</v>
      </c>
      <c r="G2" s="94">
        <f t="shared" si="0"/>
        <v>5</v>
      </c>
      <c r="H2" s="94">
        <f t="shared" si="0"/>
        <v>6</v>
      </c>
      <c r="I2" s="94">
        <f t="shared" si="0"/>
        <v>7</v>
      </c>
      <c r="J2" s="94">
        <f t="shared" si="0"/>
        <v>8</v>
      </c>
      <c r="K2" s="94">
        <f t="shared" si="0"/>
        <v>9</v>
      </c>
      <c r="L2" s="94">
        <f t="shared" si="0"/>
        <v>10</v>
      </c>
      <c r="M2" s="94">
        <f t="shared" si="0"/>
        <v>11</v>
      </c>
      <c r="N2" s="94">
        <f t="shared" si="0"/>
        <v>12</v>
      </c>
      <c r="O2" s="94">
        <f t="shared" si="0"/>
        <v>13</v>
      </c>
      <c r="P2" s="94">
        <f t="shared" si="0"/>
        <v>14</v>
      </c>
      <c r="Q2" s="94">
        <f t="shared" si="0"/>
        <v>15</v>
      </c>
      <c r="R2" s="94">
        <f t="shared" si="0"/>
        <v>16</v>
      </c>
      <c r="S2" s="94">
        <f t="shared" si="0"/>
        <v>17</v>
      </c>
      <c r="T2" s="94">
        <f t="shared" si="0"/>
        <v>18</v>
      </c>
      <c r="U2" s="94">
        <f t="shared" si="0"/>
        <v>19</v>
      </c>
      <c r="V2" s="94">
        <f t="shared" si="0"/>
        <v>20</v>
      </c>
      <c r="W2" s="94">
        <f t="shared" si="0"/>
        <v>21</v>
      </c>
      <c r="X2" s="94">
        <f t="shared" si="0"/>
        <v>22</v>
      </c>
      <c r="Y2" s="94">
        <f t="shared" si="0"/>
        <v>23</v>
      </c>
      <c r="Z2" s="94">
        <f t="shared" si="0"/>
        <v>24</v>
      </c>
      <c r="AA2" s="94">
        <f t="shared" si="0"/>
        <v>25</v>
      </c>
      <c r="AB2" s="94">
        <f t="shared" si="0"/>
        <v>26</v>
      </c>
      <c r="AC2" s="94">
        <f t="shared" si="0"/>
        <v>27</v>
      </c>
      <c r="AD2" s="94">
        <f t="shared" si="0"/>
        <v>28</v>
      </c>
      <c r="AE2" s="94">
        <f t="shared" si="0"/>
        <v>29</v>
      </c>
      <c r="AF2" s="94">
        <f t="shared" si="0"/>
        <v>30</v>
      </c>
      <c r="AG2" s="94">
        <f t="shared" si="0"/>
        <v>31</v>
      </c>
    </row>
    <row r="3" spans="1:33" x14ac:dyDescent="0.25">
      <c r="A3" t="s">
        <v>25</v>
      </c>
      <c r="B3" s="10">
        <v>0</v>
      </c>
      <c r="C3" s="10">
        <f>+'Proyección 24012022'!E8</f>
        <v>10005750</v>
      </c>
      <c r="D3" s="10">
        <f>+'Proyección 24012022'!F8</f>
        <v>15008625</v>
      </c>
      <c r="E3" s="10">
        <f>+'Proyección 24012022'!G8</f>
        <v>17510062.5</v>
      </c>
      <c r="F3" s="10">
        <f>+'Proyección 24012022'!H8</f>
        <v>21925925.925925899</v>
      </c>
      <c r="G3" s="10">
        <f>+'Proyección 24012022'!I8</f>
        <v>24504378.654803623</v>
      </c>
      <c r="H3" s="10">
        <f>+'Proyección 24012022'!J8</f>
        <v>24504378.654803623</v>
      </c>
      <c r="I3" s="10">
        <f>+'Proyección 24012022'!K8</f>
        <v>24504378.654803623</v>
      </c>
      <c r="J3" s="10">
        <f>+'Proyección 24012022'!L8</f>
        <v>24504378.654803623</v>
      </c>
      <c r="K3" s="10">
        <f>+'Proyección 24012022'!M8</f>
        <v>24504378.654803623</v>
      </c>
      <c r="L3" s="10">
        <f>+'Proyección 24012022'!N8</f>
        <v>24504378.654803623</v>
      </c>
      <c r="M3" s="10">
        <f>+'Proyección 24012022'!O8</f>
        <v>24504378.654803623</v>
      </c>
      <c r="N3" s="10">
        <f>+'Proyección 24012022'!P8</f>
        <v>24504378.654803623</v>
      </c>
      <c r="O3" s="10">
        <f>+'Proyección 24012022'!Q8</f>
        <v>24504378.654803623</v>
      </c>
      <c r="P3" s="10">
        <f>+'Proyección 24012022'!R8</f>
        <v>24504378.654803623</v>
      </c>
      <c r="Q3" s="10">
        <f>+'Proyección 24012022'!S8</f>
        <v>24504378.654803623</v>
      </c>
      <c r="R3" s="10">
        <f>+'Proyección 24012022'!T8</f>
        <v>24504378.654803623</v>
      </c>
      <c r="S3" s="10">
        <f>+'Proyección 24012022'!U8</f>
        <v>24504378.654803623</v>
      </c>
      <c r="T3" s="10">
        <f>+'Proyección 24012022'!V8</f>
        <v>24504378.654803623</v>
      </c>
      <c r="U3" s="10">
        <f>+'Proyección 24012022'!W8</f>
        <v>24504378.654803623</v>
      </c>
      <c r="V3" s="10">
        <f>+'Proyección 24012022'!X8</f>
        <v>24504378.654803623</v>
      </c>
      <c r="W3" s="10">
        <f>+'Proyección 24012022'!Y8</f>
        <v>24504378.654803623</v>
      </c>
      <c r="X3" s="10">
        <f>+'Proyección 24012022'!Z8</f>
        <v>24504378.654803623</v>
      </c>
      <c r="Y3" s="10">
        <f>+'Proyección 24012022'!AA8</f>
        <v>24504378.654803623</v>
      </c>
      <c r="Z3" s="10">
        <f>+'Proyección 24012022'!AB8</f>
        <v>24504378.654803623</v>
      </c>
      <c r="AA3" s="10">
        <f>+'Proyección 24012022'!AC8</f>
        <v>24504378.654803623</v>
      </c>
      <c r="AB3" s="10">
        <f>+'Proyección 24012022'!AD8</f>
        <v>24504378.654803623</v>
      </c>
      <c r="AC3" s="10">
        <f>+'Proyección 24012022'!AE8</f>
        <v>24504378.654803623</v>
      </c>
      <c r="AD3" s="10">
        <f>+'Proyección 24012022'!AF8</f>
        <v>24504378.654803623</v>
      </c>
      <c r="AE3" s="10">
        <f>+'Proyección 24012022'!AG8</f>
        <v>24504378.654803623</v>
      </c>
      <c r="AF3" s="10">
        <f>+'Proyección 24012022'!AH8</f>
        <v>22940170.203983296</v>
      </c>
    </row>
    <row r="4" spans="1:33" x14ac:dyDescent="0.25">
      <c r="A4" t="s">
        <v>77</v>
      </c>
      <c r="B4" s="10">
        <f>'Proyección 24012022'!E8</f>
        <v>10005750</v>
      </c>
      <c r="C4" s="10">
        <f>'Proyección 24012022'!F8</f>
        <v>15008625</v>
      </c>
      <c r="D4" s="10">
        <f>'Proyección 24012022'!G8</f>
        <v>17510062.5</v>
      </c>
      <c r="E4" s="10">
        <f>'Proyección 24012022'!H8</f>
        <v>21925925.925925899</v>
      </c>
      <c r="F4" s="10">
        <f>'Proyección 24012022'!I8</f>
        <v>24504378.654803623</v>
      </c>
      <c r="G4" s="10">
        <f>'Proyección 24012022'!J8</f>
        <v>24504378.654803623</v>
      </c>
      <c r="H4" s="10">
        <f>'Proyección 24012022'!K8</f>
        <v>24504378.654803623</v>
      </c>
      <c r="I4" s="10">
        <f>'Proyección 24012022'!L8</f>
        <v>24504378.654803623</v>
      </c>
      <c r="J4" s="10">
        <f>'Proyección 24012022'!M8</f>
        <v>24504378.654803623</v>
      </c>
      <c r="K4" s="10">
        <f>'Proyección 24012022'!N8</f>
        <v>24504378.654803623</v>
      </c>
      <c r="L4" s="10">
        <f>'Proyección 24012022'!O8</f>
        <v>24504378.654803623</v>
      </c>
      <c r="M4" s="10">
        <f>'Proyección 24012022'!P8</f>
        <v>24504378.654803623</v>
      </c>
      <c r="N4" s="10">
        <f>'Proyección 24012022'!Q8</f>
        <v>24504378.654803623</v>
      </c>
      <c r="O4" s="10">
        <f>'Proyección 24012022'!R8</f>
        <v>24504378.654803623</v>
      </c>
      <c r="P4" s="10">
        <f>'Proyección 24012022'!S8</f>
        <v>24504378.654803623</v>
      </c>
      <c r="Q4" s="10">
        <f>'Proyección 24012022'!T8</f>
        <v>24504378.654803623</v>
      </c>
      <c r="R4" s="10">
        <f>'Proyección 24012022'!U8</f>
        <v>24504378.654803623</v>
      </c>
      <c r="S4" s="10">
        <f>'Proyección 24012022'!V8</f>
        <v>24504378.654803623</v>
      </c>
      <c r="T4" s="10">
        <f>'Proyección 24012022'!W8</f>
        <v>24504378.654803623</v>
      </c>
      <c r="U4" s="10">
        <f>'Proyección 24012022'!X8</f>
        <v>24504378.654803623</v>
      </c>
      <c r="V4" s="10">
        <f>'Proyección 24012022'!Y8</f>
        <v>24504378.654803623</v>
      </c>
      <c r="W4" s="10">
        <f>'Proyección 24012022'!Z8</f>
        <v>24504378.654803623</v>
      </c>
      <c r="X4" s="10">
        <f>'Proyección 24012022'!AA8</f>
        <v>24504378.654803623</v>
      </c>
      <c r="Y4" s="10">
        <f>'Proyección 24012022'!AB8</f>
        <v>24504378.654803623</v>
      </c>
      <c r="Z4" s="10">
        <f>'Proyección 24012022'!AC8</f>
        <v>24504378.654803623</v>
      </c>
      <c r="AA4" s="10">
        <f>'Proyección 24012022'!AD8</f>
        <v>24504378.654803623</v>
      </c>
      <c r="AB4" s="10">
        <f>'Proyección 24012022'!AE8</f>
        <v>24504378.654803623</v>
      </c>
      <c r="AC4" s="10">
        <f>'Proyección 24012022'!AF8</f>
        <v>24504378.654803623</v>
      </c>
      <c r="AD4" s="10">
        <f>'Proyección 24012022'!AG8</f>
        <v>24504378.654803623</v>
      </c>
      <c r="AE4" s="10">
        <f>'Proyección 24012022'!AH8</f>
        <v>22940170.203983296</v>
      </c>
      <c r="AF4" s="10"/>
    </row>
    <row r="5" spans="1:33" x14ac:dyDescent="0.25">
      <c r="A5" s="75" t="s">
        <v>88</v>
      </c>
      <c r="B5" s="76">
        <f>+B3-B4</f>
        <v>-10005750</v>
      </c>
      <c r="C5" s="76">
        <f t="shared" ref="C5:AF5" si="1">+C3-C4</f>
        <v>-5002875</v>
      </c>
      <c r="D5" s="76">
        <f t="shared" si="1"/>
        <v>-2501437.5</v>
      </c>
      <c r="E5" s="76">
        <f t="shared" si="1"/>
        <v>-4415863.4259258993</v>
      </c>
      <c r="F5" s="76">
        <f t="shared" si="1"/>
        <v>-2578452.7288777232</v>
      </c>
      <c r="G5" s="76">
        <f t="shared" si="1"/>
        <v>0</v>
      </c>
      <c r="H5" s="76">
        <f t="shared" si="1"/>
        <v>0</v>
      </c>
      <c r="I5" s="76">
        <f t="shared" si="1"/>
        <v>0</v>
      </c>
      <c r="J5" s="76">
        <f t="shared" si="1"/>
        <v>0</v>
      </c>
      <c r="K5" s="76">
        <f t="shared" si="1"/>
        <v>0</v>
      </c>
      <c r="L5" s="76">
        <f t="shared" si="1"/>
        <v>0</v>
      </c>
      <c r="M5" s="76">
        <f t="shared" si="1"/>
        <v>0</v>
      </c>
      <c r="N5" s="76">
        <f t="shared" si="1"/>
        <v>0</v>
      </c>
      <c r="O5" s="76">
        <f t="shared" si="1"/>
        <v>0</v>
      </c>
      <c r="P5" s="76">
        <f t="shared" si="1"/>
        <v>0</v>
      </c>
      <c r="Q5" s="76">
        <f t="shared" si="1"/>
        <v>0</v>
      </c>
      <c r="R5" s="76">
        <f t="shared" si="1"/>
        <v>0</v>
      </c>
      <c r="S5" s="76">
        <f t="shared" si="1"/>
        <v>0</v>
      </c>
      <c r="T5" s="76">
        <f t="shared" si="1"/>
        <v>0</v>
      </c>
      <c r="U5" s="76">
        <f t="shared" si="1"/>
        <v>0</v>
      </c>
      <c r="V5" s="76">
        <f t="shared" si="1"/>
        <v>0</v>
      </c>
      <c r="W5" s="76">
        <f t="shared" si="1"/>
        <v>0</v>
      </c>
      <c r="X5" s="76">
        <f t="shared" si="1"/>
        <v>0</v>
      </c>
      <c r="Y5" s="76">
        <f t="shared" si="1"/>
        <v>0</v>
      </c>
      <c r="Z5" s="76">
        <f t="shared" si="1"/>
        <v>0</v>
      </c>
      <c r="AA5" s="76">
        <f t="shared" si="1"/>
        <v>0</v>
      </c>
      <c r="AB5" s="76">
        <f t="shared" si="1"/>
        <v>0</v>
      </c>
      <c r="AC5" s="76">
        <f t="shared" si="1"/>
        <v>0</v>
      </c>
      <c r="AD5" s="76">
        <f t="shared" si="1"/>
        <v>0</v>
      </c>
      <c r="AE5" s="76">
        <f t="shared" si="1"/>
        <v>1564208.4508203268</v>
      </c>
      <c r="AF5" s="76">
        <f t="shared" si="1"/>
        <v>22940170.203983296</v>
      </c>
    </row>
    <row r="7" spans="1:33" x14ac:dyDescent="0.25">
      <c r="A7" s="75" t="s">
        <v>78</v>
      </c>
      <c r="B7" s="76">
        <f>NPV('Proyección 24012022'!C44,'Flujo de Caja'!C5:AF5)+B5</f>
        <v>-14056264.407211851</v>
      </c>
    </row>
    <row r="8" spans="1:33" x14ac:dyDescent="0.25">
      <c r="A8" s="75" t="s">
        <v>79</v>
      </c>
      <c r="B8" s="95">
        <f>IRR(B5:AF5)</f>
        <v>0</v>
      </c>
    </row>
    <row r="9" spans="1:33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1:33" x14ac:dyDescent="0.25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33" x14ac:dyDescent="0.25">
      <c r="A11" s="96" t="s">
        <v>87</v>
      </c>
      <c r="B11" s="94">
        <v>0</v>
      </c>
      <c r="C11" s="94">
        <f>+B11+1</f>
        <v>1</v>
      </c>
      <c r="D11" s="94">
        <f t="shared" ref="D11" si="2">+C11+1</f>
        <v>2</v>
      </c>
      <c r="E11" s="94">
        <f t="shared" ref="E11" si="3">+D11+1</f>
        <v>3</v>
      </c>
      <c r="F11" s="94">
        <f t="shared" ref="F11" si="4">+E11+1</f>
        <v>4</v>
      </c>
      <c r="G11" s="94">
        <f t="shared" ref="G11" si="5">+F11+1</f>
        <v>5</v>
      </c>
      <c r="H11" s="94">
        <f t="shared" ref="H11" si="6">+G11+1</f>
        <v>6</v>
      </c>
      <c r="I11" s="94">
        <f t="shared" ref="I11" si="7">+H11+1</f>
        <v>7</v>
      </c>
      <c r="J11" s="94">
        <f t="shared" ref="J11" si="8">+I11+1</f>
        <v>8</v>
      </c>
      <c r="K11" s="94">
        <f t="shared" ref="K11" si="9">+J11+1</f>
        <v>9</v>
      </c>
      <c r="L11" s="94">
        <f t="shared" ref="L11" si="10">+K11+1</f>
        <v>10</v>
      </c>
      <c r="M11" s="94">
        <f t="shared" ref="M11" si="11">+L11+1</f>
        <v>11</v>
      </c>
      <c r="N11" s="94">
        <f t="shared" ref="N11" si="12">+M11+1</f>
        <v>12</v>
      </c>
      <c r="O11" s="94">
        <f t="shared" ref="O11" si="13">+N11+1</f>
        <v>13</v>
      </c>
      <c r="P11" s="94">
        <f t="shared" ref="P11" si="14">+O11+1</f>
        <v>14</v>
      </c>
      <c r="Q11" s="94">
        <f t="shared" ref="Q11" si="15">+P11+1</f>
        <v>15</v>
      </c>
      <c r="R11" s="94">
        <f t="shared" ref="R11" si="16">+Q11+1</f>
        <v>16</v>
      </c>
      <c r="S11" s="94">
        <f t="shared" ref="S11" si="17">+R11+1</f>
        <v>17</v>
      </c>
      <c r="T11" s="94">
        <f t="shared" ref="T11" si="18">+S11+1</f>
        <v>18</v>
      </c>
      <c r="U11" s="94">
        <f t="shared" ref="U11" si="19">+T11+1</f>
        <v>19</v>
      </c>
      <c r="V11" s="94">
        <f t="shared" ref="V11" si="20">+U11+1</f>
        <v>20</v>
      </c>
      <c r="W11" s="94">
        <f t="shared" ref="W11" si="21">+V11+1</f>
        <v>21</v>
      </c>
      <c r="X11" s="94">
        <f t="shared" ref="X11" si="22">+W11+1</f>
        <v>22</v>
      </c>
      <c r="Y11" s="94">
        <f t="shared" ref="Y11" si="23">+X11+1</f>
        <v>23</v>
      </c>
      <c r="Z11" s="94">
        <f t="shared" ref="Z11" si="24">+Y11+1</f>
        <v>24</v>
      </c>
      <c r="AA11" s="94">
        <f t="shared" ref="AA11" si="25">+Z11+1</f>
        <v>25</v>
      </c>
      <c r="AB11" s="94">
        <f t="shared" ref="AB11" si="26">+AA11+1</f>
        <v>26</v>
      </c>
      <c r="AC11" s="94">
        <f t="shared" ref="AC11" si="27">+AB11+1</f>
        <v>27</v>
      </c>
      <c r="AD11" s="94">
        <f t="shared" ref="AD11" si="28">+AC11+1</f>
        <v>28</v>
      </c>
      <c r="AE11" s="94">
        <f t="shared" ref="AE11" si="29">+AD11+1</f>
        <v>29</v>
      </c>
      <c r="AF11" s="94">
        <f t="shared" ref="AF11:AG11" si="30">+AE11+1</f>
        <v>30</v>
      </c>
      <c r="AG11" s="94">
        <f t="shared" si="30"/>
        <v>31</v>
      </c>
    </row>
    <row r="12" spans="1:33" x14ac:dyDescent="0.25">
      <c r="A12" t="s">
        <v>84</v>
      </c>
      <c r="B12" s="64">
        <f>+[6]Deudas!$O$129</f>
        <v>12342481.91051219</v>
      </c>
      <c r="C12" s="64">
        <f>+[6]Deudas!P130</f>
        <v>17374584.561544545</v>
      </c>
      <c r="D12" s="64">
        <f>+[6]Deudas!Q130</f>
        <v>0</v>
      </c>
      <c r="E12" s="64">
        <f>+[6]Deudas!R130</f>
        <v>0</v>
      </c>
      <c r="F12" s="64">
        <f>+[6]Deudas!S130</f>
        <v>0</v>
      </c>
      <c r="G12" s="64">
        <f>+[6]Deudas!T130</f>
        <v>0</v>
      </c>
      <c r="H12" s="64">
        <f>+[6]Deudas!U130</f>
        <v>0</v>
      </c>
      <c r="I12" s="64">
        <f>+[6]Deudas!V130</f>
        <v>0</v>
      </c>
      <c r="J12" s="64">
        <f>+[6]Deudas!W130</f>
        <v>0</v>
      </c>
      <c r="K12" s="64">
        <f>+[6]Deudas!X130</f>
        <v>0</v>
      </c>
      <c r="L12" s="64">
        <f>+[6]Deudas!Y130</f>
        <v>0</v>
      </c>
      <c r="M12" s="64">
        <f>+[6]Deudas!Z130</f>
        <v>0</v>
      </c>
      <c r="N12" s="64">
        <f>+[6]Deudas!AA130</f>
        <v>0</v>
      </c>
      <c r="O12" s="64">
        <f>+[6]Deudas!AB130</f>
        <v>0</v>
      </c>
      <c r="P12" s="64">
        <f>+[6]Deudas!AC130</f>
        <v>0</v>
      </c>
      <c r="Q12" s="64">
        <f>+[6]Deudas!AD130</f>
        <v>0</v>
      </c>
      <c r="R12" s="64">
        <f>+[6]Deudas!AE130</f>
        <v>0</v>
      </c>
      <c r="S12" s="64">
        <f>+[6]Deudas!AF130</f>
        <v>0</v>
      </c>
      <c r="T12" s="64">
        <f>+[6]Deudas!AG130</f>
        <v>0</v>
      </c>
      <c r="U12" s="64">
        <f>+[6]Deudas!AH130</f>
        <v>0</v>
      </c>
      <c r="V12" s="64">
        <f>+[6]Deudas!AI130</f>
        <v>0</v>
      </c>
      <c r="W12" s="64">
        <f>+[6]Deudas!AJ130</f>
        <v>0</v>
      </c>
      <c r="X12" s="64">
        <f>+[6]Deudas!AK130</f>
        <v>0</v>
      </c>
      <c r="Y12" s="64">
        <f>+[6]Deudas!AL130</f>
        <v>0</v>
      </c>
      <c r="Z12" s="64">
        <f>+[6]Deudas!AM130</f>
        <v>0</v>
      </c>
      <c r="AA12" s="64">
        <f>+[6]Deudas!AN130</f>
        <v>0</v>
      </c>
      <c r="AB12" s="64">
        <f>+[6]Deudas!AO130</f>
        <v>0</v>
      </c>
      <c r="AC12" s="64">
        <f>+[6]Deudas!AP130</f>
        <v>0</v>
      </c>
      <c r="AD12" s="64">
        <f>+[6]Deudas!AQ130</f>
        <v>0</v>
      </c>
      <c r="AE12" s="64">
        <f>+[6]Deudas!AR130</f>
        <v>0</v>
      </c>
      <c r="AF12" s="64">
        <f>+[6]Deudas!AS130</f>
        <v>0</v>
      </c>
      <c r="AG12" s="64">
        <f>+[6]Deudas!AT130</f>
        <v>0</v>
      </c>
    </row>
    <row r="13" spans="1:33" x14ac:dyDescent="0.25">
      <c r="A13" t="s">
        <v>85</v>
      </c>
      <c r="B13" s="64">
        <v>0</v>
      </c>
      <c r="C13" s="64">
        <f>+B18</f>
        <v>0</v>
      </c>
      <c r="D13" s="64">
        <f>+C18+C17+B16</f>
        <v>13063665.473971117</v>
      </c>
      <c r="E13" s="64">
        <f>+D18+D17</f>
        <v>18399823.354830503</v>
      </c>
      <c r="F13" s="64">
        <f t="shared" ref="F13:AF13" si="31">+E18+E17</f>
        <v>14088904.267257074</v>
      </c>
      <c r="G13" s="64">
        <f t="shared" si="31"/>
        <v>19278599.463361323</v>
      </c>
      <c r="H13" s="64">
        <f t="shared" si="31"/>
        <v>14821217.691032758</v>
      </c>
      <c r="I13" s="64">
        <f t="shared" si="31"/>
        <v>19864450.202381872</v>
      </c>
      <c r="J13" s="64">
        <f t="shared" si="31"/>
        <v>15260605.745298168</v>
      </c>
      <c r="K13" s="64">
        <f t="shared" si="31"/>
        <v>20157375.571892146</v>
      </c>
      <c r="L13" s="64">
        <f t="shared" si="31"/>
        <v>15407068.430053305</v>
      </c>
      <c r="M13" s="64">
        <f t="shared" si="31"/>
        <v>20157375.571892146</v>
      </c>
      <c r="N13" s="64">
        <f t="shared" si="31"/>
        <v>15407068.430053305</v>
      </c>
      <c r="O13" s="64">
        <f t="shared" si="31"/>
        <v>20157375.571892146</v>
      </c>
      <c r="P13" s="64">
        <f t="shared" si="31"/>
        <v>15407068.430053305</v>
      </c>
      <c r="Q13" s="64">
        <f t="shared" si="31"/>
        <v>20157375.571892146</v>
      </c>
      <c r="R13" s="64">
        <f t="shared" si="31"/>
        <v>15407068.430053305</v>
      </c>
      <c r="S13" s="64">
        <f t="shared" si="31"/>
        <v>20157375.571892146</v>
      </c>
      <c r="T13" s="64">
        <f t="shared" si="31"/>
        <v>15407068.430053305</v>
      </c>
      <c r="U13" s="64">
        <f t="shared" si="31"/>
        <v>20157375.571892146</v>
      </c>
      <c r="V13" s="64">
        <f t="shared" si="31"/>
        <v>15407068.430053305</v>
      </c>
      <c r="W13" s="64">
        <f t="shared" si="31"/>
        <v>20157375.571892146</v>
      </c>
      <c r="X13" s="64">
        <f t="shared" si="31"/>
        <v>15407068.430053305</v>
      </c>
      <c r="Y13" s="64">
        <f t="shared" si="31"/>
        <v>20157375.571892146</v>
      </c>
      <c r="Z13" s="64">
        <f t="shared" si="31"/>
        <v>15407068.430053305</v>
      </c>
      <c r="AA13" s="64">
        <f t="shared" si="31"/>
        <v>20157375.571892146</v>
      </c>
      <c r="AB13" s="64">
        <f t="shared" si="31"/>
        <v>15407068.430053305</v>
      </c>
      <c r="AC13" s="64">
        <f t="shared" si="31"/>
        <v>20157375.571892146</v>
      </c>
      <c r="AD13" s="64">
        <f t="shared" si="31"/>
        <v>15407068.430053305</v>
      </c>
      <c r="AE13" s="64">
        <f t="shared" si="31"/>
        <v>20157375.571892146</v>
      </c>
      <c r="AF13" s="64">
        <f t="shared" si="31"/>
        <v>15407068.430053305</v>
      </c>
      <c r="AG13" s="64">
        <f t="shared" ref="AG13" si="32">+AF18+AF17</f>
        <v>20157375.571892146</v>
      </c>
    </row>
    <row r="14" spans="1:33" x14ac:dyDescent="0.2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</row>
    <row r="15" spans="1:33" x14ac:dyDescent="0.25">
      <c r="A15" t="s">
        <v>80</v>
      </c>
      <c r="B15" s="64">
        <f>+[6]Deudas!O132</f>
        <v>0</v>
      </c>
      <c r="C15" s="64">
        <f>+[6]Deudas!P132</f>
        <v>0</v>
      </c>
      <c r="D15" s="64">
        <f>+[6]Deudas!Q132</f>
        <v>0</v>
      </c>
      <c r="E15" s="64">
        <f>+[6]Deudas!R132</f>
        <v>4245295.2102938192</v>
      </c>
      <c r="F15" s="64">
        <f>+[6]Deudas!S132</f>
        <v>4245295.2102938192</v>
      </c>
      <c r="G15" s="64">
        <f>+[6]Deudas!T132</f>
        <v>4245295.2102938192</v>
      </c>
      <c r="H15" s="64">
        <f>+[6]Deudas!U132</f>
        <v>4245295.2102938192</v>
      </c>
      <c r="I15" s="64">
        <f>+[6]Deudas!V132</f>
        <v>4245295.2102938192</v>
      </c>
      <c r="J15" s="64">
        <f>+[6]Deudas!W132</f>
        <v>4245295.2102938192</v>
      </c>
      <c r="K15" s="64">
        <f>+[6]Deudas!X132</f>
        <v>4245295.2102938192</v>
      </c>
      <c r="L15" s="64">
        <f>+[6]Deudas!Y132</f>
        <v>0</v>
      </c>
      <c r="M15" s="64">
        <f>+[6]Deudas!Z132</f>
        <v>0</v>
      </c>
      <c r="N15" s="64">
        <f>+[6]Deudas!AA132</f>
        <v>0</v>
      </c>
      <c r="O15" s="64">
        <f>+[6]Deudas!AB132</f>
        <v>0</v>
      </c>
      <c r="P15" s="64">
        <f>+[6]Deudas!AC132</f>
        <v>0</v>
      </c>
      <c r="Q15" s="64">
        <f>+[6]Deudas!AD132</f>
        <v>0</v>
      </c>
      <c r="R15" s="64">
        <f>+[6]Deudas!AE132</f>
        <v>0</v>
      </c>
      <c r="S15" s="64">
        <f>+[6]Deudas!AF132</f>
        <v>0</v>
      </c>
      <c r="T15" s="64">
        <f>+[6]Deudas!AG132</f>
        <v>0</v>
      </c>
      <c r="U15" s="64">
        <f>+[6]Deudas!AH132</f>
        <v>0</v>
      </c>
      <c r="V15" s="64">
        <f>+[6]Deudas!AI132</f>
        <v>0</v>
      </c>
      <c r="W15" s="64">
        <f>+[6]Deudas!AJ132</f>
        <v>0</v>
      </c>
      <c r="X15" s="64">
        <f>+[6]Deudas!AK132</f>
        <v>0</v>
      </c>
      <c r="Y15" s="64">
        <f>+[6]Deudas!AL132</f>
        <v>0</v>
      </c>
      <c r="Z15" s="64">
        <f>+[6]Deudas!AM132</f>
        <v>0</v>
      </c>
      <c r="AA15" s="64">
        <f>+[6]Deudas!AN132</f>
        <v>0</v>
      </c>
      <c r="AB15" s="64">
        <f>+[6]Deudas!AO132</f>
        <v>0</v>
      </c>
      <c r="AC15" s="64">
        <f>+[6]Deudas!AP132</f>
        <v>0</v>
      </c>
      <c r="AD15" s="64">
        <f>+[6]Deudas!AQ132</f>
        <v>0</v>
      </c>
      <c r="AE15" s="64">
        <f>+[6]Deudas!AR132</f>
        <v>0</v>
      </c>
      <c r="AF15" s="64">
        <f>+[6]Deudas!AS132</f>
        <v>0</v>
      </c>
      <c r="AG15" s="64">
        <f>+[6]Deudas!AT132</f>
        <v>0</v>
      </c>
    </row>
    <row r="16" spans="1:33" x14ac:dyDescent="0.25">
      <c r="A16" t="s">
        <v>81</v>
      </c>
      <c r="B16" s="64">
        <f>+[6]Deudas!O133</f>
        <v>295367.93754625728</v>
      </c>
      <c r="C16" s="64">
        <f>+[6]Deudas!P133</f>
        <v>0</v>
      </c>
      <c r="D16" s="64">
        <f>+[6]Deudas!Q133</f>
        <v>0</v>
      </c>
      <c r="E16" s="64">
        <f>+[6]Deudas!R133</f>
        <v>0</v>
      </c>
      <c r="F16" s="64">
        <f>+[6]Deudas!S133</f>
        <v>0</v>
      </c>
      <c r="G16" s="64">
        <f>+[6]Deudas!T133</f>
        <v>0</v>
      </c>
      <c r="H16" s="64">
        <f>+[6]Deudas!U133</f>
        <v>0</v>
      </c>
      <c r="I16" s="64">
        <f>+[6]Deudas!V133</f>
        <v>0</v>
      </c>
      <c r="J16" s="64">
        <f>+[6]Deudas!W133</f>
        <v>0</v>
      </c>
      <c r="K16" s="64">
        <f>+[6]Deudas!X133</f>
        <v>0</v>
      </c>
      <c r="L16" s="64">
        <f>+[6]Deudas!Y133</f>
        <v>0</v>
      </c>
      <c r="M16" s="64">
        <f>+[6]Deudas!Z133</f>
        <v>0</v>
      </c>
      <c r="N16" s="64">
        <f>+[6]Deudas!AA133</f>
        <v>0</v>
      </c>
      <c r="O16" s="64">
        <f>+[6]Deudas!AB133</f>
        <v>0</v>
      </c>
      <c r="P16" s="64">
        <f>+[6]Deudas!AC133</f>
        <v>0</v>
      </c>
      <c r="Q16" s="64">
        <f>+[6]Deudas!AD133</f>
        <v>0</v>
      </c>
      <c r="R16" s="64">
        <f>+[6]Deudas!AE133</f>
        <v>0</v>
      </c>
      <c r="S16" s="64">
        <f>+[6]Deudas!AF133</f>
        <v>0</v>
      </c>
      <c r="T16" s="64">
        <f>+[6]Deudas!AG133</f>
        <v>0</v>
      </c>
      <c r="U16" s="64">
        <f>+[6]Deudas!AH133</f>
        <v>0</v>
      </c>
      <c r="V16" s="64">
        <f>+[6]Deudas!AI133</f>
        <v>0</v>
      </c>
      <c r="W16" s="64">
        <f>+[6]Deudas!AJ133</f>
        <v>0</v>
      </c>
      <c r="X16" s="64">
        <f>+[6]Deudas!AK133</f>
        <v>0</v>
      </c>
      <c r="Y16" s="64">
        <f>+[6]Deudas!AL133</f>
        <v>0</v>
      </c>
      <c r="Z16" s="64">
        <f>+[6]Deudas!AM133</f>
        <v>0</v>
      </c>
      <c r="AA16" s="64">
        <f>+[6]Deudas!AN133</f>
        <v>0</v>
      </c>
      <c r="AB16" s="64">
        <f>+[6]Deudas!AO133</f>
        <v>0</v>
      </c>
      <c r="AC16" s="64">
        <f>+[6]Deudas!AP133</f>
        <v>0</v>
      </c>
      <c r="AD16" s="64">
        <f>+[6]Deudas!AQ133</f>
        <v>0</v>
      </c>
      <c r="AE16" s="64">
        <f>+[6]Deudas!AR133</f>
        <v>0</v>
      </c>
      <c r="AF16" s="64">
        <f>+[6]Deudas!AS133</f>
        <v>0</v>
      </c>
      <c r="AG16" s="64">
        <f>+[6]Deudas!AT133</f>
        <v>0</v>
      </c>
    </row>
    <row r="17" spans="1:33" x14ac:dyDescent="0.25">
      <c r="A17" t="s">
        <v>83</v>
      </c>
      <c r="B17" s="64">
        <f>+[6]Deudas!O134</f>
        <v>0</v>
      </c>
      <c r="C17" s="64">
        <f>+[6]Deudas!P134</f>
        <v>425815.62591267063</v>
      </c>
      <c r="D17" s="64">
        <f>+[6]Deudas!Q134</f>
        <v>1025238.7932859574</v>
      </c>
      <c r="E17" s="64">
        <f>+[6]Deudas!R134</f>
        <v>1025238.7932859574</v>
      </c>
      <c r="F17" s="64">
        <f>+[6]Deudas!S134</f>
        <v>878776.1085308207</v>
      </c>
      <c r="G17" s="64">
        <f>+[6]Deudas!T134</f>
        <v>732313.42377568397</v>
      </c>
      <c r="H17" s="64">
        <f>+[6]Deudas!U134</f>
        <v>585850.73902054725</v>
      </c>
      <c r="I17" s="64">
        <f>+[6]Deudas!V134</f>
        <v>439388.05426541046</v>
      </c>
      <c r="J17" s="64">
        <f>+[6]Deudas!W134</f>
        <v>292925.36951027374</v>
      </c>
      <c r="K17" s="64">
        <f>+[6]Deudas!X134</f>
        <v>146462.68475513696</v>
      </c>
      <c r="L17" s="64">
        <f>+[6]Deudas!Y134</f>
        <v>0</v>
      </c>
      <c r="M17" s="64">
        <f>+[6]Deudas!Z134</f>
        <v>0</v>
      </c>
      <c r="N17" s="64">
        <f>+[6]Deudas!AA134</f>
        <v>0</v>
      </c>
      <c r="O17" s="64">
        <f>+[6]Deudas!AB134</f>
        <v>0</v>
      </c>
      <c r="P17" s="64">
        <f>+[6]Deudas!AC134</f>
        <v>0</v>
      </c>
      <c r="Q17" s="64">
        <f>+[6]Deudas!AD134</f>
        <v>0</v>
      </c>
      <c r="R17" s="64">
        <f>+[6]Deudas!AE134</f>
        <v>0</v>
      </c>
      <c r="S17" s="64">
        <f>+[6]Deudas!AF134</f>
        <v>0</v>
      </c>
      <c r="T17" s="64">
        <f>+[6]Deudas!AG134</f>
        <v>0</v>
      </c>
      <c r="U17" s="64">
        <f>+[6]Deudas!AH134</f>
        <v>0</v>
      </c>
      <c r="V17" s="64">
        <f>+[6]Deudas!AI134</f>
        <v>0</v>
      </c>
      <c r="W17" s="64">
        <f>+[6]Deudas!AJ134</f>
        <v>0</v>
      </c>
      <c r="X17" s="64">
        <f>+[6]Deudas!AK134</f>
        <v>0</v>
      </c>
      <c r="Y17" s="64">
        <f>+[6]Deudas!AL134</f>
        <v>0</v>
      </c>
      <c r="Z17" s="64">
        <f>+[6]Deudas!AM134</f>
        <v>0</v>
      </c>
      <c r="AA17" s="64">
        <f>+[6]Deudas!AN134</f>
        <v>0</v>
      </c>
      <c r="AB17" s="64">
        <f>+[6]Deudas!AO134</f>
        <v>0</v>
      </c>
      <c r="AC17" s="64">
        <f>+[6]Deudas!AP134</f>
        <v>0</v>
      </c>
      <c r="AD17" s="64">
        <f>+[6]Deudas!AQ134</f>
        <v>0</v>
      </c>
      <c r="AE17" s="64">
        <f>+[6]Deudas!AR134</f>
        <v>0</v>
      </c>
      <c r="AF17" s="64">
        <f>+[6]Deudas!AS134</f>
        <v>0</v>
      </c>
      <c r="AG17" s="64">
        <f>+[6]Deudas!AT134</f>
        <v>0</v>
      </c>
    </row>
    <row r="18" spans="1:33" x14ac:dyDescent="0.25">
      <c r="A18" t="s">
        <v>82</v>
      </c>
      <c r="B18" s="64">
        <v>0</v>
      </c>
      <c r="C18" s="64">
        <f>-[6]CAPEX!Q541</f>
        <v>12342481.91051219</v>
      </c>
      <c r="D18" s="64">
        <f>+C12</f>
        <v>17374584.561544545</v>
      </c>
      <c r="E18" s="64">
        <f>+D13</f>
        <v>13063665.473971117</v>
      </c>
      <c r="F18" s="64">
        <f>+E13</f>
        <v>18399823.354830503</v>
      </c>
      <c r="G18" s="64">
        <f>+F13</f>
        <v>14088904.267257074</v>
      </c>
      <c r="H18" s="64">
        <f t="shared" ref="H18:AF18" si="33">+G13</f>
        <v>19278599.463361323</v>
      </c>
      <c r="I18" s="64">
        <f t="shared" si="33"/>
        <v>14821217.691032758</v>
      </c>
      <c r="J18" s="64">
        <f t="shared" si="33"/>
        <v>19864450.202381872</v>
      </c>
      <c r="K18" s="64">
        <f t="shared" si="33"/>
        <v>15260605.745298168</v>
      </c>
      <c r="L18" s="64">
        <f t="shared" si="33"/>
        <v>20157375.571892146</v>
      </c>
      <c r="M18" s="64">
        <f t="shared" si="33"/>
        <v>15407068.430053305</v>
      </c>
      <c r="N18" s="64">
        <f t="shared" si="33"/>
        <v>20157375.571892146</v>
      </c>
      <c r="O18" s="64">
        <f t="shared" si="33"/>
        <v>15407068.430053305</v>
      </c>
      <c r="P18" s="64">
        <f t="shared" si="33"/>
        <v>20157375.571892146</v>
      </c>
      <c r="Q18" s="64">
        <f t="shared" si="33"/>
        <v>15407068.430053305</v>
      </c>
      <c r="R18" s="64">
        <f t="shared" si="33"/>
        <v>20157375.571892146</v>
      </c>
      <c r="S18" s="64">
        <f t="shared" si="33"/>
        <v>15407068.430053305</v>
      </c>
      <c r="T18" s="64">
        <f t="shared" si="33"/>
        <v>20157375.571892146</v>
      </c>
      <c r="U18" s="64">
        <f t="shared" si="33"/>
        <v>15407068.430053305</v>
      </c>
      <c r="V18" s="64">
        <f t="shared" si="33"/>
        <v>20157375.571892146</v>
      </c>
      <c r="W18" s="64">
        <f t="shared" si="33"/>
        <v>15407068.430053305</v>
      </c>
      <c r="X18" s="64">
        <f t="shared" si="33"/>
        <v>20157375.571892146</v>
      </c>
      <c r="Y18" s="64">
        <f t="shared" si="33"/>
        <v>15407068.430053305</v>
      </c>
      <c r="Z18" s="64">
        <f t="shared" si="33"/>
        <v>20157375.571892146</v>
      </c>
      <c r="AA18" s="64">
        <f t="shared" si="33"/>
        <v>15407068.430053305</v>
      </c>
      <c r="AB18" s="64">
        <f t="shared" si="33"/>
        <v>20157375.571892146</v>
      </c>
      <c r="AC18" s="64">
        <f t="shared" si="33"/>
        <v>15407068.430053305</v>
      </c>
      <c r="AD18" s="64">
        <f t="shared" si="33"/>
        <v>20157375.571892146</v>
      </c>
      <c r="AE18" s="64">
        <f t="shared" si="33"/>
        <v>15407068.430053305</v>
      </c>
      <c r="AF18" s="64">
        <f t="shared" si="33"/>
        <v>20157375.571892146</v>
      </c>
      <c r="AG18" s="64">
        <v>0</v>
      </c>
    </row>
    <row r="19" spans="1:33" x14ac:dyDescent="0.25">
      <c r="A19" s="75" t="s">
        <v>88</v>
      </c>
      <c r="B19" s="78">
        <f>B13+B12-B15-B16-B17-B18</f>
        <v>12047113.972965933</v>
      </c>
      <c r="C19" s="78">
        <f t="shared" ref="C19:AG19" si="34">C13+C12-C15-C16-C17-C18</f>
        <v>4606287.0251196846</v>
      </c>
      <c r="D19" s="78">
        <f t="shared" si="34"/>
        <v>-5336157.8808593843</v>
      </c>
      <c r="E19" s="78">
        <f t="shared" si="34"/>
        <v>65623.877279611304</v>
      </c>
      <c r="F19" s="78">
        <f t="shared" si="34"/>
        <v>-9434990.406398071</v>
      </c>
      <c r="G19" s="78">
        <f t="shared" si="34"/>
        <v>212086.56203474663</v>
      </c>
      <c r="H19" s="78">
        <f t="shared" si="34"/>
        <v>-9288527.7216429319</v>
      </c>
      <c r="I19" s="78">
        <f t="shared" si="34"/>
        <v>358549.24678988568</v>
      </c>
      <c r="J19" s="78">
        <f t="shared" si="34"/>
        <v>-9142065.0368877985</v>
      </c>
      <c r="K19" s="78">
        <f t="shared" si="34"/>
        <v>505011.93154502288</v>
      </c>
      <c r="L19" s="78">
        <f t="shared" si="34"/>
        <v>-4750307.1418388411</v>
      </c>
      <c r="M19" s="78">
        <f t="shared" si="34"/>
        <v>4750307.1418388411</v>
      </c>
      <c r="N19" s="78">
        <f t="shared" si="34"/>
        <v>-4750307.1418388411</v>
      </c>
      <c r="O19" s="78">
        <f t="shared" si="34"/>
        <v>4750307.1418388411</v>
      </c>
      <c r="P19" s="78">
        <f t="shared" si="34"/>
        <v>-4750307.1418388411</v>
      </c>
      <c r="Q19" s="78">
        <f t="shared" si="34"/>
        <v>4750307.1418388411</v>
      </c>
      <c r="R19" s="78">
        <f t="shared" si="34"/>
        <v>-4750307.1418388411</v>
      </c>
      <c r="S19" s="78">
        <f t="shared" si="34"/>
        <v>4750307.1418388411</v>
      </c>
      <c r="T19" s="78">
        <f t="shared" si="34"/>
        <v>-4750307.1418388411</v>
      </c>
      <c r="U19" s="78">
        <f t="shared" si="34"/>
        <v>4750307.1418388411</v>
      </c>
      <c r="V19" s="78">
        <f t="shared" si="34"/>
        <v>-4750307.1418388411</v>
      </c>
      <c r="W19" s="78">
        <f t="shared" si="34"/>
        <v>4750307.1418388411</v>
      </c>
      <c r="X19" s="78">
        <f t="shared" si="34"/>
        <v>-4750307.1418388411</v>
      </c>
      <c r="Y19" s="78">
        <f t="shared" si="34"/>
        <v>4750307.1418388411</v>
      </c>
      <c r="Z19" s="78">
        <f t="shared" si="34"/>
        <v>-4750307.1418388411</v>
      </c>
      <c r="AA19" s="78">
        <f t="shared" si="34"/>
        <v>4750307.1418388411</v>
      </c>
      <c r="AB19" s="78">
        <f t="shared" si="34"/>
        <v>-4750307.1418388411</v>
      </c>
      <c r="AC19" s="78">
        <f t="shared" si="34"/>
        <v>4750307.1418388411</v>
      </c>
      <c r="AD19" s="78">
        <f t="shared" si="34"/>
        <v>-4750307.1418388411</v>
      </c>
      <c r="AE19" s="78">
        <f t="shared" si="34"/>
        <v>4750307.1418388411</v>
      </c>
      <c r="AF19" s="78">
        <f t="shared" si="34"/>
        <v>-4750307.1418388411</v>
      </c>
      <c r="AG19" s="78">
        <f t="shared" si="34"/>
        <v>20157375.571892146</v>
      </c>
    </row>
    <row r="21" spans="1:33" x14ac:dyDescent="0.25">
      <c r="A21" s="75" t="s">
        <v>78</v>
      </c>
      <c r="B21" s="76">
        <f>NPV('Proyección 24012022'!C51,'Flujo de Caja'!B19:AG19)</f>
        <v>-5444305.8026933372</v>
      </c>
    </row>
    <row r="22" spans="1:33" x14ac:dyDescent="0.25">
      <c r="A22" s="75" t="s">
        <v>79</v>
      </c>
      <c r="B22" s="95">
        <f>IRR(B19:AF19)</f>
        <v>0.15938061196839204</v>
      </c>
    </row>
    <row r="24" spans="1:33" x14ac:dyDescent="0.25">
      <c r="B24" s="64"/>
    </row>
  </sheetData>
  <pageMargins left="0.7" right="0.7" top="0.75" bottom="0.75" header="0.3" footer="0.3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82"/>
  <sheetViews>
    <sheetView showGridLines="0"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B11" sqref="B11"/>
    </sheetView>
  </sheetViews>
  <sheetFormatPr baseColWidth="10" defaultRowHeight="15" outlineLevelCol="1" x14ac:dyDescent="0.25"/>
  <cols>
    <col min="1" max="1" width="61.7109375" customWidth="1"/>
    <col min="2" max="3" width="22.85546875" customWidth="1"/>
    <col min="4" max="4" width="4.28515625" customWidth="1"/>
    <col min="5" max="34" width="15.7109375" customWidth="1" outlineLevel="1"/>
    <col min="35" max="35" width="15.85546875" bestFit="1" customWidth="1"/>
    <col min="36" max="36" width="12" bestFit="1" customWidth="1"/>
    <col min="39" max="39" width="15.7109375" bestFit="1" customWidth="1"/>
  </cols>
  <sheetData>
    <row r="1" spans="1:41" x14ac:dyDescent="0.25">
      <c r="A1" s="25" t="s">
        <v>51</v>
      </c>
      <c r="B1" s="25"/>
    </row>
    <row r="2" spans="1:41" x14ac:dyDescent="0.25">
      <c r="A2" s="25" t="s">
        <v>90</v>
      </c>
      <c r="B2" s="25"/>
    </row>
    <row r="3" spans="1:41" x14ac:dyDescent="0.25">
      <c r="A3" s="25" t="s">
        <v>16</v>
      </c>
      <c r="B3" s="25"/>
      <c r="E3" s="27"/>
      <c r="F3" s="27"/>
      <c r="G3" s="27"/>
      <c r="H3" s="27"/>
      <c r="I3" s="27"/>
      <c r="J3" s="26"/>
      <c r="K3" s="26"/>
      <c r="L3" s="26"/>
    </row>
    <row r="4" spans="1:41" x14ac:dyDescent="0.25">
      <c r="A4" s="25" t="s">
        <v>65</v>
      </c>
      <c r="B4" s="25"/>
      <c r="E4" s="27"/>
      <c r="F4" s="27"/>
      <c r="G4" s="27"/>
      <c r="H4" s="27"/>
      <c r="I4" s="27"/>
      <c r="J4" s="26"/>
      <c r="K4" s="26"/>
      <c r="L4" s="26"/>
    </row>
    <row r="5" spans="1:41" x14ac:dyDescent="0.25">
      <c r="E5" s="36"/>
      <c r="F5" s="36"/>
      <c r="G5" s="36"/>
      <c r="H5" s="36"/>
      <c r="I5" s="36"/>
      <c r="J5" s="36"/>
      <c r="K5" s="36"/>
      <c r="L5" s="46">
        <v>0.35</v>
      </c>
      <c r="M5" s="37"/>
      <c r="N5" s="37"/>
      <c r="O5" s="37"/>
      <c r="P5" s="37"/>
      <c r="Q5" s="38">
        <v>0.4</v>
      </c>
      <c r="R5" s="37"/>
      <c r="S5" s="37"/>
      <c r="T5" s="37"/>
      <c r="U5" s="37"/>
      <c r="V5" s="38">
        <v>0.45</v>
      </c>
      <c r="W5" s="37"/>
      <c r="X5" s="37"/>
      <c r="Y5" s="37"/>
      <c r="Z5" s="37"/>
      <c r="AA5" s="38">
        <v>0.5</v>
      </c>
      <c r="AB5" s="37"/>
      <c r="AC5" s="37"/>
      <c r="AD5" s="37"/>
      <c r="AE5" s="37"/>
      <c r="AF5" s="38">
        <v>0.55000000000000004</v>
      </c>
      <c r="AG5" s="37"/>
      <c r="AH5" s="37"/>
    </row>
    <row r="6" spans="1:41" ht="24.75" customHeight="1" x14ac:dyDescent="0.25">
      <c r="B6" s="24" t="s">
        <v>43</v>
      </c>
      <c r="C6" s="24" t="s">
        <v>42</v>
      </c>
      <c r="E6" s="39" t="s">
        <v>41</v>
      </c>
      <c r="F6" s="40"/>
      <c r="G6" s="40"/>
      <c r="H6" s="40"/>
      <c r="I6" s="40"/>
      <c r="J6" s="40"/>
      <c r="K6" s="40"/>
      <c r="L6" s="41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2"/>
    </row>
    <row r="7" spans="1:41" ht="24.75" customHeight="1" x14ac:dyDescent="0.25">
      <c r="B7" s="24"/>
      <c r="C7" s="24"/>
      <c r="E7" s="24">
        <v>1</v>
      </c>
      <c r="F7" s="24">
        <f t="shared" ref="F7" si="0">+E7+1</f>
        <v>2</v>
      </c>
      <c r="G7" s="24">
        <f t="shared" ref="G7" si="1">+F7+1</f>
        <v>3</v>
      </c>
      <c r="H7" s="24">
        <f t="shared" ref="H7" si="2">+G7+1</f>
        <v>4</v>
      </c>
      <c r="I7" s="24">
        <f t="shared" ref="I7" si="3">+H7+1</f>
        <v>5</v>
      </c>
      <c r="J7" s="24">
        <f t="shared" ref="J7" si="4">+I7+1</f>
        <v>6</v>
      </c>
      <c r="K7" s="24">
        <f t="shared" ref="K7" si="5">+J7+1</f>
        <v>7</v>
      </c>
      <c r="L7" s="24">
        <f t="shared" ref="L7" si="6">+K7+1</f>
        <v>8</v>
      </c>
      <c r="M7" s="24">
        <f t="shared" ref="M7" si="7">+L7+1</f>
        <v>9</v>
      </c>
      <c r="N7" s="24">
        <f t="shared" ref="N7" si="8">+M7+1</f>
        <v>10</v>
      </c>
      <c r="O7" s="24">
        <f t="shared" ref="O7" si="9">+N7+1</f>
        <v>11</v>
      </c>
      <c r="P7" s="24">
        <f t="shared" ref="P7" si="10">+O7+1</f>
        <v>12</v>
      </c>
      <c r="Q7" s="24">
        <f t="shared" ref="Q7" si="11">+P7+1</f>
        <v>13</v>
      </c>
      <c r="R7" s="24">
        <f t="shared" ref="R7" si="12">+Q7+1</f>
        <v>14</v>
      </c>
      <c r="S7" s="24">
        <f t="shared" ref="S7" si="13">+R7+1</f>
        <v>15</v>
      </c>
      <c r="T7" s="24">
        <f t="shared" ref="T7" si="14">+S7+1</f>
        <v>16</v>
      </c>
      <c r="U7" s="24">
        <f t="shared" ref="U7" si="15">+T7+1</f>
        <v>17</v>
      </c>
      <c r="V7" s="24">
        <f t="shared" ref="V7" si="16">+U7+1</f>
        <v>18</v>
      </c>
      <c r="W7" s="24">
        <f t="shared" ref="W7" si="17">+V7+1</f>
        <v>19</v>
      </c>
      <c r="X7" s="24">
        <f t="shared" ref="X7" si="18">+W7+1</f>
        <v>20</v>
      </c>
      <c r="Y7" s="24">
        <f t="shared" ref="Y7" si="19">+X7+1</f>
        <v>21</v>
      </c>
      <c r="Z7" s="24">
        <f t="shared" ref="Z7" si="20">+Y7+1</f>
        <v>22</v>
      </c>
      <c r="AA7" s="24">
        <f t="shared" ref="AA7" si="21">+Z7+1</f>
        <v>23</v>
      </c>
      <c r="AB7" s="24">
        <f t="shared" ref="AB7" si="22">+AA7+1</f>
        <v>24</v>
      </c>
      <c r="AC7" s="24">
        <f t="shared" ref="AC7" si="23">+AB7+1</f>
        <v>25</v>
      </c>
      <c r="AD7" s="24">
        <f t="shared" ref="AD7" si="24">+AC7+1</f>
        <v>26</v>
      </c>
      <c r="AE7" s="24">
        <f t="shared" ref="AE7" si="25">+AD7+1</f>
        <v>27</v>
      </c>
      <c r="AF7" s="24">
        <f t="shared" ref="AF7" si="26">+AE7+1</f>
        <v>28</v>
      </c>
      <c r="AG7" s="24">
        <f t="shared" ref="AG7" si="27">+AF7+1</f>
        <v>29</v>
      </c>
      <c r="AH7" s="24">
        <f t="shared" ref="AH7" si="28">+AG7+1</f>
        <v>30</v>
      </c>
    </row>
    <row r="8" spans="1:41" ht="30" customHeight="1" x14ac:dyDescent="0.25">
      <c r="A8" s="4" t="s">
        <v>91</v>
      </c>
      <c r="B8" s="62">
        <f>+B10+B13</f>
        <v>433333262.68437201</v>
      </c>
      <c r="C8" s="11">
        <f>+C10+C13</f>
        <v>700000000</v>
      </c>
      <c r="D8" s="19"/>
      <c r="E8" s="11">
        <f>+E10+E13</f>
        <v>10005750</v>
      </c>
      <c r="F8" s="11">
        <f t="shared" ref="F8:AH8" si="29">+F10+F13</f>
        <v>15008625</v>
      </c>
      <c r="G8" s="11">
        <f t="shared" si="29"/>
        <v>17510062.5</v>
      </c>
      <c r="H8" s="11">
        <f t="shared" si="29"/>
        <v>21925925.925925899</v>
      </c>
      <c r="I8" s="11">
        <f t="shared" si="29"/>
        <v>24504378.654803623</v>
      </c>
      <c r="J8" s="11">
        <f t="shared" si="29"/>
        <v>24504378.654803623</v>
      </c>
      <c r="K8" s="11">
        <f t="shared" si="29"/>
        <v>24504378.654803623</v>
      </c>
      <c r="L8" s="11">
        <f t="shared" si="29"/>
        <v>24504378.654803623</v>
      </c>
      <c r="M8" s="11">
        <f t="shared" si="29"/>
        <v>24504378.654803623</v>
      </c>
      <c r="N8" s="11">
        <f t="shared" si="29"/>
        <v>24504378.654803623</v>
      </c>
      <c r="O8" s="11">
        <f t="shared" si="29"/>
        <v>24504378.654803623</v>
      </c>
      <c r="P8" s="11">
        <f t="shared" si="29"/>
        <v>24504378.654803623</v>
      </c>
      <c r="Q8" s="11">
        <f t="shared" si="29"/>
        <v>24504378.654803623</v>
      </c>
      <c r="R8" s="11">
        <f t="shared" si="29"/>
        <v>24504378.654803623</v>
      </c>
      <c r="S8" s="11">
        <f t="shared" si="29"/>
        <v>24504378.654803623</v>
      </c>
      <c r="T8" s="11">
        <f t="shared" si="29"/>
        <v>24504378.654803623</v>
      </c>
      <c r="U8" s="11">
        <f t="shared" si="29"/>
        <v>24504378.654803623</v>
      </c>
      <c r="V8" s="11">
        <f t="shared" si="29"/>
        <v>24504378.654803623</v>
      </c>
      <c r="W8" s="11">
        <f t="shared" si="29"/>
        <v>24504378.654803623</v>
      </c>
      <c r="X8" s="11">
        <f t="shared" si="29"/>
        <v>24504378.654803623</v>
      </c>
      <c r="Y8" s="11">
        <f t="shared" si="29"/>
        <v>24504378.654803623</v>
      </c>
      <c r="Z8" s="11">
        <f t="shared" si="29"/>
        <v>24504378.654803623</v>
      </c>
      <c r="AA8" s="11">
        <f t="shared" si="29"/>
        <v>24504378.654803623</v>
      </c>
      <c r="AB8" s="11">
        <f t="shared" si="29"/>
        <v>24504378.654803623</v>
      </c>
      <c r="AC8" s="11">
        <f t="shared" si="29"/>
        <v>24504378.654803623</v>
      </c>
      <c r="AD8" s="11">
        <f t="shared" si="29"/>
        <v>24504378.654803623</v>
      </c>
      <c r="AE8" s="11">
        <f t="shared" si="29"/>
        <v>24504378.654803623</v>
      </c>
      <c r="AF8" s="11">
        <f t="shared" si="29"/>
        <v>24504378.654803623</v>
      </c>
      <c r="AG8" s="11">
        <f t="shared" si="29"/>
        <v>24504378.654803623</v>
      </c>
      <c r="AH8" s="11">
        <f t="shared" si="29"/>
        <v>22940170.203983296</v>
      </c>
    </row>
    <row r="9" spans="1:41" x14ac:dyDescent="0.25">
      <c r="A9" s="13"/>
      <c r="B9" s="29"/>
      <c r="C9" s="12"/>
      <c r="D9" s="19"/>
      <c r="E9" s="21"/>
      <c r="F9" s="21"/>
      <c r="G9" s="21"/>
      <c r="H9" s="21"/>
      <c r="I9" s="21"/>
      <c r="J9" s="21"/>
      <c r="K9" s="21"/>
      <c r="L9" s="21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41" ht="30" customHeight="1" x14ac:dyDescent="0.25">
      <c r="A10" s="4" t="s">
        <v>14</v>
      </c>
      <c r="B10" s="11">
        <f>NPV(C44,E10:AH10)</f>
        <v>433333262.68437201</v>
      </c>
      <c r="C10" s="11">
        <f>+SUM(C11:C11)</f>
        <v>700000000</v>
      </c>
      <c r="D10" s="19"/>
      <c r="E10" s="11">
        <f t="shared" ref="E10:AH10" si="30">+SUM(E11:E11)</f>
        <v>10005750</v>
      </c>
      <c r="F10" s="11">
        <f t="shared" si="30"/>
        <v>15008625</v>
      </c>
      <c r="G10" s="11">
        <f t="shared" si="30"/>
        <v>17510062.5</v>
      </c>
      <c r="H10" s="11">
        <f t="shared" si="30"/>
        <v>21925925.925925899</v>
      </c>
      <c r="I10" s="11">
        <f t="shared" si="30"/>
        <v>24504378.654803623</v>
      </c>
      <c r="J10" s="11">
        <f t="shared" si="30"/>
        <v>24504378.654803623</v>
      </c>
      <c r="K10" s="11">
        <f t="shared" si="30"/>
        <v>24504378.654803623</v>
      </c>
      <c r="L10" s="11">
        <f t="shared" si="30"/>
        <v>24504378.654803623</v>
      </c>
      <c r="M10" s="11">
        <f t="shared" si="30"/>
        <v>24504378.654803623</v>
      </c>
      <c r="N10" s="11">
        <f t="shared" si="30"/>
        <v>24504378.654803623</v>
      </c>
      <c r="O10" s="11">
        <f t="shared" si="30"/>
        <v>24504378.654803623</v>
      </c>
      <c r="P10" s="11">
        <f t="shared" si="30"/>
        <v>24504378.654803623</v>
      </c>
      <c r="Q10" s="11">
        <f t="shared" si="30"/>
        <v>24504378.654803623</v>
      </c>
      <c r="R10" s="11">
        <f t="shared" si="30"/>
        <v>24504378.654803623</v>
      </c>
      <c r="S10" s="11">
        <f t="shared" si="30"/>
        <v>24504378.654803623</v>
      </c>
      <c r="T10" s="11">
        <f t="shared" si="30"/>
        <v>24504378.654803623</v>
      </c>
      <c r="U10" s="11">
        <f t="shared" si="30"/>
        <v>24504378.654803623</v>
      </c>
      <c r="V10" s="11">
        <f t="shared" si="30"/>
        <v>24504378.654803623</v>
      </c>
      <c r="W10" s="11">
        <f t="shared" si="30"/>
        <v>24504378.654803623</v>
      </c>
      <c r="X10" s="11">
        <f t="shared" si="30"/>
        <v>24504378.654803623</v>
      </c>
      <c r="Y10" s="11">
        <f t="shared" si="30"/>
        <v>24504378.654803623</v>
      </c>
      <c r="Z10" s="11">
        <f t="shared" si="30"/>
        <v>24504378.654803623</v>
      </c>
      <c r="AA10" s="11">
        <f t="shared" si="30"/>
        <v>24504378.654803623</v>
      </c>
      <c r="AB10" s="11">
        <f t="shared" si="30"/>
        <v>24504378.654803623</v>
      </c>
      <c r="AC10" s="11">
        <f t="shared" si="30"/>
        <v>24504378.654803623</v>
      </c>
      <c r="AD10" s="11">
        <f t="shared" si="30"/>
        <v>24504378.654803623</v>
      </c>
      <c r="AE10" s="11">
        <f t="shared" si="30"/>
        <v>24504378.654803623</v>
      </c>
      <c r="AF10" s="11">
        <f t="shared" si="30"/>
        <v>24504378.654803623</v>
      </c>
      <c r="AG10" s="11">
        <f t="shared" si="30"/>
        <v>24504378.654803623</v>
      </c>
      <c r="AH10" s="11">
        <f t="shared" si="30"/>
        <v>22940170.203983296</v>
      </c>
      <c r="AI10" s="64"/>
      <c r="AM10" s="64"/>
      <c r="AN10" s="52"/>
      <c r="AO10" s="27"/>
    </row>
    <row r="11" spans="1:41" ht="30" customHeight="1" x14ac:dyDescent="0.25">
      <c r="A11" s="15" t="s">
        <v>64</v>
      </c>
      <c r="B11" s="14">
        <f>NPV($C$44,E11:AH11)</f>
        <v>433333262.68437201</v>
      </c>
      <c r="C11" s="47">
        <v>700000000</v>
      </c>
      <c r="D11" s="48"/>
      <c r="E11" s="47">
        <v>10005750</v>
      </c>
      <c r="F11" s="47">
        <v>15008625</v>
      </c>
      <c r="G11" s="47">
        <v>17510062.5</v>
      </c>
      <c r="H11" s="47">
        <v>21925925.925925899</v>
      </c>
      <c r="I11" s="47">
        <v>24504378.654803623</v>
      </c>
      <c r="J11" s="47">
        <v>24504378.654803623</v>
      </c>
      <c r="K11" s="47">
        <v>24504378.654803623</v>
      </c>
      <c r="L11" s="47">
        <v>24504378.654803623</v>
      </c>
      <c r="M11" s="47">
        <v>24504378.654803623</v>
      </c>
      <c r="N11" s="47">
        <v>24504378.654803623</v>
      </c>
      <c r="O11" s="47">
        <v>24504378.654803623</v>
      </c>
      <c r="P11" s="47">
        <v>24504378.654803623</v>
      </c>
      <c r="Q11" s="47">
        <v>24504378.654803623</v>
      </c>
      <c r="R11" s="47">
        <v>24504378.654803623</v>
      </c>
      <c r="S11" s="47">
        <v>24504378.654803623</v>
      </c>
      <c r="T11" s="47">
        <v>24504378.654803623</v>
      </c>
      <c r="U11" s="47">
        <v>24504378.654803623</v>
      </c>
      <c r="V11" s="47">
        <v>24504378.654803623</v>
      </c>
      <c r="W11" s="47">
        <v>24504378.654803623</v>
      </c>
      <c r="X11" s="47">
        <v>24504378.654803623</v>
      </c>
      <c r="Y11" s="47">
        <v>24504378.654803623</v>
      </c>
      <c r="Z11" s="47">
        <v>24504378.654803623</v>
      </c>
      <c r="AA11" s="47">
        <v>24504378.654803623</v>
      </c>
      <c r="AB11" s="47">
        <v>24504378.654803623</v>
      </c>
      <c r="AC11" s="47">
        <v>24504378.654803623</v>
      </c>
      <c r="AD11" s="47">
        <v>24504378.654803623</v>
      </c>
      <c r="AE11" s="47">
        <v>24504378.654803623</v>
      </c>
      <c r="AF11" s="47">
        <v>24504378.654803623</v>
      </c>
      <c r="AG11" s="47">
        <v>24504378.654803623</v>
      </c>
      <c r="AH11" s="47">
        <v>22940170.203983296</v>
      </c>
      <c r="AI11" s="64"/>
      <c r="AJ11" s="64"/>
      <c r="AM11" s="31"/>
      <c r="AN11" s="66"/>
    </row>
    <row r="12" spans="1:41" x14ac:dyDescent="0.25">
      <c r="A12" s="13"/>
      <c r="B12" s="29"/>
      <c r="C12" s="12"/>
      <c r="D12" s="23"/>
      <c r="E12" s="19"/>
      <c r="F12" s="19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</row>
    <row r="13" spans="1:41" ht="30" hidden="1" customHeight="1" x14ac:dyDescent="0.25">
      <c r="A13" s="4" t="s">
        <v>21</v>
      </c>
      <c r="B13" s="11">
        <f>NPV(C52,E13:AH13)</f>
        <v>0</v>
      </c>
      <c r="C13" s="11">
        <f>+C14</f>
        <v>0</v>
      </c>
      <c r="D13" s="19"/>
      <c r="E13" s="11">
        <f t="shared" ref="E13:AH13" si="31">+SUM(E14:E14)</f>
        <v>0</v>
      </c>
      <c r="F13" s="11">
        <f t="shared" si="31"/>
        <v>0</v>
      </c>
      <c r="G13" s="11">
        <f t="shared" si="31"/>
        <v>0</v>
      </c>
      <c r="H13" s="11">
        <f t="shared" si="31"/>
        <v>0</v>
      </c>
      <c r="I13" s="11">
        <f t="shared" si="31"/>
        <v>0</v>
      </c>
      <c r="J13" s="11">
        <f t="shared" si="31"/>
        <v>0</v>
      </c>
      <c r="K13" s="11">
        <f t="shared" si="31"/>
        <v>0</v>
      </c>
      <c r="L13" s="11">
        <f t="shared" si="31"/>
        <v>0</v>
      </c>
      <c r="M13" s="11">
        <f t="shared" si="31"/>
        <v>0</v>
      </c>
      <c r="N13" s="11">
        <f t="shared" si="31"/>
        <v>0</v>
      </c>
      <c r="O13" s="11">
        <f t="shared" si="31"/>
        <v>0</v>
      </c>
      <c r="P13" s="11">
        <f t="shared" si="31"/>
        <v>0</v>
      </c>
      <c r="Q13" s="11">
        <f t="shared" si="31"/>
        <v>0</v>
      </c>
      <c r="R13" s="11">
        <f t="shared" si="31"/>
        <v>0</v>
      </c>
      <c r="S13" s="11">
        <f t="shared" si="31"/>
        <v>0</v>
      </c>
      <c r="T13" s="11">
        <f t="shared" si="31"/>
        <v>0</v>
      </c>
      <c r="U13" s="11">
        <f t="shared" si="31"/>
        <v>0</v>
      </c>
      <c r="V13" s="11">
        <f t="shared" si="31"/>
        <v>0</v>
      </c>
      <c r="W13" s="11">
        <f t="shared" si="31"/>
        <v>0</v>
      </c>
      <c r="X13" s="11">
        <f t="shared" si="31"/>
        <v>0</v>
      </c>
      <c r="Y13" s="11">
        <f t="shared" si="31"/>
        <v>0</v>
      </c>
      <c r="Z13" s="11">
        <f t="shared" si="31"/>
        <v>0</v>
      </c>
      <c r="AA13" s="11">
        <f t="shared" si="31"/>
        <v>0</v>
      </c>
      <c r="AB13" s="11">
        <f t="shared" si="31"/>
        <v>0</v>
      </c>
      <c r="AC13" s="11">
        <f t="shared" si="31"/>
        <v>0</v>
      </c>
      <c r="AD13" s="11">
        <f t="shared" si="31"/>
        <v>0</v>
      </c>
      <c r="AE13" s="11">
        <f t="shared" si="31"/>
        <v>0</v>
      </c>
      <c r="AF13" s="11">
        <f t="shared" si="31"/>
        <v>0</v>
      </c>
      <c r="AG13" s="11">
        <f t="shared" si="31"/>
        <v>0</v>
      </c>
      <c r="AH13" s="11">
        <f t="shared" si="31"/>
        <v>0</v>
      </c>
    </row>
    <row r="14" spans="1:41" ht="30" hidden="1" customHeight="1" x14ac:dyDescent="0.25">
      <c r="A14" s="15"/>
      <c r="B14" s="14"/>
      <c r="C14" s="47"/>
      <c r="D14" s="19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41" hidden="1" x14ac:dyDescent="0.25">
      <c r="A15" s="13"/>
      <c r="B15" s="29"/>
      <c r="C15" s="20"/>
      <c r="D15" s="19"/>
      <c r="E15" s="22"/>
      <c r="F15" s="16"/>
      <c r="G15" s="16"/>
      <c r="H15" s="16"/>
      <c r="I15" s="16"/>
      <c r="J15" s="16"/>
      <c r="K15" s="16"/>
      <c r="L15" s="16"/>
      <c r="M15" s="16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41" ht="30" hidden="1" customHeight="1" x14ac:dyDescent="0.25">
      <c r="A16" s="4" t="s">
        <v>25</v>
      </c>
      <c r="B16" s="11">
        <f>+B30</f>
        <v>789550241.6500001</v>
      </c>
      <c r="C16" s="11">
        <f>+C30</f>
        <v>1207344569.8604791</v>
      </c>
      <c r="D16" s="19"/>
      <c r="E16" s="11">
        <f>+E30</f>
        <v>37438204.559574097</v>
      </c>
      <c r="F16" s="11">
        <f t="shared" ref="F16:AH16" si="32">+F30</f>
        <v>37588084.205625392</v>
      </c>
      <c r="G16" s="11">
        <f t="shared" si="32"/>
        <v>37776024.626653522</v>
      </c>
      <c r="H16" s="11">
        <f t="shared" si="32"/>
        <v>37964904.749786779</v>
      </c>
      <c r="I16" s="11">
        <f t="shared" si="32"/>
        <v>38154729.273535714</v>
      </c>
      <c r="J16" s="11">
        <f t="shared" si="32"/>
        <v>38345502.919903398</v>
      </c>
      <c r="K16" s="11">
        <f t="shared" si="32"/>
        <v>38537230.434502915</v>
      </c>
      <c r="L16" s="11">
        <f t="shared" si="32"/>
        <v>38729916.586675428</v>
      </c>
      <c r="M16" s="11">
        <f t="shared" si="32"/>
        <v>38923566.169608802</v>
      </c>
      <c r="N16" s="11">
        <f t="shared" si="32"/>
        <v>39118184.000456855</v>
      </c>
      <c r="O16" s="11">
        <f t="shared" si="32"/>
        <v>39313774.920459136</v>
      </c>
      <c r="P16" s="11">
        <f t="shared" si="32"/>
        <v>39510343.795061432</v>
      </c>
      <c r="Q16" s="11">
        <f t="shared" si="32"/>
        <v>39707895.514036737</v>
      </c>
      <c r="R16" s="11">
        <f t="shared" si="32"/>
        <v>39906434.991606921</v>
      </c>
      <c r="S16" s="11">
        <f t="shared" si="32"/>
        <v>40105967.166564949</v>
      </c>
      <c r="T16" s="11">
        <f t="shared" si="32"/>
        <v>40306497.002397776</v>
      </c>
      <c r="U16" s="11">
        <f t="shared" si="32"/>
        <v>40508029.487409763</v>
      </c>
      <c r="V16" s="11">
        <f t="shared" si="32"/>
        <v>40710569.634846807</v>
      </c>
      <c r="W16" s="11">
        <f t="shared" si="32"/>
        <v>40914122.483021043</v>
      </c>
      <c r="X16" s="11">
        <f t="shared" si="32"/>
        <v>41118693.095436148</v>
      </c>
      <c r="Y16" s="11">
        <f t="shared" si="32"/>
        <v>41324286.560913324</v>
      </c>
      <c r="Z16" s="11">
        <f t="shared" si="32"/>
        <v>41530907.993717894</v>
      </c>
      <c r="AA16" s="11">
        <f t="shared" si="32"/>
        <v>41738562.533686481</v>
      </c>
      <c r="AB16" s="11">
        <f t="shared" si="32"/>
        <v>41947255.346354917</v>
      </c>
      <c r="AC16" s="11">
        <f t="shared" si="32"/>
        <v>42156991.623086691</v>
      </c>
      <c r="AD16" s="11">
        <f t="shared" si="32"/>
        <v>42367776.581202127</v>
      </c>
      <c r="AE16" s="11">
        <f t="shared" si="32"/>
        <v>42579615.464108132</v>
      </c>
      <c r="AF16" s="11">
        <f t="shared" si="32"/>
        <v>42792513.541428678</v>
      </c>
      <c r="AG16" s="11">
        <f t="shared" si="32"/>
        <v>43006476.109135821</v>
      </c>
      <c r="AH16" s="11">
        <f t="shared" si="32"/>
        <v>43221508.489681497</v>
      </c>
    </row>
    <row r="17" spans="1:34" ht="30" hidden="1" customHeight="1" x14ac:dyDescent="0.25">
      <c r="A17" s="15" t="s">
        <v>26</v>
      </c>
      <c r="B17" s="97">
        <f>+AH17</f>
        <v>665949.11877613713</v>
      </c>
      <c r="C17" s="98"/>
      <c r="D17" s="19"/>
      <c r="E17" s="14">
        <v>576269</v>
      </c>
      <c r="F17" s="14">
        <f>+(E17*0.5%)+E17</f>
        <v>579150.34499999997</v>
      </c>
      <c r="G17" s="14">
        <f t="shared" ref="G17:V18" si="33">+(F17*0.5%)+F17</f>
        <v>582046.09672499995</v>
      </c>
      <c r="H17" s="14">
        <f t="shared" si="33"/>
        <v>584956.32720862492</v>
      </c>
      <c r="I17" s="14">
        <f t="shared" si="33"/>
        <v>587881.10884466802</v>
      </c>
      <c r="J17" s="14">
        <f t="shared" si="33"/>
        <v>590820.5143888914</v>
      </c>
      <c r="K17" s="14">
        <f t="shared" si="33"/>
        <v>593774.61696083588</v>
      </c>
      <c r="L17" s="14">
        <f t="shared" si="33"/>
        <v>596743.49004564004</v>
      </c>
      <c r="M17" s="14">
        <f t="shared" si="33"/>
        <v>599727.20749586821</v>
      </c>
      <c r="N17" s="14">
        <f t="shared" si="33"/>
        <v>602725.84353334759</v>
      </c>
      <c r="O17" s="14">
        <f t="shared" si="33"/>
        <v>605739.47275101428</v>
      </c>
      <c r="P17" s="14">
        <f t="shared" si="33"/>
        <v>608768.17011476937</v>
      </c>
      <c r="Q17" s="14">
        <f t="shared" si="33"/>
        <v>611812.01096534322</v>
      </c>
      <c r="R17" s="14">
        <f t="shared" si="33"/>
        <v>614871.07102016988</v>
      </c>
      <c r="S17" s="14">
        <f t="shared" si="33"/>
        <v>617945.4263752707</v>
      </c>
      <c r="T17" s="14">
        <f t="shared" si="33"/>
        <v>621035.1535071471</v>
      </c>
      <c r="U17" s="14">
        <f t="shared" si="33"/>
        <v>624140.32927468279</v>
      </c>
      <c r="V17" s="14">
        <f t="shared" si="33"/>
        <v>627261.03092105617</v>
      </c>
      <c r="W17" s="14">
        <f t="shared" ref="W17:AH18" si="34">+(V17*0.5%)+V17</f>
        <v>630397.33607566147</v>
      </c>
      <c r="X17" s="14">
        <f t="shared" si="34"/>
        <v>633549.32275603979</v>
      </c>
      <c r="Y17" s="14">
        <f t="shared" si="34"/>
        <v>636717.06936981995</v>
      </c>
      <c r="Z17" s="14">
        <f t="shared" si="34"/>
        <v>639900.654716669</v>
      </c>
      <c r="AA17" s="14">
        <f t="shared" si="34"/>
        <v>643100.15799025237</v>
      </c>
      <c r="AB17" s="14">
        <f t="shared" si="34"/>
        <v>646315.65878020367</v>
      </c>
      <c r="AC17" s="14">
        <f t="shared" si="34"/>
        <v>649547.23707410472</v>
      </c>
      <c r="AD17" s="14">
        <f t="shared" si="34"/>
        <v>652794.9732594752</v>
      </c>
      <c r="AE17" s="14">
        <f t="shared" si="34"/>
        <v>656058.94812577253</v>
      </c>
      <c r="AF17" s="14">
        <f t="shared" si="34"/>
        <v>659339.24286640144</v>
      </c>
      <c r="AG17" s="14">
        <f t="shared" si="34"/>
        <v>662635.93908073346</v>
      </c>
      <c r="AH17" s="14">
        <f t="shared" si="34"/>
        <v>665949.11877613713</v>
      </c>
    </row>
    <row r="18" spans="1:34" ht="30" hidden="1" customHeight="1" x14ac:dyDescent="0.25">
      <c r="A18" s="15" t="s">
        <v>27</v>
      </c>
      <c r="B18" s="97">
        <f>+AH18</f>
        <v>73367.324062786603</v>
      </c>
      <c r="C18" s="98"/>
      <c r="D18" s="19"/>
      <c r="E18" s="14">
        <v>63741</v>
      </c>
      <c r="F18" s="14">
        <f>+(E18*0.1%)+E18</f>
        <v>63804.741000000002</v>
      </c>
      <c r="G18" s="14">
        <f t="shared" si="33"/>
        <v>64123.764705000001</v>
      </c>
      <c r="H18" s="14">
        <f t="shared" si="33"/>
        <v>64444.383528525002</v>
      </c>
      <c r="I18" s="14">
        <f t="shared" si="33"/>
        <v>64766.605446167625</v>
      </c>
      <c r="J18" s="14">
        <f t="shared" si="33"/>
        <v>65090.438473398463</v>
      </c>
      <c r="K18" s="14">
        <f t="shared" si="33"/>
        <v>65415.890665765452</v>
      </c>
      <c r="L18" s="14">
        <f t="shared" si="33"/>
        <v>65742.970119094272</v>
      </c>
      <c r="M18" s="14">
        <f t="shared" si="33"/>
        <v>66071.684969689741</v>
      </c>
      <c r="N18" s="14">
        <f t="shared" si="33"/>
        <v>66402.043394538196</v>
      </c>
      <c r="O18" s="14">
        <f t="shared" si="33"/>
        <v>66734.053611510884</v>
      </c>
      <c r="P18" s="14">
        <f t="shared" si="33"/>
        <v>67067.723879568439</v>
      </c>
      <c r="Q18" s="14">
        <f t="shared" si="33"/>
        <v>67403.062498966276</v>
      </c>
      <c r="R18" s="14">
        <f t="shared" si="33"/>
        <v>67740.077811461102</v>
      </c>
      <c r="S18" s="14">
        <f t="shared" si="33"/>
        <v>68078.778200518413</v>
      </c>
      <c r="T18" s="14">
        <f t="shared" si="33"/>
        <v>68419.172091521003</v>
      </c>
      <c r="U18" s="14">
        <f t="shared" si="33"/>
        <v>68761.267951978603</v>
      </c>
      <c r="V18" s="14">
        <f t="shared" si="33"/>
        <v>69105.074291738492</v>
      </c>
      <c r="W18" s="14">
        <f t="shared" si="34"/>
        <v>69450.599663197179</v>
      </c>
      <c r="X18" s="14">
        <f t="shared" si="34"/>
        <v>69797.85266151317</v>
      </c>
      <c r="Y18" s="14">
        <f t="shared" si="34"/>
        <v>70146.841924820736</v>
      </c>
      <c r="Z18" s="14">
        <f t="shared" si="34"/>
        <v>70497.57613444484</v>
      </c>
      <c r="AA18" s="14">
        <f t="shared" si="34"/>
        <v>70850.064015117066</v>
      </c>
      <c r="AB18" s="14">
        <f t="shared" si="34"/>
        <v>71204.314335192656</v>
      </c>
      <c r="AC18" s="14">
        <f t="shared" si="34"/>
        <v>71560.335906868626</v>
      </c>
      <c r="AD18" s="14">
        <f t="shared" si="34"/>
        <v>71918.137586402969</v>
      </c>
      <c r="AE18" s="14">
        <f t="shared" si="34"/>
        <v>72277.728274334979</v>
      </c>
      <c r="AF18" s="14">
        <f t="shared" si="34"/>
        <v>72639.116915706647</v>
      </c>
      <c r="AG18" s="14">
        <f t="shared" si="34"/>
        <v>73002.312500285174</v>
      </c>
      <c r="AH18" s="14">
        <f t="shared" si="34"/>
        <v>73367.324062786603</v>
      </c>
    </row>
    <row r="19" spans="1:34" ht="30" hidden="1" customHeight="1" x14ac:dyDescent="0.25">
      <c r="A19" s="15" t="s">
        <v>37</v>
      </c>
      <c r="B19" s="97">
        <f>+AH19</f>
        <v>739316.44283892377</v>
      </c>
      <c r="C19" s="98"/>
      <c r="D19" s="19"/>
      <c r="E19" s="14">
        <f>SUM(E17:E18)</f>
        <v>640010</v>
      </c>
      <c r="F19" s="14">
        <f t="shared" ref="F19:AH19" si="35">SUM(F17:F18)</f>
        <v>642955.08600000001</v>
      </c>
      <c r="G19" s="14">
        <f t="shared" si="35"/>
        <v>646169.86142999993</v>
      </c>
      <c r="H19" s="14">
        <f t="shared" si="35"/>
        <v>649400.71073714993</v>
      </c>
      <c r="I19" s="14">
        <f t="shared" si="35"/>
        <v>652647.71429083566</v>
      </c>
      <c r="J19" s="14">
        <f t="shared" si="35"/>
        <v>655910.95286228985</v>
      </c>
      <c r="K19" s="14">
        <f t="shared" si="35"/>
        <v>659190.50762660138</v>
      </c>
      <c r="L19" s="14">
        <f t="shared" si="35"/>
        <v>662486.46016473428</v>
      </c>
      <c r="M19" s="14">
        <f t="shared" si="35"/>
        <v>665798.8924655579</v>
      </c>
      <c r="N19" s="14">
        <f t="shared" si="35"/>
        <v>669127.88692788582</v>
      </c>
      <c r="O19" s="14">
        <f t="shared" si="35"/>
        <v>672473.52636252518</v>
      </c>
      <c r="P19" s="14">
        <f t="shared" si="35"/>
        <v>675835.89399433776</v>
      </c>
      <c r="Q19" s="14">
        <f t="shared" si="35"/>
        <v>679215.07346430945</v>
      </c>
      <c r="R19" s="14">
        <f t="shared" si="35"/>
        <v>682611.14883163094</v>
      </c>
      <c r="S19" s="14">
        <f t="shared" si="35"/>
        <v>686024.20457578916</v>
      </c>
      <c r="T19" s="14">
        <f t="shared" si="35"/>
        <v>689454.32559866807</v>
      </c>
      <c r="U19" s="14">
        <f t="shared" si="35"/>
        <v>692901.5972266614</v>
      </c>
      <c r="V19" s="14">
        <f t="shared" si="35"/>
        <v>696366.10521279462</v>
      </c>
      <c r="W19" s="14">
        <f t="shared" si="35"/>
        <v>699847.93573885865</v>
      </c>
      <c r="X19" s="14">
        <f t="shared" si="35"/>
        <v>703347.17541755293</v>
      </c>
      <c r="Y19" s="14">
        <f t="shared" si="35"/>
        <v>706863.91129464074</v>
      </c>
      <c r="Z19" s="14">
        <f t="shared" si="35"/>
        <v>710398.2308511138</v>
      </c>
      <c r="AA19" s="14">
        <f t="shared" si="35"/>
        <v>713950.22200536937</v>
      </c>
      <c r="AB19" s="14">
        <f t="shared" si="35"/>
        <v>717519.97311539634</v>
      </c>
      <c r="AC19" s="14">
        <f t="shared" si="35"/>
        <v>721107.5729809734</v>
      </c>
      <c r="AD19" s="14">
        <f t="shared" si="35"/>
        <v>724713.11084587814</v>
      </c>
      <c r="AE19" s="14">
        <f t="shared" si="35"/>
        <v>728336.67640010756</v>
      </c>
      <c r="AF19" s="14">
        <f t="shared" si="35"/>
        <v>731978.35978210811</v>
      </c>
      <c r="AG19" s="14">
        <f t="shared" si="35"/>
        <v>735638.25158101867</v>
      </c>
      <c r="AH19" s="14">
        <f t="shared" si="35"/>
        <v>739316.44283892377</v>
      </c>
    </row>
    <row r="20" spans="1:34" ht="30" hidden="1" customHeight="1" x14ac:dyDescent="0.25">
      <c r="A20" s="15" t="s">
        <v>44</v>
      </c>
      <c r="B20" s="99">
        <f>+AH20</f>
        <v>48.779928076871286</v>
      </c>
      <c r="C20" s="100"/>
      <c r="D20" s="19"/>
      <c r="E20" s="33">
        <v>48.779928076871286</v>
      </c>
      <c r="F20" s="30">
        <f>+E20</f>
        <v>48.779928076871286</v>
      </c>
      <c r="G20" s="30">
        <f t="shared" ref="G20:AH21" si="36">+F20</f>
        <v>48.779928076871286</v>
      </c>
      <c r="H20" s="30">
        <f t="shared" si="36"/>
        <v>48.779928076871286</v>
      </c>
      <c r="I20" s="30">
        <f t="shared" si="36"/>
        <v>48.779928076871286</v>
      </c>
      <c r="J20" s="30">
        <f t="shared" si="36"/>
        <v>48.779928076871286</v>
      </c>
      <c r="K20" s="30">
        <f t="shared" si="36"/>
        <v>48.779928076871286</v>
      </c>
      <c r="L20" s="30">
        <f t="shared" si="36"/>
        <v>48.779928076871286</v>
      </c>
      <c r="M20" s="30">
        <f t="shared" si="36"/>
        <v>48.779928076871286</v>
      </c>
      <c r="N20" s="30">
        <f t="shared" si="36"/>
        <v>48.779928076871286</v>
      </c>
      <c r="O20" s="30">
        <f t="shared" si="36"/>
        <v>48.779928076871286</v>
      </c>
      <c r="P20" s="30">
        <f t="shared" si="36"/>
        <v>48.779928076871286</v>
      </c>
      <c r="Q20" s="30">
        <f t="shared" si="36"/>
        <v>48.779928076871286</v>
      </c>
      <c r="R20" s="30">
        <f t="shared" si="36"/>
        <v>48.779928076871286</v>
      </c>
      <c r="S20" s="30">
        <f t="shared" si="36"/>
        <v>48.779928076871286</v>
      </c>
      <c r="T20" s="30">
        <f t="shared" si="36"/>
        <v>48.779928076871286</v>
      </c>
      <c r="U20" s="30">
        <f t="shared" si="36"/>
        <v>48.779928076871286</v>
      </c>
      <c r="V20" s="30">
        <f t="shared" si="36"/>
        <v>48.779928076871286</v>
      </c>
      <c r="W20" s="30">
        <f t="shared" si="36"/>
        <v>48.779928076871286</v>
      </c>
      <c r="X20" s="30">
        <f t="shared" si="36"/>
        <v>48.779928076871286</v>
      </c>
      <c r="Y20" s="30">
        <f t="shared" si="36"/>
        <v>48.779928076871286</v>
      </c>
      <c r="Z20" s="30">
        <f t="shared" si="36"/>
        <v>48.779928076871286</v>
      </c>
      <c r="AA20" s="30">
        <f t="shared" si="36"/>
        <v>48.779928076871286</v>
      </c>
      <c r="AB20" s="30">
        <f t="shared" si="36"/>
        <v>48.779928076871286</v>
      </c>
      <c r="AC20" s="30">
        <f t="shared" si="36"/>
        <v>48.779928076871286</v>
      </c>
      <c r="AD20" s="30">
        <f t="shared" si="36"/>
        <v>48.779928076871286</v>
      </c>
      <c r="AE20" s="30">
        <f t="shared" si="36"/>
        <v>48.779928076871286</v>
      </c>
      <c r="AF20" s="30">
        <f t="shared" si="36"/>
        <v>48.779928076871286</v>
      </c>
      <c r="AG20" s="30">
        <f t="shared" si="36"/>
        <v>48.779928076871286</v>
      </c>
      <c r="AH20" s="30">
        <f t="shared" si="36"/>
        <v>48.779928076871286</v>
      </c>
    </row>
    <row r="21" spans="1:34" ht="30" hidden="1" customHeight="1" x14ac:dyDescent="0.25">
      <c r="A21" s="15" t="s">
        <v>45</v>
      </c>
      <c r="B21" s="99">
        <f>+AH21</f>
        <v>146.33978423061387</v>
      </c>
      <c r="C21" s="100"/>
      <c r="D21" s="19"/>
      <c r="E21" s="30">
        <f>E20*3</f>
        <v>146.33978423061387</v>
      </c>
      <c r="F21" s="30">
        <f>+E21</f>
        <v>146.33978423061387</v>
      </c>
      <c r="G21" s="30">
        <f t="shared" si="36"/>
        <v>146.33978423061387</v>
      </c>
      <c r="H21" s="30">
        <f t="shared" si="36"/>
        <v>146.33978423061387</v>
      </c>
      <c r="I21" s="30">
        <f t="shared" si="36"/>
        <v>146.33978423061387</v>
      </c>
      <c r="J21" s="30">
        <f t="shared" si="36"/>
        <v>146.33978423061387</v>
      </c>
      <c r="K21" s="30">
        <f t="shared" si="36"/>
        <v>146.33978423061387</v>
      </c>
      <c r="L21" s="30">
        <f t="shared" si="36"/>
        <v>146.33978423061387</v>
      </c>
      <c r="M21" s="30">
        <f t="shared" si="36"/>
        <v>146.33978423061387</v>
      </c>
      <c r="N21" s="30">
        <f t="shared" si="36"/>
        <v>146.33978423061387</v>
      </c>
      <c r="O21" s="30">
        <f t="shared" si="36"/>
        <v>146.33978423061387</v>
      </c>
      <c r="P21" s="30">
        <f t="shared" si="36"/>
        <v>146.33978423061387</v>
      </c>
      <c r="Q21" s="30">
        <f t="shared" si="36"/>
        <v>146.33978423061387</v>
      </c>
      <c r="R21" s="30">
        <f t="shared" si="36"/>
        <v>146.33978423061387</v>
      </c>
      <c r="S21" s="30">
        <f t="shared" si="36"/>
        <v>146.33978423061387</v>
      </c>
      <c r="T21" s="30">
        <f t="shared" si="36"/>
        <v>146.33978423061387</v>
      </c>
      <c r="U21" s="30">
        <f t="shared" si="36"/>
        <v>146.33978423061387</v>
      </c>
      <c r="V21" s="30">
        <f t="shared" si="36"/>
        <v>146.33978423061387</v>
      </c>
      <c r="W21" s="30">
        <f t="shared" si="36"/>
        <v>146.33978423061387</v>
      </c>
      <c r="X21" s="30">
        <f t="shared" si="36"/>
        <v>146.33978423061387</v>
      </c>
      <c r="Y21" s="30">
        <f t="shared" si="36"/>
        <v>146.33978423061387</v>
      </c>
      <c r="Z21" s="30">
        <f t="shared" si="36"/>
        <v>146.33978423061387</v>
      </c>
      <c r="AA21" s="30">
        <f t="shared" si="36"/>
        <v>146.33978423061387</v>
      </c>
      <c r="AB21" s="30">
        <f t="shared" si="36"/>
        <v>146.33978423061387</v>
      </c>
      <c r="AC21" s="30">
        <f t="shared" si="36"/>
        <v>146.33978423061387</v>
      </c>
      <c r="AD21" s="30">
        <f t="shared" si="36"/>
        <v>146.33978423061387</v>
      </c>
      <c r="AE21" s="30">
        <f t="shared" si="36"/>
        <v>146.33978423061387</v>
      </c>
      <c r="AF21" s="30">
        <f t="shared" si="36"/>
        <v>146.33978423061387</v>
      </c>
      <c r="AG21" s="30">
        <f t="shared" si="36"/>
        <v>146.33978423061387</v>
      </c>
      <c r="AH21" s="30">
        <f t="shared" si="36"/>
        <v>146.33978423061387</v>
      </c>
    </row>
    <row r="22" spans="1:34" ht="30" hidden="1" customHeight="1" x14ac:dyDescent="0.25">
      <c r="A22" s="15" t="s">
        <v>38</v>
      </c>
      <c r="B22" s="14">
        <f>NPV(C51,E22:AH22)</f>
        <v>593392715.73851705</v>
      </c>
      <c r="C22" s="14">
        <f t="shared" ref="C22:C29" si="37">SUM(E22:AH22)</f>
        <v>907402898.88180637</v>
      </c>
      <c r="D22" s="19"/>
      <c r="E22" s="14">
        <f t="shared" ref="E22:AH23" si="38">+E17*E20</f>
        <v>28110360.372930538</v>
      </c>
      <c r="F22" s="14">
        <f t="shared" si="38"/>
        <v>28250912.174795192</v>
      </c>
      <c r="G22" s="14">
        <f t="shared" si="38"/>
        <v>28392166.735669166</v>
      </c>
      <c r="H22" s="14">
        <f t="shared" si="38"/>
        <v>28534127.569347508</v>
      </c>
      <c r="I22" s="14">
        <f t="shared" si="38"/>
        <v>28676798.207194246</v>
      </c>
      <c r="J22" s="14">
        <f t="shared" si="38"/>
        <v>28820182.198230218</v>
      </c>
      <c r="K22" s="14">
        <f t="shared" si="38"/>
        <v>28964283.109221373</v>
      </c>
      <c r="L22" s="14">
        <f t="shared" si="38"/>
        <v>29109104.524767477</v>
      </c>
      <c r="M22" s="14">
        <f t="shared" si="38"/>
        <v>29254650.047391314</v>
      </c>
      <c r="N22" s="14">
        <f t="shared" si="38"/>
        <v>29400923.297628272</v>
      </c>
      <c r="O22" s="14">
        <f t="shared" si="38"/>
        <v>29547927.914116412</v>
      </c>
      <c r="P22" s="14">
        <f t="shared" si="38"/>
        <v>29695667.553686995</v>
      </c>
      <c r="Q22" s="14">
        <f t="shared" si="38"/>
        <v>29844145.891455431</v>
      </c>
      <c r="R22" s="14">
        <f t="shared" si="38"/>
        <v>29993366.620912705</v>
      </c>
      <c r="S22" s="14">
        <f t="shared" si="38"/>
        <v>30143333.454017267</v>
      </c>
      <c r="T22" s="14">
        <f t="shared" si="38"/>
        <v>30294050.121287353</v>
      </c>
      <c r="U22" s="14">
        <f t="shared" si="38"/>
        <v>30445520.37189379</v>
      </c>
      <c r="V22" s="14">
        <f t="shared" si="38"/>
        <v>30597747.973753255</v>
      </c>
      <c r="W22" s="14">
        <f t="shared" si="38"/>
        <v>30750736.713622022</v>
      </c>
      <c r="X22" s="14">
        <f t="shared" si="38"/>
        <v>30904490.397190135</v>
      </c>
      <c r="Y22" s="14">
        <f t="shared" si="38"/>
        <v>31059012.849176083</v>
      </c>
      <c r="Z22" s="14">
        <f t="shared" si="38"/>
        <v>31214307.913421962</v>
      </c>
      <c r="AA22" s="14">
        <f t="shared" si="38"/>
        <v>31370379.452989072</v>
      </c>
      <c r="AB22" s="14">
        <f t="shared" si="38"/>
        <v>31527231.350254018</v>
      </c>
      <c r="AC22" s="14">
        <f t="shared" si="38"/>
        <v>31684867.507005289</v>
      </c>
      <c r="AD22" s="14">
        <f t="shared" si="38"/>
        <v>31843291.844540313</v>
      </c>
      <c r="AE22" s="14">
        <f t="shared" si="38"/>
        <v>32002508.303763013</v>
      </c>
      <c r="AF22" s="14">
        <f t="shared" si="38"/>
        <v>32162520.845281832</v>
      </c>
      <c r="AG22" s="14">
        <f t="shared" si="38"/>
        <v>32323333.449508242</v>
      </c>
      <c r="AH22" s="14">
        <f t="shared" si="38"/>
        <v>32484950.116755784</v>
      </c>
    </row>
    <row r="23" spans="1:34" ht="30" hidden="1" customHeight="1" x14ac:dyDescent="0.25">
      <c r="A23" s="15" t="s">
        <v>39</v>
      </c>
      <c r="B23" s="14">
        <f>NPV(C51,E23:AH23)</f>
        <v>196157525.91148287</v>
      </c>
      <c r="C23" s="14">
        <f t="shared" si="37"/>
        <v>299941670.97867292</v>
      </c>
      <c r="D23" s="19"/>
      <c r="E23" s="14">
        <f t="shared" si="38"/>
        <v>9327844.1866435595</v>
      </c>
      <c r="F23" s="14">
        <f t="shared" si="38"/>
        <v>9337172.0308302026</v>
      </c>
      <c r="G23" s="14">
        <f t="shared" si="38"/>
        <v>9383857.8909843545</v>
      </c>
      <c r="H23" s="14">
        <f t="shared" si="38"/>
        <v>9430777.1804392748</v>
      </c>
      <c r="I23" s="14">
        <f t="shared" si="38"/>
        <v>9477931.0663414709</v>
      </c>
      <c r="J23" s="14">
        <f t="shared" si="38"/>
        <v>9525320.7216731794</v>
      </c>
      <c r="K23" s="14">
        <f t="shared" si="38"/>
        <v>9572947.3252815437</v>
      </c>
      <c r="L23" s="14">
        <f t="shared" si="38"/>
        <v>9620812.0619079508</v>
      </c>
      <c r="M23" s="14">
        <f t="shared" si="38"/>
        <v>9668916.1222174913</v>
      </c>
      <c r="N23" s="14">
        <f t="shared" si="38"/>
        <v>9717260.7028285787</v>
      </c>
      <c r="O23" s="14">
        <f t="shared" si="38"/>
        <v>9765847.0063427221</v>
      </c>
      <c r="P23" s="14">
        <f t="shared" si="38"/>
        <v>9814676.2413744349</v>
      </c>
      <c r="Q23" s="14">
        <f t="shared" si="38"/>
        <v>9863749.6225813068</v>
      </c>
      <c r="R23" s="14">
        <f t="shared" si="38"/>
        <v>9913068.3706942126</v>
      </c>
      <c r="S23" s="14">
        <f t="shared" si="38"/>
        <v>9962633.7125476841</v>
      </c>
      <c r="T23" s="14">
        <f t="shared" si="38"/>
        <v>10012446.881110422</v>
      </c>
      <c r="U23" s="14">
        <f t="shared" si="38"/>
        <v>10062509.115515973</v>
      </c>
      <c r="V23" s="14">
        <f t="shared" si="38"/>
        <v>10112821.661093554</v>
      </c>
      <c r="W23" s="14">
        <f t="shared" si="38"/>
        <v>10163385.769399019</v>
      </c>
      <c r="X23" s="14">
        <f t="shared" si="38"/>
        <v>10214202.698246015</v>
      </c>
      <c r="Y23" s="14">
        <f t="shared" si="38"/>
        <v>10265273.711737245</v>
      </c>
      <c r="Z23" s="14">
        <f t="shared" si="38"/>
        <v>10316600.080295932</v>
      </c>
      <c r="AA23" s="14">
        <f t="shared" si="38"/>
        <v>10368183.080697412</v>
      </c>
      <c r="AB23" s="14">
        <f t="shared" si="38"/>
        <v>10420023.996100899</v>
      </c>
      <c r="AC23" s="14">
        <f t="shared" si="38"/>
        <v>10472124.116081405</v>
      </c>
      <c r="AD23" s="14">
        <f t="shared" si="38"/>
        <v>10524484.736661812</v>
      </c>
      <c r="AE23" s="14">
        <f t="shared" si="38"/>
        <v>10577107.16034512</v>
      </c>
      <c r="AF23" s="14">
        <f t="shared" si="38"/>
        <v>10629992.696146846</v>
      </c>
      <c r="AG23" s="14">
        <f t="shared" si="38"/>
        <v>10683142.659627579</v>
      </c>
      <c r="AH23" s="14">
        <f t="shared" si="38"/>
        <v>10736558.372925717</v>
      </c>
    </row>
    <row r="24" spans="1:34" hidden="1" x14ac:dyDescent="0.25">
      <c r="A24" s="13"/>
      <c r="B24" s="29"/>
      <c r="C24" s="14">
        <f t="shared" si="37"/>
        <v>0</v>
      </c>
      <c r="D24" s="1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30" hidden="1" customHeight="1" x14ac:dyDescent="0.25">
      <c r="A25" s="4" t="s">
        <v>13</v>
      </c>
      <c r="B25" s="4"/>
      <c r="C25" s="14">
        <f t="shared" si="37"/>
        <v>0</v>
      </c>
      <c r="D25" s="19"/>
      <c r="E25" s="11">
        <f t="shared" ref="E25:AH25" si="39">+SUM(E26:E26)</f>
        <v>0</v>
      </c>
      <c r="F25" s="11">
        <f t="shared" si="39"/>
        <v>0</v>
      </c>
      <c r="G25" s="11">
        <f t="shared" si="39"/>
        <v>0</v>
      </c>
      <c r="H25" s="11">
        <f t="shared" si="39"/>
        <v>0</v>
      </c>
      <c r="I25" s="11">
        <f t="shared" si="39"/>
        <v>0</v>
      </c>
      <c r="J25" s="11">
        <f t="shared" si="39"/>
        <v>0</v>
      </c>
      <c r="K25" s="11">
        <f t="shared" si="39"/>
        <v>0</v>
      </c>
      <c r="L25" s="11">
        <f t="shared" si="39"/>
        <v>0</v>
      </c>
      <c r="M25" s="11">
        <f t="shared" si="39"/>
        <v>0</v>
      </c>
      <c r="N25" s="11">
        <f t="shared" si="39"/>
        <v>0</v>
      </c>
      <c r="O25" s="11">
        <f t="shared" si="39"/>
        <v>0</v>
      </c>
      <c r="P25" s="11">
        <f t="shared" si="39"/>
        <v>0</v>
      </c>
      <c r="Q25" s="11">
        <f t="shared" si="39"/>
        <v>0</v>
      </c>
      <c r="R25" s="11">
        <f t="shared" si="39"/>
        <v>0</v>
      </c>
      <c r="S25" s="11">
        <f t="shared" si="39"/>
        <v>0</v>
      </c>
      <c r="T25" s="11">
        <f t="shared" si="39"/>
        <v>0</v>
      </c>
      <c r="U25" s="11">
        <f t="shared" si="39"/>
        <v>0</v>
      </c>
      <c r="V25" s="11">
        <f t="shared" si="39"/>
        <v>0</v>
      </c>
      <c r="W25" s="11">
        <f t="shared" si="39"/>
        <v>0</v>
      </c>
      <c r="X25" s="11">
        <f t="shared" si="39"/>
        <v>0</v>
      </c>
      <c r="Y25" s="11">
        <f t="shared" si="39"/>
        <v>0</v>
      </c>
      <c r="Z25" s="11">
        <f t="shared" si="39"/>
        <v>0</v>
      </c>
      <c r="AA25" s="11">
        <f t="shared" si="39"/>
        <v>0</v>
      </c>
      <c r="AB25" s="11">
        <f t="shared" si="39"/>
        <v>0</v>
      </c>
      <c r="AC25" s="11">
        <f t="shared" si="39"/>
        <v>0</v>
      </c>
      <c r="AD25" s="11">
        <f t="shared" si="39"/>
        <v>0</v>
      </c>
      <c r="AE25" s="11">
        <f t="shared" si="39"/>
        <v>0</v>
      </c>
      <c r="AF25" s="11">
        <f t="shared" si="39"/>
        <v>0</v>
      </c>
      <c r="AG25" s="11">
        <f t="shared" si="39"/>
        <v>0</v>
      </c>
      <c r="AH25" s="11">
        <f t="shared" si="39"/>
        <v>0</v>
      </c>
    </row>
    <row r="26" spans="1:34" ht="30" hidden="1" customHeight="1" x14ac:dyDescent="0.25">
      <c r="A26" s="18" t="s">
        <v>12</v>
      </c>
      <c r="B26" s="18"/>
      <c r="C26" s="14">
        <f t="shared" si="37"/>
        <v>0</v>
      </c>
      <c r="D26" s="19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</row>
    <row r="27" spans="1:34" hidden="1" x14ac:dyDescent="0.25">
      <c r="A27" s="13"/>
      <c r="B27" s="29"/>
      <c r="C27" s="14">
        <f t="shared" si="37"/>
        <v>0</v>
      </c>
      <c r="D27" s="1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30" hidden="1" customHeight="1" x14ac:dyDescent="0.25">
      <c r="A28" s="4" t="s">
        <v>11</v>
      </c>
      <c r="B28" s="4"/>
      <c r="C28" s="14">
        <f t="shared" si="37"/>
        <v>0</v>
      </c>
      <c r="D28" s="19"/>
      <c r="E28" s="11">
        <f t="shared" ref="E28:AH28" si="40">+E29</f>
        <v>0</v>
      </c>
      <c r="F28" s="11">
        <f t="shared" si="40"/>
        <v>0</v>
      </c>
      <c r="G28" s="11">
        <f t="shared" si="40"/>
        <v>0</v>
      </c>
      <c r="H28" s="11">
        <f t="shared" si="40"/>
        <v>0</v>
      </c>
      <c r="I28" s="11">
        <f t="shared" si="40"/>
        <v>0</v>
      </c>
      <c r="J28" s="11">
        <f t="shared" si="40"/>
        <v>0</v>
      </c>
      <c r="K28" s="11">
        <f t="shared" si="40"/>
        <v>0</v>
      </c>
      <c r="L28" s="11">
        <f t="shared" si="40"/>
        <v>0</v>
      </c>
      <c r="M28" s="11">
        <f t="shared" si="40"/>
        <v>0</v>
      </c>
      <c r="N28" s="11">
        <f t="shared" si="40"/>
        <v>0</v>
      </c>
      <c r="O28" s="11">
        <f t="shared" si="40"/>
        <v>0</v>
      </c>
      <c r="P28" s="11">
        <f t="shared" si="40"/>
        <v>0</v>
      </c>
      <c r="Q28" s="11">
        <f t="shared" si="40"/>
        <v>0</v>
      </c>
      <c r="R28" s="11">
        <f t="shared" si="40"/>
        <v>0</v>
      </c>
      <c r="S28" s="11">
        <f t="shared" si="40"/>
        <v>0</v>
      </c>
      <c r="T28" s="11">
        <f t="shared" si="40"/>
        <v>0</v>
      </c>
      <c r="U28" s="11">
        <f t="shared" si="40"/>
        <v>0</v>
      </c>
      <c r="V28" s="11">
        <f t="shared" si="40"/>
        <v>0</v>
      </c>
      <c r="W28" s="11">
        <f t="shared" si="40"/>
        <v>0</v>
      </c>
      <c r="X28" s="11">
        <f t="shared" si="40"/>
        <v>0</v>
      </c>
      <c r="Y28" s="11">
        <f t="shared" si="40"/>
        <v>0</v>
      </c>
      <c r="Z28" s="11">
        <f t="shared" si="40"/>
        <v>0</v>
      </c>
      <c r="AA28" s="11">
        <f t="shared" si="40"/>
        <v>0</v>
      </c>
      <c r="AB28" s="11">
        <f t="shared" si="40"/>
        <v>0</v>
      </c>
      <c r="AC28" s="11">
        <f t="shared" si="40"/>
        <v>0</v>
      </c>
      <c r="AD28" s="11">
        <f t="shared" si="40"/>
        <v>0</v>
      </c>
      <c r="AE28" s="11">
        <f t="shared" si="40"/>
        <v>0</v>
      </c>
      <c r="AF28" s="11">
        <f t="shared" si="40"/>
        <v>0</v>
      </c>
      <c r="AG28" s="11">
        <f t="shared" si="40"/>
        <v>0</v>
      </c>
      <c r="AH28" s="11">
        <f t="shared" si="40"/>
        <v>0</v>
      </c>
    </row>
    <row r="29" spans="1:34" ht="30" hidden="1" customHeight="1" x14ac:dyDescent="0.25">
      <c r="A29" s="18" t="s">
        <v>10</v>
      </c>
      <c r="B29" s="18"/>
      <c r="C29" s="14">
        <f t="shared" si="37"/>
        <v>0</v>
      </c>
      <c r="D29" s="19"/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</row>
    <row r="30" spans="1:34" ht="30" hidden="1" customHeight="1" x14ac:dyDescent="0.25">
      <c r="A30" s="15" t="s">
        <v>40</v>
      </c>
      <c r="B30" s="51">
        <f>NPV(C51,E30:AH30)</f>
        <v>789550241.6500001</v>
      </c>
      <c r="C30" s="14">
        <f>SUM(E30:AH30)</f>
        <v>1207344569.8604791</v>
      </c>
      <c r="D30" s="19"/>
      <c r="E30" s="14">
        <f>SUM(E22:E23)</f>
        <v>37438204.559574097</v>
      </c>
      <c r="F30" s="14">
        <f t="shared" ref="F30:AH30" si="41">SUM(F22:F23)</f>
        <v>37588084.205625392</v>
      </c>
      <c r="G30" s="14">
        <f t="shared" si="41"/>
        <v>37776024.626653522</v>
      </c>
      <c r="H30" s="14">
        <f t="shared" si="41"/>
        <v>37964904.749786779</v>
      </c>
      <c r="I30" s="14">
        <f t="shared" si="41"/>
        <v>38154729.273535714</v>
      </c>
      <c r="J30" s="14">
        <f t="shared" si="41"/>
        <v>38345502.919903398</v>
      </c>
      <c r="K30" s="14">
        <f t="shared" si="41"/>
        <v>38537230.434502915</v>
      </c>
      <c r="L30" s="14">
        <f t="shared" si="41"/>
        <v>38729916.586675428</v>
      </c>
      <c r="M30" s="14">
        <f t="shared" si="41"/>
        <v>38923566.169608802</v>
      </c>
      <c r="N30" s="14">
        <f t="shared" si="41"/>
        <v>39118184.000456855</v>
      </c>
      <c r="O30" s="14">
        <f t="shared" si="41"/>
        <v>39313774.920459136</v>
      </c>
      <c r="P30" s="14">
        <f t="shared" si="41"/>
        <v>39510343.795061432</v>
      </c>
      <c r="Q30" s="14">
        <f t="shared" si="41"/>
        <v>39707895.514036737</v>
      </c>
      <c r="R30" s="14">
        <f t="shared" si="41"/>
        <v>39906434.991606921</v>
      </c>
      <c r="S30" s="14">
        <f t="shared" si="41"/>
        <v>40105967.166564949</v>
      </c>
      <c r="T30" s="14">
        <f t="shared" si="41"/>
        <v>40306497.002397776</v>
      </c>
      <c r="U30" s="14">
        <f t="shared" si="41"/>
        <v>40508029.487409763</v>
      </c>
      <c r="V30" s="14">
        <f t="shared" si="41"/>
        <v>40710569.634846807</v>
      </c>
      <c r="W30" s="14">
        <f t="shared" si="41"/>
        <v>40914122.483021043</v>
      </c>
      <c r="X30" s="14">
        <f t="shared" si="41"/>
        <v>41118693.095436148</v>
      </c>
      <c r="Y30" s="14">
        <f t="shared" si="41"/>
        <v>41324286.560913324</v>
      </c>
      <c r="Z30" s="14">
        <f t="shared" si="41"/>
        <v>41530907.993717894</v>
      </c>
      <c r="AA30" s="14">
        <f t="shared" si="41"/>
        <v>41738562.533686481</v>
      </c>
      <c r="AB30" s="14">
        <f t="shared" si="41"/>
        <v>41947255.346354917</v>
      </c>
      <c r="AC30" s="14">
        <f t="shared" si="41"/>
        <v>42156991.623086691</v>
      </c>
      <c r="AD30" s="14">
        <f t="shared" si="41"/>
        <v>42367776.581202127</v>
      </c>
      <c r="AE30" s="14">
        <f t="shared" si="41"/>
        <v>42579615.464108132</v>
      </c>
      <c r="AF30" s="14">
        <f t="shared" si="41"/>
        <v>42792513.541428678</v>
      </c>
      <c r="AG30" s="14">
        <f t="shared" si="41"/>
        <v>43006476.109135821</v>
      </c>
      <c r="AH30" s="14">
        <f t="shared" si="41"/>
        <v>43221508.489681497</v>
      </c>
    </row>
    <row r="31" spans="1:34" s="44" customFormat="1" hidden="1" x14ac:dyDescent="0.25">
      <c r="A31" s="16"/>
      <c r="B31" s="16"/>
      <c r="C31" s="16"/>
      <c r="D31" s="4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44" customFormat="1" hidden="1" x14ac:dyDescent="0.25">
      <c r="A32" s="16" t="s">
        <v>50</v>
      </c>
      <c r="B32" s="21">
        <f>+B8-B30</f>
        <v>-356216978.96562809</v>
      </c>
      <c r="C32" s="16"/>
      <c r="D32" s="4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idden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23.25" hidden="1" customHeight="1" x14ac:dyDescent="0.25">
      <c r="A34" s="45" t="s">
        <v>46</v>
      </c>
      <c r="B34" s="34">
        <f>(E20/12)</f>
        <v>4.0649940064059402</v>
      </c>
      <c r="C34" s="52">
        <f>B34/B35</f>
        <v>0.33333333333333326</v>
      </c>
      <c r="D34" s="10"/>
      <c r="E34" s="35"/>
      <c r="F34" s="35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23.25" hidden="1" customHeight="1" x14ac:dyDescent="0.25">
      <c r="A35" s="45" t="s">
        <v>47</v>
      </c>
      <c r="B35" s="34">
        <f>(E21/12)</f>
        <v>12.194982019217823</v>
      </c>
      <c r="C35" s="52">
        <f>1-C34</f>
        <v>0.66666666666666674</v>
      </c>
      <c r="D35" s="10"/>
      <c r="E35" s="35"/>
      <c r="F35" s="3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idden="1" x14ac:dyDescent="0.25">
      <c r="C36" s="10"/>
      <c r="D36" s="10"/>
      <c r="E36" s="35"/>
      <c r="F36" s="3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idden="1" x14ac:dyDescent="0.25">
      <c r="C37" s="10"/>
      <c r="D37" s="10"/>
      <c r="E37" s="35"/>
      <c r="F37" s="3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5">
      <c r="B38" s="63"/>
      <c r="C38" s="10"/>
      <c r="D38" s="10"/>
      <c r="E38" s="35"/>
      <c r="F38" s="3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5">
      <c r="B39" s="63"/>
      <c r="C39" s="10"/>
      <c r="D39" s="10"/>
      <c r="E39" s="35"/>
      <c r="F39" s="3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5">
      <c r="C40" s="10"/>
      <c r="D40" s="10"/>
      <c r="E40" s="35"/>
      <c r="F40" s="3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5">
      <c r="A41" t="s">
        <v>48</v>
      </c>
      <c r="C41" s="10"/>
      <c r="D41" s="10"/>
      <c r="E41" s="35"/>
      <c r="F41" s="3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5">
      <c r="C42" s="10"/>
      <c r="D42" s="10"/>
      <c r="E42" s="35"/>
      <c r="F42" s="3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5">
      <c r="C43" s="10"/>
      <c r="D43" s="10"/>
      <c r="E43" s="35"/>
      <c r="F43" s="3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s="1" customFormat="1" ht="29.25" customHeight="1" x14ac:dyDescent="0.25">
      <c r="A44" s="4" t="s">
        <v>9</v>
      </c>
      <c r="B44" s="4"/>
      <c r="C44" s="3">
        <f>((C48/C49)*C54)+((C47/C49)*C46)</f>
        <v>3.243753853590061E-2</v>
      </c>
      <c r="D44" s="2"/>
      <c r="G4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1" customFormat="1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1" customFormat="1" ht="29.25" customHeight="1" x14ac:dyDescent="0.25">
      <c r="A46" s="6" t="s">
        <v>8</v>
      </c>
      <c r="B46" s="6"/>
      <c r="C46" s="9">
        <v>5.6239999999999998E-2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1" customFormat="1" ht="29.25" customHeight="1" x14ac:dyDescent="0.25">
      <c r="A47" s="6" t="s">
        <v>7</v>
      </c>
      <c r="B47" s="6"/>
      <c r="C47" s="8">
        <v>115118426.03</v>
      </c>
      <c r="D47" s="2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1" customFormat="1" ht="29.25" customHeight="1" x14ac:dyDescent="0.25">
      <c r="A48" s="6" t="s">
        <v>6</v>
      </c>
      <c r="B48" s="6"/>
      <c r="C48" s="8">
        <v>823462108.64999998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s="1" customFormat="1" ht="29.25" customHeight="1" x14ac:dyDescent="0.25">
      <c r="A49" s="6" t="s">
        <v>5</v>
      </c>
      <c r="B49" s="6"/>
      <c r="C49" s="8">
        <v>938580534.67999995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s="1" customFormat="1" ht="29.25" customHeight="1" x14ac:dyDescent="0.25">
      <c r="A50" s="6" t="s">
        <v>4</v>
      </c>
      <c r="B50" s="6"/>
      <c r="C50" s="7">
        <v>0.5882352941176473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" customFormat="1" ht="29.25" customHeight="1" x14ac:dyDescent="0.25">
      <c r="A51" s="6" t="s">
        <v>3</v>
      </c>
      <c r="B51" s="6"/>
      <c r="C51" s="5">
        <v>2.911E-2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" customFormat="1" ht="29.25" customHeight="1" x14ac:dyDescent="0.25">
      <c r="A52" s="6" t="s">
        <v>2</v>
      </c>
      <c r="B52" s="6"/>
      <c r="C52" s="5">
        <v>2.911E-2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" customFormat="1" ht="29.25" customHeight="1" x14ac:dyDescent="0.25">
      <c r="A53" s="6" t="s">
        <v>1</v>
      </c>
      <c r="B53" s="6"/>
      <c r="C53" s="5">
        <f>+C52-C51</f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" customFormat="1" ht="29.25" customHeight="1" x14ac:dyDescent="0.25">
      <c r="A54" s="4" t="s">
        <v>0</v>
      </c>
      <c r="B54" s="4"/>
      <c r="C54" s="3">
        <f>+C51+(C53*C50)</f>
        <v>2.911E-2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61" spans="1:34" x14ac:dyDescent="0.25">
      <c r="A61" t="s">
        <v>35</v>
      </c>
      <c r="B61" s="31">
        <v>70000</v>
      </c>
    </row>
    <row r="62" spans="1:34" x14ac:dyDescent="0.25">
      <c r="A62" t="s">
        <v>30</v>
      </c>
      <c r="B62">
        <v>80</v>
      </c>
    </row>
    <row r="63" spans="1:34" x14ac:dyDescent="0.25">
      <c r="A63" t="s">
        <v>31</v>
      </c>
      <c r="B63">
        <v>300</v>
      </c>
    </row>
    <row r="64" spans="1:34" x14ac:dyDescent="0.25">
      <c r="A64" t="s">
        <v>32</v>
      </c>
      <c r="B64">
        <v>30</v>
      </c>
    </row>
    <row r="65" spans="1:34" x14ac:dyDescent="0.25">
      <c r="A65" t="s">
        <v>33</v>
      </c>
      <c r="B65">
        <v>200</v>
      </c>
    </row>
    <row r="66" spans="1:34" x14ac:dyDescent="0.25">
      <c r="A66" t="s">
        <v>34</v>
      </c>
      <c r="B66">
        <v>200</v>
      </c>
    </row>
    <row r="67" spans="1:34" x14ac:dyDescent="0.25">
      <c r="A67" t="s">
        <v>36</v>
      </c>
      <c r="B67">
        <f>SUM(B62:B66)</f>
        <v>810</v>
      </c>
    </row>
    <row r="72" spans="1:34" x14ac:dyDescent="0.25">
      <c r="A72" s="49" t="s">
        <v>49</v>
      </c>
      <c r="B72" s="31">
        <v>305215000</v>
      </c>
      <c r="C72" s="31"/>
    </row>
    <row r="73" spans="1:34" x14ac:dyDescent="0.25">
      <c r="B73" s="31"/>
    </row>
    <row r="74" spans="1:34" x14ac:dyDescent="0.25">
      <c r="B74" s="31"/>
    </row>
    <row r="75" spans="1:34" x14ac:dyDescent="0.25">
      <c r="B75" s="31">
        <f>20000*12</f>
        <v>240000</v>
      </c>
    </row>
    <row r="76" spans="1:34" x14ac:dyDescent="0.25">
      <c r="B76" s="31">
        <f>+B75*15</f>
        <v>3600000</v>
      </c>
    </row>
    <row r="77" spans="1:34" x14ac:dyDescent="0.25">
      <c r="B77" s="31">
        <f>+B76/4</f>
        <v>900000</v>
      </c>
    </row>
    <row r="80" spans="1:34" ht="30" customHeight="1" x14ac:dyDescent="0.25">
      <c r="A80" s="68" t="s">
        <v>63</v>
      </c>
      <c r="B80" s="69"/>
      <c r="C80" s="70"/>
      <c r="D80" s="19"/>
      <c r="E80" s="11">
        <f>'Inversiones Pasadas'!$C$8+'Proyección 24012022'!E10</f>
        <v>141698096.72</v>
      </c>
      <c r="F80" s="11">
        <f>'Inversiones Pasadas'!$C$8+SUM($E$10:F10)</f>
        <v>156706721.72</v>
      </c>
      <c r="G80" s="11">
        <f>'Inversiones Pasadas'!$C$8+SUM($E$10:G10)</f>
        <v>174216784.22</v>
      </c>
      <c r="H80" s="11">
        <f>'Inversiones Pasadas'!$C$8+SUM($E$10:H10)</f>
        <v>196142710.14592588</v>
      </c>
      <c r="I80" s="11">
        <f>'Inversiones Pasadas'!$C$8+SUM($E$10:I10)</f>
        <v>220647088.80072951</v>
      </c>
      <c r="J80" s="11">
        <f>'Inversiones Pasadas'!$C$8+SUM($E$10:J10)</f>
        <v>245151467.45553315</v>
      </c>
      <c r="K80" s="11">
        <f>'Inversiones Pasadas'!$C$8+SUM($E$10:K10)</f>
        <v>269655846.11033678</v>
      </c>
      <c r="L80" s="11">
        <f>'Inversiones Pasadas'!$C$8+SUM($E$10:L10)</f>
        <v>294160224.76514041</v>
      </c>
      <c r="M80" s="11">
        <f>'Inversiones Pasadas'!$C$8+SUM($E$10:M10)</f>
        <v>318664603.41994405</v>
      </c>
      <c r="N80" s="11">
        <f>'Inversiones Pasadas'!$C$8+SUM($E$10:N10)</f>
        <v>343168982.07474768</v>
      </c>
      <c r="O80" s="11">
        <f>'Inversiones Pasadas'!$C$8+SUM($E$10:O10)</f>
        <v>367673360.72955132</v>
      </c>
      <c r="P80" s="11">
        <f>'Inversiones Pasadas'!$C$8+SUM($E$10:P10)</f>
        <v>392177739.38435495</v>
      </c>
      <c r="Q80" s="11">
        <f>'Inversiones Pasadas'!$C$8+SUM($E$10:Q10)</f>
        <v>416682118.03915858</v>
      </c>
      <c r="R80" s="11">
        <f>'Inversiones Pasadas'!$C$8+SUM($E$10:R10)</f>
        <v>441186496.69396222</v>
      </c>
      <c r="S80" s="11">
        <f>'Inversiones Pasadas'!$C$8+SUM($E$10:S10)</f>
        <v>465690875.34876585</v>
      </c>
      <c r="T80" s="11">
        <f>'Inversiones Pasadas'!$C$8+SUM($E$10:T10)</f>
        <v>490195254.00356948</v>
      </c>
      <c r="U80" s="11">
        <f>'Inversiones Pasadas'!$C$8+SUM($E$10:U10)</f>
        <v>514699632.65837312</v>
      </c>
      <c r="V80" s="11">
        <f>'Inversiones Pasadas'!$C$8+SUM($E$10:V10)</f>
        <v>539204011.31317675</v>
      </c>
      <c r="W80" s="11">
        <f>'Inversiones Pasadas'!$C$8+SUM($E$10:W10)</f>
        <v>563708389.96798038</v>
      </c>
      <c r="X80" s="11">
        <f>'Inversiones Pasadas'!$C$8+SUM($E$10:X10)</f>
        <v>588212768.62278402</v>
      </c>
      <c r="Y80" s="11">
        <f>'Inversiones Pasadas'!$C$8+SUM($E$10:Y10)</f>
        <v>612717147.27758765</v>
      </c>
      <c r="Z80" s="11">
        <f>'Inversiones Pasadas'!$C$8+SUM($E$10:Z10)</f>
        <v>637221525.93239129</v>
      </c>
      <c r="AA80" s="11">
        <f>'Inversiones Pasadas'!$C$8+SUM($E$10:AA10)</f>
        <v>661725904.58719492</v>
      </c>
      <c r="AB80" s="11">
        <f>'Inversiones Pasadas'!$C$8+SUM($E$10:AB10)</f>
        <v>686230283.24199855</v>
      </c>
      <c r="AC80" s="11">
        <f>'Inversiones Pasadas'!$C$8+SUM($E$10:AC10)</f>
        <v>710734661.89680219</v>
      </c>
      <c r="AD80" s="11">
        <f>'Inversiones Pasadas'!$C$8+SUM($E$10:AD10)</f>
        <v>735239040.55160582</v>
      </c>
      <c r="AE80" s="11">
        <f>'Inversiones Pasadas'!$C$8+SUM($E$10:AE10)</f>
        <v>759743419.20640945</v>
      </c>
      <c r="AF80" s="11">
        <f>'Inversiones Pasadas'!$C$8+SUM($E$10:AF10)</f>
        <v>784247797.86121309</v>
      </c>
      <c r="AG80" s="11">
        <f>'Inversiones Pasadas'!$C$8+SUM($E$10:AG10)</f>
        <v>808752176.51601672</v>
      </c>
      <c r="AH80" s="11">
        <f>'Inversiones Pasadas'!$C$8+SUM($E$10:AH10)</f>
        <v>831692346.72000003</v>
      </c>
    </row>
    <row r="81" spans="1:34" ht="30" customHeight="1" x14ac:dyDescent="0.25">
      <c r="A81" s="71" t="s">
        <v>89</v>
      </c>
      <c r="B81" s="69"/>
      <c r="C81" s="70"/>
      <c r="D81" s="19"/>
      <c r="E81" s="11">
        <f>'Inversiones Pasadas'!$C$8+'Proyección 24012022'!E8</f>
        <v>141698096.72</v>
      </c>
      <c r="F81" s="11">
        <f>'Inversiones Pasadas'!$C$8+SUM($E$8:F8)</f>
        <v>156706721.72</v>
      </c>
      <c r="G81" s="11">
        <f>'Inversiones Pasadas'!$C$8+SUM($E$8:G8)</f>
        <v>174216784.22</v>
      </c>
      <c r="H81" s="11">
        <f>'Inversiones Pasadas'!$C$8+SUM($E$8:H8)</f>
        <v>196142710.14592588</v>
      </c>
      <c r="I81" s="11">
        <f>'Inversiones Pasadas'!$C$8+SUM($E$8:I8)</f>
        <v>220647088.80072951</v>
      </c>
      <c r="J81" s="11">
        <f>'Inversiones Pasadas'!$C$8+SUM($E$8:J8)</f>
        <v>245151467.45553315</v>
      </c>
      <c r="K81" s="11">
        <f>'Inversiones Pasadas'!$C$8+SUM($E$8:K8)</f>
        <v>269655846.11033678</v>
      </c>
      <c r="L81" s="11">
        <f>'Inversiones Pasadas'!$C$8+SUM($E$8:L8)</f>
        <v>294160224.76514041</v>
      </c>
      <c r="M81" s="11">
        <f>'Inversiones Pasadas'!$C$8+SUM($E$8:M8)</f>
        <v>318664603.41994405</v>
      </c>
      <c r="N81" s="11">
        <f>'Inversiones Pasadas'!$C$8+SUM($E$8:N8)</f>
        <v>343168982.07474768</v>
      </c>
      <c r="O81" s="11">
        <f>'Inversiones Pasadas'!$C$8+SUM($E$8:O8)</f>
        <v>367673360.72955132</v>
      </c>
      <c r="P81" s="11">
        <f>'Inversiones Pasadas'!$C$8+SUM($E$8:P8)</f>
        <v>392177739.38435495</v>
      </c>
      <c r="Q81" s="11">
        <f>'Inversiones Pasadas'!$C$8+SUM($E$8:Q8)</f>
        <v>416682118.03915858</v>
      </c>
      <c r="R81" s="11">
        <f>'Inversiones Pasadas'!$C$8+SUM($E$8:R8)</f>
        <v>441186496.69396222</v>
      </c>
      <c r="S81" s="11">
        <f>'Inversiones Pasadas'!$C$8+SUM($E$8:S8)</f>
        <v>465690875.34876585</v>
      </c>
      <c r="T81" s="11">
        <f>'Inversiones Pasadas'!$C$8+SUM($E$8:T8)</f>
        <v>490195254.00356948</v>
      </c>
      <c r="U81" s="11">
        <f>'Inversiones Pasadas'!$C$8+SUM($E$8:U8)</f>
        <v>514699632.65837312</v>
      </c>
      <c r="V81" s="11">
        <f>'Inversiones Pasadas'!$C$8+SUM($E$8:V8)</f>
        <v>539204011.31317675</v>
      </c>
      <c r="W81" s="11">
        <f>'Inversiones Pasadas'!$C$8+SUM($E$8:W8)</f>
        <v>563708389.96798038</v>
      </c>
      <c r="X81" s="11">
        <f>'Inversiones Pasadas'!$C$8+SUM($E$8:X8)</f>
        <v>588212768.62278402</v>
      </c>
      <c r="Y81" s="11">
        <f>'Inversiones Pasadas'!$C$8+SUM($E$8:Y8)</f>
        <v>612717147.27758765</v>
      </c>
      <c r="Z81" s="11">
        <f>'Inversiones Pasadas'!$C$8+SUM($E$8:Z8)</f>
        <v>637221525.93239129</v>
      </c>
      <c r="AA81" s="11">
        <f>'Inversiones Pasadas'!$C$8+SUM($E$8:AA8)</f>
        <v>661725904.58719492</v>
      </c>
      <c r="AB81" s="11">
        <f>'Inversiones Pasadas'!$C$8+SUM($E$8:AB8)</f>
        <v>686230283.24199855</v>
      </c>
      <c r="AC81" s="11">
        <f>'Inversiones Pasadas'!$C$8+SUM($E$8:AC8)</f>
        <v>710734661.89680219</v>
      </c>
      <c r="AD81" s="11">
        <f>'Inversiones Pasadas'!$C$8+SUM($E$8:AD8)</f>
        <v>735239040.55160582</v>
      </c>
      <c r="AE81" s="11">
        <f>'Inversiones Pasadas'!$C$8+SUM($E$8:AE8)</f>
        <v>759743419.20640945</v>
      </c>
      <c r="AF81" s="11">
        <f>'Inversiones Pasadas'!$C$8+SUM($E$8:AF8)</f>
        <v>784247797.86121309</v>
      </c>
      <c r="AG81" s="11">
        <f>'Inversiones Pasadas'!$C$8+SUM($E$8:AG8)</f>
        <v>808752176.51601672</v>
      </c>
      <c r="AH81" s="11">
        <f>'Inversiones Pasadas'!$C$8+SUM($E$8:AH8)</f>
        <v>831692346.72000003</v>
      </c>
    </row>
    <row r="82" spans="1:34" x14ac:dyDescent="0.25">
      <c r="AH82" s="64"/>
    </row>
  </sheetData>
  <mergeCells count="5">
    <mergeCell ref="B17:C17"/>
    <mergeCell ref="B18:C18"/>
    <mergeCell ref="B19:C19"/>
    <mergeCell ref="B20:C20"/>
    <mergeCell ref="B21:C21"/>
  </mergeCells>
  <conditionalFormatting sqref="B32">
    <cfRule type="cellIs" dxfId="3" priority="1" operator="lessThan">
      <formula>0</formula>
    </cfRule>
    <cfRule type="cellIs" dxfId="2" priority="2" operator="greaterThan">
      <formula>0</formula>
    </cfRule>
  </conditionalFormatting>
  <pageMargins left="0.7" right="0.7" top="0.75" bottom="0.75" header="0.3" footer="0.3"/>
  <pageSetup scale="2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5"/>
  <sheetViews>
    <sheetView showGridLines="0" zoomScale="80" zoomScaleNormal="80" workbookViewId="0">
      <selection activeCell="I7" sqref="I7"/>
    </sheetView>
  </sheetViews>
  <sheetFormatPr baseColWidth="10" defaultRowHeight="15" x14ac:dyDescent="0.25"/>
  <cols>
    <col min="1" max="1" width="53.140625" bestFit="1" customWidth="1"/>
    <col min="2" max="7" width="14.5703125" bestFit="1" customWidth="1"/>
    <col min="8" max="38" width="12.5703125" bestFit="1" customWidth="1"/>
  </cols>
  <sheetData>
    <row r="1" spans="1:38" x14ac:dyDescent="0.25">
      <c r="A1" s="25" t="s">
        <v>76</v>
      </c>
    </row>
    <row r="2" spans="1:38" x14ac:dyDescent="0.25">
      <c r="A2" s="25" t="s">
        <v>75</v>
      </c>
    </row>
    <row r="3" spans="1:38" x14ac:dyDescent="0.25">
      <c r="A3" s="25" t="s">
        <v>16</v>
      </c>
    </row>
    <row r="4" spans="1:38" x14ac:dyDescent="0.25">
      <c r="A4" s="25" t="s">
        <v>74</v>
      </c>
      <c r="B4" s="73"/>
      <c r="C4" s="73"/>
      <c r="D4" s="73"/>
      <c r="E4" s="73"/>
      <c r="F4" s="73"/>
      <c r="H4" s="73"/>
    </row>
    <row r="5" spans="1:38" x14ac:dyDescent="0.25">
      <c r="A5" s="25"/>
      <c r="B5" s="73"/>
      <c r="C5" s="73"/>
      <c r="D5" s="73"/>
      <c r="E5" s="73"/>
      <c r="F5" s="73"/>
      <c r="H5" s="73"/>
    </row>
    <row r="6" spans="1:38" s="1" customFormat="1" ht="27.75" customHeight="1" x14ac:dyDescent="0.25">
      <c r="A6" s="89" t="s">
        <v>41</v>
      </c>
      <c r="B6" s="90">
        <v>2016</v>
      </c>
      <c r="C6" s="90">
        <f t="shared" ref="C6:AF6" si="0">+B6+1</f>
        <v>2017</v>
      </c>
      <c r="D6" s="90">
        <f t="shared" si="0"/>
        <v>2018</v>
      </c>
      <c r="E6" s="90">
        <f t="shared" si="0"/>
        <v>2019</v>
      </c>
      <c r="F6" s="90">
        <f t="shared" si="0"/>
        <v>2020</v>
      </c>
      <c r="G6" s="90">
        <f t="shared" si="0"/>
        <v>2021</v>
      </c>
      <c r="H6" s="90">
        <f t="shared" si="0"/>
        <v>2022</v>
      </c>
      <c r="I6" s="90">
        <f t="shared" si="0"/>
        <v>2023</v>
      </c>
      <c r="J6" s="90">
        <f t="shared" si="0"/>
        <v>2024</v>
      </c>
      <c r="K6" s="90">
        <f t="shared" si="0"/>
        <v>2025</v>
      </c>
      <c r="L6" s="90">
        <f t="shared" si="0"/>
        <v>2026</v>
      </c>
      <c r="M6" s="90">
        <f t="shared" si="0"/>
        <v>2027</v>
      </c>
      <c r="N6" s="90">
        <f t="shared" si="0"/>
        <v>2028</v>
      </c>
      <c r="O6" s="90">
        <f t="shared" si="0"/>
        <v>2029</v>
      </c>
      <c r="P6" s="90">
        <f t="shared" si="0"/>
        <v>2030</v>
      </c>
      <c r="Q6" s="90">
        <f t="shared" si="0"/>
        <v>2031</v>
      </c>
      <c r="R6" s="90">
        <f t="shared" si="0"/>
        <v>2032</v>
      </c>
      <c r="S6" s="90">
        <f t="shared" si="0"/>
        <v>2033</v>
      </c>
      <c r="T6" s="90">
        <f t="shared" si="0"/>
        <v>2034</v>
      </c>
      <c r="U6" s="90">
        <f t="shared" si="0"/>
        <v>2035</v>
      </c>
      <c r="V6" s="90">
        <f t="shared" si="0"/>
        <v>2036</v>
      </c>
      <c r="W6" s="90">
        <f t="shared" si="0"/>
        <v>2037</v>
      </c>
      <c r="X6" s="90">
        <f t="shared" si="0"/>
        <v>2038</v>
      </c>
      <c r="Y6" s="90">
        <f t="shared" si="0"/>
        <v>2039</v>
      </c>
      <c r="Z6" s="90">
        <f t="shared" si="0"/>
        <v>2040</v>
      </c>
      <c r="AA6" s="90">
        <f t="shared" si="0"/>
        <v>2041</v>
      </c>
      <c r="AB6" s="90">
        <f t="shared" si="0"/>
        <v>2042</v>
      </c>
      <c r="AC6" s="90">
        <f t="shared" si="0"/>
        <v>2043</v>
      </c>
      <c r="AD6" s="90">
        <f t="shared" si="0"/>
        <v>2044</v>
      </c>
      <c r="AE6" s="90">
        <f t="shared" si="0"/>
        <v>2045</v>
      </c>
      <c r="AF6" s="90">
        <f t="shared" si="0"/>
        <v>2046</v>
      </c>
      <c r="AG6" s="90">
        <f t="shared" ref="AG6" si="1">+AF6+1</f>
        <v>2047</v>
      </c>
      <c r="AH6" s="90">
        <f t="shared" ref="AH6" si="2">+AG6+1</f>
        <v>2048</v>
      </c>
      <c r="AI6" s="90">
        <f t="shared" ref="AI6" si="3">+AH6+1</f>
        <v>2049</v>
      </c>
      <c r="AJ6" s="90">
        <f t="shared" ref="AJ6" si="4">+AI6+1</f>
        <v>2050</v>
      </c>
      <c r="AK6" s="90">
        <f t="shared" ref="AK6" si="5">+AJ6+1</f>
        <v>2051</v>
      </c>
      <c r="AL6" s="90">
        <f t="shared" ref="AL6" si="6">+AK6+1</f>
        <v>2052</v>
      </c>
    </row>
    <row r="7" spans="1:38" x14ac:dyDescent="0.25">
      <c r="A7" s="75" t="s">
        <v>66</v>
      </c>
      <c r="B7" s="76">
        <v>573050.87</v>
      </c>
      <c r="C7" s="76">
        <v>971399.7</v>
      </c>
      <c r="D7" s="76">
        <v>1228045.72</v>
      </c>
      <c r="E7" s="76">
        <v>1572728.79</v>
      </c>
      <c r="F7" s="76">
        <v>2087443.67</v>
      </c>
      <c r="G7" s="77">
        <v>695519.21</v>
      </c>
      <c r="H7" s="76">
        <f>+(F7*$F$15)+F7</f>
        <v>2091010.8996545407</v>
      </c>
      <c r="I7" s="76">
        <f t="shared" ref="I7:AL7" si="7">+(H7*$F$15)+H7</f>
        <v>2094584.2253429967</v>
      </c>
      <c r="J7" s="76">
        <f t="shared" si="7"/>
        <v>2098163.6574828718</v>
      </c>
      <c r="K7" s="76">
        <f t="shared" si="7"/>
        <v>2101749.2065094728</v>
      </c>
      <c r="L7" s="76">
        <f t="shared" si="7"/>
        <v>2105340.8828759389</v>
      </c>
      <c r="M7" s="76">
        <f t="shared" si="7"/>
        <v>2108938.6970532732</v>
      </c>
      <c r="N7" s="76">
        <f t="shared" si="7"/>
        <v>2112542.6595303719</v>
      </c>
      <c r="O7" s="76">
        <f t="shared" si="7"/>
        <v>2116152.7808140563</v>
      </c>
      <c r="P7" s="76">
        <f t="shared" si="7"/>
        <v>2119769.0714291027</v>
      </c>
      <c r="Q7" s="76">
        <f t="shared" si="7"/>
        <v>2123391.5419182731</v>
      </c>
      <c r="R7" s="76">
        <f t="shared" si="7"/>
        <v>2127020.2028423459</v>
      </c>
      <c r="S7" s="76">
        <f t="shared" si="7"/>
        <v>2130655.0647801468</v>
      </c>
      <c r="T7" s="76">
        <f t="shared" si="7"/>
        <v>2134296.1383285802</v>
      </c>
      <c r="U7" s="76">
        <f t="shared" si="7"/>
        <v>2137943.4341026586</v>
      </c>
      <c r="V7" s="76">
        <f t="shared" si="7"/>
        <v>2141596.9627355351</v>
      </c>
      <c r="W7" s="76">
        <f t="shared" si="7"/>
        <v>2145256.734878534</v>
      </c>
      <c r="X7" s="76">
        <f t="shared" si="7"/>
        <v>2148922.7612011805</v>
      </c>
      <c r="Y7" s="76">
        <f t="shared" si="7"/>
        <v>2152595.0523912343</v>
      </c>
      <c r="Z7" s="76">
        <f t="shared" si="7"/>
        <v>2156273.6191547187</v>
      </c>
      <c r="AA7" s="76">
        <f t="shared" si="7"/>
        <v>2159958.4722159528</v>
      </c>
      <c r="AB7" s="76">
        <f t="shared" si="7"/>
        <v>2163649.6223175819</v>
      </c>
      <c r="AC7" s="76">
        <f t="shared" si="7"/>
        <v>2167347.0802206099</v>
      </c>
      <c r="AD7" s="76">
        <f t="shared" si="7"/>
        <v>2171050.8567044302</v>
      </c>
      <c r="AE7" s="76">
        <f t="shared" si="7"/>
        <v>2174760.9625668568</v>
      </c>
      <c r="AF7" s="76">
        <f t="shared" si="7"/>
        <v>2178477.4086241564</v>
      </c>
      <c r="AG7" s="76">
        <f t="shared" si="7"/>
        <v>2182200.2057110793</v>
      </c>
      <c r="AH7" s="76">
        <f t="shared" si="7"/>
        <v>2185929.3646808914</v>
      </c>
      <c r="AI7" s="76">
        <f t="shared" si="7"/>
        <v>2189664.8964054058</v>
      </c>
      <c r="AJ7" s="76">
        <f t="shared" si="7"/>
        <v>2193406.8117750143</v>
      </c>
      <c r="AK7" s="76">
        <f t="shared" si="7"/>
        <v>2197155.121698719</v>
      </c>
      <c r="AL7" s="76">
        <f t="shared" si="7"/>
        <v>2200909.837104165</v>
      </c>
    </row>
    <row r="8" spans="1:38" x14ac:dyDescent="0.25">
      <c r="A8" s="75" t="s">
        <v>67</v>
      </c>
      <c r="B8" s="78">
        <v>2466434.94</v>
      </c>
      <c r="C8" s="78">
        <v>4998792.29</v>
      </c>
      <c r="D8" s="78">
        <v>4073345.31</v>
      </c>
      <c r="E8" s="78">
        <v>4001656.23</v>
      </c>
      <c r="F8" s="76">
        <v>3651673.84</v>
      </c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2"/>
    </row>
    <row r="9" spans="1:38" x14ac:dyDescent="0.25">
      <c r="A9" s="75" t="s">
        <v>68</v>
      </c>
      <c r="B9" s="78">
        <v>1726008.84</v>
      </c>
      <c r="C9" s="78">
        <v>3498907.95</v>
      </c>
      <c r="D9" s="78">
        <v>3022245.68</v>
      </c>
      <c r="E9" s="78">
        <v>3280635.82</v>
      </c>
      <c r="F9" s="76">
        <v>3515256.18</v>
      </c>
      <c r="G9" s="83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5"/>
    </row>
    <row r="10" spans="1:38" x14ac:dyDescent="0.25">
      <c r="A10" s="75" t="s">
        <v>69</v>
      </c>
      <c r="B10" s="78">
        <v>2917470.38</v>
      </c>
      <c r="C10" s="78">
        <v>4583120.08</v>
      </c>
      <c r="D10" s="78">
        <v>4372127.5599999996</v>
      </c>
      <c r="E10" s="78">
        <v>4203503.7699999996</v>
      </c>
      <c r="F10" s="76">
        <v>3855627.64</v>
      </c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5"/>
    </row>
    <row r="11" spans="1:38" s="1" customFormat="1" ht="26.25" customHeight="1" x14ac:dyDescent="0.25">
      <c r="A11" s="74" t="s">
        <v>70</v>
      </c>
      <c r="B11" s="79">
        <f t="shared" ref="B11:C11" si="8">SUM(B8:B10)</f>
        <v>7109914.1600000001</v>
      </c>
      <c r="C11" s="79">
        <f t="shared" si="8"/>
        <v>13080820.32</v>
      </c>
      <c r="D11" s="79">
        <f>SUM(D8:D10)</f>
        <v>11467718.550000001</v>
      </c>
      <c r="E11" s="79">
        <f>SUM(E8:E10)</f>
        <v>11485795.82</v>
      </c>
      <c r="F11" s="79">
        <f>SUM(F7:F10)</f>
        <v>13110001.33</v>
      </c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8"/>
    </row>
    <row r="12" spans="1:38" x14ac:dyDescent="0.25">
      <c r="F12" s="63"/>
    </row>
    <row r="13" spans="1:38" s="1" customFormat="1" ht="25.5" customHeight="1" x14ac:dyDescent="0.25">
      <c r="A13" s="91" t="s">
        <v>71</v>
      </c>
      <c r="B13" s="92"/>
      <c r="C13" s="92"/>
      <c r="D13" s="92"/>
      <c r="E13" s="93"/>
      <c r="F13" s="8">
        <v>383580424.31</v>
      </c>
    </row>
    <row r="14" spans="1:38" s="1" customFormat="1" ht="25.5" customHeight="1" x14ac:dyDescent="0.25">
      <c r="A14" s="91" t="s">
        <v>72</v>
      </c>
      <c r="B14" s="92"/>
      <c r="C14" s="92"/>
      <c r="D14" s="92"/>
      <c r="E14" s="93"/>
      <c r="F14" s="9">
        <f>+F11/F13</f>
        <v>3.4177972855582509E-2</v>
      </c>
    </row>
    <row r="15" spans="1:38" s="1" customFormat="1" ht="25.5" customHeight="1" x14ac:dyDescent="0.25">
      <c r="A15" s="91" t="s">
        <v>73</v>
      </c>
      <c r="B15" s="92"/>
      <c r="C15" s="92"/>
      <c r="D15" s="92"/>
      <c r="E15" s="93"/>
      <c r="F15" s="9">
        <f>+F14*5%</f>
        <v>1.7088986427791254E-3</v>
      </c>
    </row>
  </sheetData>
  <pageMargins left="0.7" right="0.7" top="0.75" bottom="0.75" header="0.3" footer="0.3"/>
  <ignoredErrors>
    <ignoredError sqref="B11:F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9"/>
  <sheetViews>
    <sheetView showGridLines="0" zoomScale="80" zoomScaleNormal="80" zoomScaleSheetLayoutView="70" workbookViewId="0">
      <pane xSplit="3" ySplit="4" topLeftCell="D6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baseColWidth="10" defaultRowHeight="15" outlineLevelCol="1" x14ac:dyDescent="0.25"/>
  <cols>
    <col min="1" max="1" width="61.7109375" customWidth="1"/>
    <col min="2" max="3" width="22.85546875" customWidth="1"/>
    <col min="4" max="4" width="6.5703125" customWidth="1"/>
    <col min="5" max="21" width="15.7109375" customWidth="1" outlineLevel="1"/>
    <col min="22" max="22" width="15.85546875" bestFit="1" customWidth="1"/>
  </cols>
  <sheetData>
    <row r="1" spans="1:21" x14ac:dyDescent="0.25">
      <c r="A1" s="25" t="s">
        <v>51</v>
      </c>
      <c r="B1" s="25"/>
    </row>
    <row r="2" spans="1:21" x14ac:dyDescent="0.25">
      <c r="A2" s="25" t="s">
        <v>53</v>
      </c>
      <c r="B2" s="25"/>
    </row>
    <row r="3" spans="1:21" x14ac:dyDescent="0.25">
      <c r="A3" s="25" t="s">
        <v>16</v>
      </c>
      <c r="B3" s="25"/>
      <c r="E3" s="27"/>
      <c r="F3" s="27"/>
      <c r="G3" s="27"/>
      <c r="H3" s="27"/>
      <c r="I3" s="27"/>
      <c r="J3" s="26"/>
      <c r="K3" s="26"/>
      <c r="L3" s="26"/>
    </row>
    <row r="4" spans="1:21" x14ac:dyDescent="0.25">
      <c r="E4" s="36"/>
      <c r="F4" s="36"/>
      <c r="G4" s="36"/>
      <c r="H4" s="36"/>
      <c r="I4" s="36"/>
      <c r="J4" s="36"/>
      <c r="K4" s="36"/>
      <c r="L4" s="46">
        <v>0.35</v>
      </c>
      <c r="M4" s="37"/>
      <c r="N4" s="37"/>
      <c r="O4" s="37"/>
      <c r="P4" s="37"/>
      <c r="Q4" s="38">
        <v>0.4</v>
      </c>
      <c r="R4" s="37"/>
      <c r="S4" s="37"/>
      <c r="T4" s="37"/>
      <c r="U4" s="37"/>
    </row>
    <row r="5" spans="1:21" ht="24.75" customHeight="1" x14ac:dyDescent="0.25">
      <c r="B5" s="24" t="s">
        <v>59</v>
      </c>
      <c r="C5" s="24" t="s">
        <v>42</v>
      </c>
      <c r="E5">
        <f>COUNTA(E6:U6)</f>
        <v>17</v>
      </c>
      <c r="F5" s="40"/>
      <c r="G5" s="40"/>
      <c r="H5" s="40"/>
      <c r="I5" s="40"/>
      <c r="J5" s="40"/>
      <c r="K5" s="40"/>
      <c r="L5" s="41"/>
      <c r="M5" s="40"/>
      <c r="N5" s="40"/>
      <c r="O5" s="72"/>
      <c r="P5" s="40"/>
      <c r="Q5" s="40"/>
      <c r="R5" s="40"/>
      <c r="S5" s="40"/>
      <c r="T5" s="40"/>
      <c r="U5" s="40"/>
    </row>
    <row r="6" spans="1:21" ht="30" customHeight="1" x14ac:dyDescent="0.25">
      <c r="A6" s="4" t="s">
        <v>15</v>
      </c>
      <c r="B6" s="50">
        <f>+B8+B16</f>
        <v>226592176.58739853</v>
      </c>
      <c r="C6" s="11">
        <f>+C8+C16</f>
        <v>131692346.72</v>
      </c>
      <c r="D6" s="19"/>
      <c r="E6" s="24">
        <v>2005</v>
      </c>
      <c r="F6" s="24">
        <f t="shared" ref="F6:U6" si="0">+E6+1</f>
        <v>2006</v>
      </c>
      <c r="G6" s="24">
        <f t="shared" si="0"/>
        <v>2007</v>
      </c>
      <c r="H6" s="24">
        <f t="shared" si="0"/>
        <v>2008</v>
      </c>
      <c r="I6" s="24">
        <f t="shared" si="0"/>
        <v>2009</v>
      </c>
      <c r="J6" s="24">
        <f t="shared" si="0"/>
        <v>2010</v>
      </c>
      <c r="K6" s="24">
        <f t="shared" si="0"/>
        <v>2011</v>
      </c>
      <c r="L6" s="24">
        <f t="shared" si="0"/>
        <v>2012</v>
      </c>
      <c r="M6" s="24">
        <f t="shared" si="0"/>
        <v>2013</v>
      </c>
      <c r="N6" s="24">
        <f t="shared" si="0"/>
        <v>2014</v>
      </c>
      <c r="O6" s="24">
        <f t="shared" si="0"/>
        <v>2015</v>
      </c>
      <c r="P6" s="24">
        <f t="shared" si="0"/>
        <v>2016</v>
      </c>
      <c r="Q6" s="24">
        <f t="shared" si="0"/>
        <v>2017</v>
      </c>
      <c r="R6" s="24">
        <f t="shared" si="0"/>
        <v>2018</v>
      </c>
      <c r="S6" s="24">
        <f t="shared" si="0"/>
        <v>2019</v>
      </c>
      <c r="T6" s="24">
        <f t="shared" si="0"/>
        <v>2020</v>
      </c>
      <c r="U6" s="24">
        <f t="shared" si="0"/>
        <v>2021</v>
      </c>
    </row>
    <row r="7" spans="1:21" x14ac:dyDescent="0.25">
      <c r="A7" s="13"/>
      <c r="B7" s="29"/>
      <c r="C7" s="12"/>
      <c r="D7" s="19"/>
      <c r="E7" s="21"/>
      <c r="F7" s="21"/>
      <c r="G7" s="21"/>
      <c r="H7" s="21"/>
      <c r="I7" s="21"/>
      <c r="J7" s="21"/>
      <c r="K7" s="21"/>
      <c r="L7" s="21"/>
      <c r="M7" s="16"/>
      <c r="N7" s="16"/>
      <c r="O7" s="21">
        <f>SUM($E$8:O8)</f>
        <v>117703284.21999998</v>
      </c>
      <c r="P7" s="21">
        <f>SUM($E$8:P8)</f>
        <v>120021096.71999998</v>
      </c>
      <c r="Q7" s="21">
        <f>SUM($E$8:Q8)</f>
        <v>122338909.21999998</v>
      </c>
      <c r="R7" s="21">
        <f>SUM($E$8:R8)</f>
        <v>127056721.71999998</v>
      </c>
      <c r="S7" s="21">
        <f>SUM($E$8:S8)</f>
        <v>129374534.21999998</v>
      </c>
      <c r="T7" s="21">
        <f>SUM($E$8:T8)</f>
        <v>131692346.71999998</v>
      </c>
      <c r="U7" s="16"/>
    </row>
    <row r="8" spans="1:21" ht="30" customHeight="1" x14ac:dyDescent="0.25">
      <c r="A8" s="4" t="s">
        <v>14</v>
      </c>
      <c r="B8" s="11">
        <f>-FV('Proyección 09122021'!C50,'Inversiones Pasadas'!E5,,'Inversiones Pasadas'!C8)</f>
        <v>226592176.58739853</v>
      </c>
      <c r="C8" s="11">
        <f>+SUM(C9:C14)</f>
        <v>131692346.72</v>
      </c>
      <c r="D8" s="19"/>
      <c r="E8" s="11">
        <f t="shared" ref="E8:U8" si="1">+SUM(E9:E14)</f>
        <v>8962719.1742857136</v>
      </c>
      <c r="F8" s="11">
        <f t="shared" si="1"/>
        <v>8962719.1742857136</v>
      </c>
      <c r="G8" s="11">
        <f t="shared" si="1"/>
        <v>8962719.1742857136</v>
      </c>
      <c r="H8" s="11">
        <f t="shared" si="1"/>
        <v>14655719.174285714</v>
      </c>
      <c r="I8" s="11">
        <f t="shared" si="1"/>
        <v>8962719.1742857136</v>
      </c>
      <c r="J8" s="11">
        <f t="shared" si="1"/>
        <v>8962719.1742857136</v>
      </c>
      <c r="K8" s="11">
        <f t="shared" si="1"/>
        <v>16962719.174285714</v>
      </c>
      <c r="L8" s="11">
        <f t="shared" si="1"/>
        <v>10317812.5</v>
      </c>
      <c r="M8" s="11">
        <f t="shared" si="1"/>
        <v>10317812.5</v>
      </c>
      <c r="N8" s="11">
        <f t="shared" si="1"/>
        <v>10317812.5</v>
      </c>
      <c r="O8" s="11">
        <f t="shared" si="1"/>
        <v>10317812.5</v>
      </c>
      <c r="P8" s="11">
        <f t="shared" si="1"/>
        <v>2317812.5</v>
      </c>
      <c r="Q8" s="11">
        <f t="shared" si="1"/>
        <v>2317812.5</v>
      </c>
      <c r="R8" s="11">
        <f t="shared" si="1"/>
        <v>4717812.5</v>
      </c>
      <c r="S8" s="11">
        <f t="shared" si="1"/>
        <v>2317812.5</v>
      </c>
      <c r="T8" s="11">
        <f t="shared" si="1"/>
        <v>2317812.5</v>
      </c>
      <c r="U8" s="11">
        <f t="shared" si="1"/>
        <v>0</v>
      </c>
    </row>
    <row r="9" spans="1:21" s="49" customFormat="1" ht="30" customHeight="1" x14ac:dyDescent="0.25">
      <c r="A9" s="53" t="s">
        <v>54</v>
      </c>
      <c r="B9" s="54"/>
      <c r="C9" s="54">
        <v>37085000</v>
      </c>
      <c r="D9" s="55"/>
      <c r="E9" s="54">
        <f>$C$9/16</f>
        <v>2317812.5</v>
      </c>
      <c r="F9" s="54">
        <f t="shared" ref="F9:T9" si="2">$C$9/16</f>
        <v>2317812.5</v>
      </c>
      <c r="G9" s="54">
        <f t="shared" si="2"/>
        <v>2317812.5</v>
      </c>
      <c r="H9" s="54">
        <f t="shared" si="2"/>
        <v>2317812.5</v>
      </c>
      <c r="I9" s="54">
        <f t="shared" si="2"/>
        <v>2317812.5</v>
      </c>
      <c r="J9" s="54">
        <f t="shared" si="2"/>
        <v>2317812.5</v>
      </c>
      <c r="K9" s="54">
        <f t="shared" si="2"/>
        <v>2317812.5</v>
      </c>
      <c r="L9" s="54">
        <f t="shared" si="2"/>
        <v>2317812.5</v>
      </c>
      <c r="M9" s="54">
        <f t="shared" si="2"/>
        <v>2317812.5</v>
      </c>
      <c r="N9" s="54">
        <f t="shared" si="2"/>
        <v>2317812.5</v>
      </c>
      <c r="O9" s="54">
        <f t="shared" si="2"/>
        <v>2317812.5</v>
      </c>
      <c r="P9" s="54">
        <f t="shared" si="2"/>
        <v>2317812.5</v>
      </c>
      <c r="Q9" s="54">
        <f t="shared" si="2"/>
        <v>2317812.5</v>
      </c>
      <c r="R9" s="54">
        <f t="shared" si="2"/>
        <v>2317812.5</v>
      </c>
      <c r="S9" s="54">
        <f t="shared" si="2"/>
        <v>2317812.5</v>
      </c>
      <c r="T9" s="54">
        <f t="shared" si="2"/>
        <v>2317812.5</v>
      </c>
      <c r="U9" s="54"/>
    </row>
    <row r="10" spans="1:21" ht="30" customHeight="1" x14ac:dyDescent="0.25">
      <c r="A10" s="15" t="s">
        <v>55</v>
      </c>
      <c r="B10" s="54"/>
      <c r="C10" s="14">
        <v>1500000</v>
      </c>
      <c r="D10" s="19"/>
      <c r="E10" s="14"/>
      <c r="F10" s="14"/>
      <c r="G10" s="14"/>
      <c r="H10" s="14">
        <f>+C10</f>
        <v>1500000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30" customHeight="1" x14ac:dyDescent="0.25">
      <c r="A11" s="15" t="s">
        <v>56</v>
      </c>
      <c r="B11" s="54"/>
      <c r="C11" s="32">
        <v>4193000</v>
      </c>
      <c r="D11" s="19"/>
      <c r="E11" s="14"/>
      <c r="F11" s="14"/>
      <c r="G11" s="14"/>
      <c r="H11" s="14">
        <f>+C11</f>
        <v>4193000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30" customHeight="1" x14ac:dyDescent="0.25">
      <c r="A12" s="15" t="s">
        <v>57</v>
      </c>
      <c r="B12" s="54"/>
      <c r="C12" s="14">
        <v>2400000</v>
      </c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>+C12</f>
        <v>2400000</v>
      </c>
      <c r="S12" s="14"/>
      <c r="T12" s="14"/>
      <c r="U12" s="14"/>
    </row>
    <row r="13" spans="1:21" ht="30" customHeight="1" x14ac:dyDescent="0.25">
      <c r="A13" s="15" t="s">
        <v>58</v>
      </c>
      <c r="B13" s="54"/>
      <c r="C13" s="14">
        <v>46514346.719999999</v>
      </c>
      <c r="D13" s="19"/>
      <c r="E13" s="14">
        <f>$C$13/7</f>
        <v>6644906.6742857145</v>
      </c>
      <c r="F13" s="14">
        <f t="shared" ref="F13:K13" si="3">$C$13/7</f>
        <v>6644906.6742857145</v>
      </c>
      <c r="G13" s="14">
        <f t="shared" si="3"/>
        <v>6644906.6742857145</v>
      </c>
      <c r="H13" s="14">
        <f t="shared" si="3"/>
        <v>6644906.6742857145</v>
      </c>
      <c r="I13" s="14">
        <f t="shared" si="3"/>
        <v>6644906.6742857145</v>
      </c>
      <c r="J13" s="14">
        <f t="shared" si="3"/>
        <v>6644906.6742857145</v>
      </c>
      <c r="K13" s="14">
        <f t="shared" si="3"/>
        <v>6644906.6742857145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30" customHeight="1" x14ac:dyDescent="0.25">
      <c r="A14" s="15" t="s">
        <v>60</v>
      </c>
      <c r="B14" s="54"/>
      <c r="C14" s="14">
        <v>40000000</v>
      </c>
      <c r="D14" s="19"/>
      <c r="E14" s="14"/>
      <c r="F14" s="14"/>
      <c r="G14" s="14"/>
      <c r="H14" s="14"/>
      <c r="I14" s="14"/>
      <c r="J14" s="14"/>
      <c r="K14" s="14">
        <f>$C$14/5</f>
        <v>8000000</v>
      </c>
      <c r="L14" s="14">
        <f t="shared" ref="L14:O14" si="4">$C$14/5</f>
        <v>8000000</v>
      </c>
      <c r="M14" s="14">
        <f t="shared" si="4"/>
        <v>8000000</v>
      </c>
      <c r="N14" s="14">
        <f t="shared" si="4"/>
        <v>8000000</v>
      </c>
      <c r="O14" s="14">
        <f t="shared" si="4"/>
        <v>8000000</v>
      </c>
      <c r="P14" s="14"/>
      <c r="Q14" s="14"/>
      <c r="R14" s="14"/>
      <c r="S14" s="14"/>
      <c r="T14" s="14"/>
      <c r="U14" s="14"/>
    </row>
    <row r="15" spans="1:21" hidden="1" x14ac:dyDescent="0.25">
      <c r="A15" s="13"/>
      <c r="B15" s="29"/>
      <c r="C15" s="12"/>
      <c r="D15" s="23"/>
      <c r="E15" s="19"/>
      <c r="F15" s="61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30" hidden="1" customHeight="1" x14ac:dyDescent="0.25">
      <c r="A16" s="4"/>
      <c r="B16" s="11"/>
      <c r="C16" s="11"/>
      <c r="D16" s="1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49" customFormat="1" ht="30" hidden="1" customHeight="1" x14ac:dyDescent="0.25">
      <c r="A17" s="53"/>
      <c r="B17" s="54"/>
      <c r="C17" s="54"/>
      <c r="D17" s="5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x14ac:dyDescent="0.25">
      <c r="A18" s="56"/>
      <c r="B18" s="57"/>
      <c r="C18" s="58"/>
      <c r="D18" s="19"/>
      <c r="E18" s="16"/>
      <c r="F18" s="16"/>
      <c r="G18" s="16"/>
      <c r="H18" s="16"/>
      <c r="I18" s="16"/>
      <c r="J18" s="16"/>
      <c r="K18" s="16"/>
      <c r="L18" s="16"/>
      <c r="M18" s="16"/>
      <c r="N18" s="21"/>
      <c r="O18" s="21"/>
      <c r="P18" s="21"/>
      <c r="Q18" s="21"/>
      <c r="R18" s="21"/>
      <c r="S18" s="21"/>
      <c r="T18" s="21"/>
      <c r="U18" s="21"/>
    </row>
    <row r="19" spans="1:21" s="1" customFormat="1" ht="34.5" customHeight="1" x14ac:dyDescent="0.25">
      <c r="A19" s="13" t="s">
        <v>61</v>
      </c>
      <c r="B19" s="29"/>
      <c r="C19" s="12"/>
      <c r="E19" s="59">
        <f>+E8</f>
        <v>8962719.1742857136</v>
      </c>
      <c r="F19" s="60">
        <f>+F8+E8</f>
        <v>17925438.348571427</v>
      </c>
      <c r="G19" s="60">
        <f t="shared" ref="G19:U19" si="5">+F19+G8</f>
        <v>26888157.522857141</v>
      </c>
      <c r="H19" s="60">
        <f t="shared" si="5"/>
        <v>41543876.697142854</v>
      </c>
      <c r="I19" s="60">
        <f t="shared" si="5"/>
        <v>50506595.871428564</v>
      </c>
      <c r="J19" s="60">
        <f t="shared" si="5"/>
        <v>59469315.045714274</v>
      </c>
      <c r="K19" s="60">
        <f t="shared" si="5"/>
        <v>76432034.219999984</v>
      </c>
      <c r="L19" s="60">
        <f t="shared" si="5"/>
        <v>86749846.719999984</v>
      </c>
      <c r="M19" s="60">
        <f t="shared" si="5"/>
        <v>97067659.219999984</v>
      </c>
      <c r="N19" s="60">
        <f t="shared" si="5"/>
        <v>107385471.71999998</v>
      </c>
      <c r="O19" s="60">
        <f t="shared" si="5"/>
        <v>117703284.21999998</v>
      </c>
      <c r="P19" s="60">
        <f t="shared" si="5"/>
        <v>120021096.71999998</v>
      </c>
      <c r="Q19" s="60">
        <f t="shared" si="5"/>
        <v>122338909.21999998</v>
      </c>
      <c r="R19" s="60">
        <f t="shared" si="5"/>
        <v>127056721.71999998</v>
      </c>
      <c r="S19" s="60">
        <f t="shared" si="5"/>
        <v>129374534.21999998</v>
      </c>
      <c r="T19" s="60">
        <f t="shared" si="5"/>
        <v>131692346.71999998</v>
      </c>
      <c r="U19" s="60">
        <f t="shared" si="5"/>
        <v>131692346.71999998</v>
      </c>
    </row>
  </sheetData>
  <pageMargins left="0.7" right="0.7" top="0.75" bottom="0.75" header="0.3" footer="0.3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83"/>
  <sheetViews>
    <sheetView showGridLines="0" zoomScale="80" zoomScaleNormal="80" zoomScaleSheetLayoutView="7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baseColWidth="10" defaultRowHeight="15" outlineLevelCol="1" x14ac:dyDescent="0.25"/>
  <cols>
    <col min="1" max="1" width="61.7109375" customWidth="1"/>
    <col min="2" max="3" width="22.85546875" customWidth="1"/>
    <col min="4" max="4" width="6.5703125" customWidth="1"/>
    <col min="5" max="34" width="15.7109375" customWidth="1" outlineLevel="1"/>
    <col min="35" max="35" width="15.85546875" bestFit="1" customWidth="1"/>
  </cols>
  <sheetData>
    <row r="1" spans="1:34" x14ac:dyDescent="0.25">
      <c r="A1" s="25" t="s">
        <v>51</v>
      </c>
      <c r="B1" s="25"/>
    </row>
    <row r="2" spans="1:34" x14ac:dyDescent="0.25">
      <c r="A2" s="25" t="s">
        <v>52</v>
      </c>
      <c r="B2" s="25"/>
    </row>
    <row r="3" spans="1:34" x14ac:dyDescent="0.25">
      <c r="A3" s="25" t="s">
        <v>16</v>
      </c>
      <c r="B3" s="25"/>
      <c r="E3" s="27"/>
      <c r="F3" s="27"/>
      <c r="G3" s="27"/>
      <c r="H3" s="27"/>
      <c r="I3" s="27"/>
      <c r="J3" s="26"/>
      <c r="K3" s="26"/>
      <c r="L3" s="26"/>
    </row>
    <row r="4" spans="1:34" x14ac:dyDescent="0.25">
      <c r="E4" s="36"/>
      <c r="F4" s="36"/>
      <c r="G4" s="36"/>
      <c r="H4" s="36"/>
      <c r="I4" s="36"/>
      <c r="J4" s="36"/>
      <c r="K4" s="36"/>
      <c r="L4" s="46">
        <v>0.35</v>
      </c>
      <c r="M4" s="37"/>
      <c r="N4" s="37"/>
      <c r="O4" s="37"/>
      <c r="P4" s="37"/>
      <c r="Q4" s="38">
        <v>0.4</v>
      </c>
      <c r="R4" s="37"/>
      <c r="S4" s="37"/>
      <c r="T4" s="37"/>
      <c r="U4" s="37"/>
      <c r="V4" s="38">
        <v>0.45</v>
      </c>
      <c r="W4" s="37"/>
      <c r="X4" s="37"/>
      <c r="Y4" s="37"/>
      <c r="Z4" s="37"/>
      <c r="AA4" s="38">
        <v>0.5</v>
      </c>
      <c r="AB4" s="37"/>
      <c r="AC4" s="37"/>
      <c r="AD4" s="37"/>
      <c r="AE4" s="37"/>
      <c r="AF4" s="38">
        <v>0.55000000000000004</v>
      </c>
      <c r="AG4" s="37"/>
      <c r="AH4" s="37"/>
    </row>
    <row r="5" spans="1:34" ht="24.75" customHeight="1" x14ac:dyDescent="0.25">
      <c r="B5" s="24" t="s">
        <v>43</v>
      </c>
      <c r="C5" s="24" t="s">
        <v>42</v>
      </c>
      <c r="E5" s="39" t="s">
        <v>41</v>
      </c>
      <c r="F5" s="40"/>
      <c r="G5" s="40"/>
      <c r="H5" s="40"/>
      <c r="I5" s="40"/>
      <c r="J5" s="40"/>
      <c r="K5" s="40"/>
      <c r="L5" s="41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2"/>
    </row>
    <row r="6" spans="1:34" ht="30" customHeight="1" x14ac:dyDescent="0.25">
      <c r="A6" s="4" t="s">
        <v>62</v>
      </c>
      <c r="B6" s="62">
        <f>+B8+B17</f>
        <v>959695871.36905038</v>
      </c>
      <c r="C6" s="11">
        <f>+C8+C17</f>
        <v>1588957496.3375001</v>
      </c>
      <c r="D6" s="19"/>
      <c r="E6" s="24">
        <v>1</v>
      </c>
      <c r="F6" s="24">
        <f t="shared" ref="F6:AH6" si="0">+E6+1</f>
        <v>2</v>
      </c>
      <c r="G6" s="24">
        <f t="shared" si="0"/>
        <v>3</v>
      </c>
      <c r="H6" s="24">
        <f t="shared" si="0"/>
        <v>4</v>
      </c>
      <c r="I6" s="24">
        <f t="shared" si="0"/>
        <v>5</v>
      </c>
      <c r="J6" s="24">
        <f t="shared" si="0"/>
        <v>6</v>
      </c>
      <c r="K6" s="24">
        <f t="shared" si="0"/>
        <v>7</v>
      </c>
      <c r="L6" s="24">
        <f t="shared" si="0"/>
        <v>8</v>
      </c>
      <c r="M6" s="24">
        <f t="shared" si="0"/>
        <v>9</v>
      </c>
      <c r="N6" s="24">
        <f t="shared" si="0"/>
        <v>10</v>
      </c>
      <c r="O6" s="24">
        <f t="shared" si="0"/>
        <v>11</v>
      </c>
      <c r="P6" s="24">
        <f t="shared" si="0"/>
        <v>12</v>
      </c>
      <c r="Q6" s="24">
        <f t="shared" si="0"/>
        <v>13</v>
      </c>
      <c r="R6" s="24">
        <f t="shared" si="0"/>
        <v>14</v>
      </c>
      <c r="S6" s="24">
        <f t="shared" si="0"/>
        <v>15</v>
      </c>
      <c r="T6" s="24">
        <f t="shared" si="0"/>
        <v>16</v>
      </c>
      <c r="U6" s="24">
        <f t="shared" si="0"/>
        <v>17</v>
      </c>
      <c r="V6" s="24">
        <f t="shared" si="0"/>
        <v>18</v>
      </c>
      <c r="W6" s="24">
        <f t="shared" si="0"/>
        <v>19</v>
      </c>
      <c r="X6" s="24">
        <f t="shared" si="0"/>
        <v>20</v>
      </c>
      <c r="Y6" s="24">
        <f t="shared" si="0"/>
        <v>21</v>
      </c>
      <c r="Z6" s="24">
        <f t="shared" si="0"/>
        <v>22</v>
      </c>
      <c r="AA6" s="24">
        <f t="shared" si="0"/>
        <v>23</v>
      </c>
      <c r="AB6" s="24">
        <f t="shared" si="0"/>
        <v>24</v>
      </c>
      <c r="AC6" s="24">
        <f t="shared" si="0"/>
        <v>25</v>
      </c>
      <c r="AD6" s="24">
        <f t="shared" si="0"/>
        <v>26</v>
      </c>
      <c r="AE6" s="24">
        <f t="shared" si="0"/>
        <v>27</v>
      </c>
      <c r="AF6" s="24">
        <f t="shared" si="0"/>
        <v>28</v>
      </c>
      <c r="AG6" s="24">
        <f t="shared" si="0"/>
        <v>29</v>
      </c>
      <c r="AH6" s="24">
        <f t="shared" si="0"/>
        <v>30</v>
      </c>
    </row>
    <row r="7" spans="1:34" x14ac:dyDescent="0.25">
      <c r="A7" s="13"/>
      <c r="B7" s="29"/>
      <c r="C7" s="12"/>
      <c r="D7" s="19"/>
      <c r="E7" s="65">
        <f>E10/E9</f>
        <v>8.9285714285714288E-2</v>
      </c>
      <c r="F7" s="65">
        <f>E15/E9</f>
        <v>6.8409285714285728E-2</v>
      </c>
      <c r="G7" s="21"/>
      <c r="H7" s="21"/>
      <c r="I7" s="21"/>
      <c r="J7" s="21"/>
      <c r="K7" s="21"/>
      <c r="L7" s="21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ht="30" customHeight="1" x14ac:dyDescent="0.25">
      <c r="A8" s="4" t="s">
        <v>14</v>
      </c>
      <c r="B8" s="11">
        <f>NPV(C50,E8:AH8)</f>
        <v>636790397.84876537</v>
      </c>
      <c r="C8" s="11">
        <f>+SUM(C9:C15)</f>
        <v>1005616500</v>
      </c>
      <c r="D8" s="19"/>
      <c r="E8" s="11">
        <f t="shared" ref="E8:AH8" si="1">+SUM(E9:E15)</f>
        <v>33520550</v>
      </c>
      <c r="F8" s="11">
        <f t="shared" si="1"/>
        <v>33520550</v>
      </c>
      <c r="G8" s="11">
        <f t="shared" si="1"/>
        <v>33520550</v>
      </c>
      <c r="H8" s="11">
        <f t="shared" si="1"/>
        <v>33520550</v>
      </c>
      <c r="I8" s="11">
        <f t="shared" si="1"/>
        <v>33520550</v>
      </c>
      <c r="J8" s="11">
        <f t="shared" si="1"/>
        <v>33520550</v>
      </c>
      <c r="K8" s="11">
        <f t="shared" si="1"/>
        <v>33520550</v>
      </c>
      <c r="L8" s="11">
        <f t="shared" si="1"/>
        <v>33520550</v>
      </c>
      <c r="M8" s="11">
        <f t="shared" si="1"/>
        <v>33520550</v>
      </c>
      <c r="N8" s="11">
        <f t="shared" si="1"/>
        <v>33520550</v>
      </c>
      <c r="O8" s="11">
        <f t="shared" si="1"/>
        <v>33520550</v>
      </c>
      <c r="P8" s="11">
        <f t="shared" si="1"/>
        <v>33520550</v>
      </c>
      <c r="Q8" s="11">
        <f t="shared" si="1"/>
        <v>33520550</v>
      </c>
      <c r="R8" s="11">
        <f t="shared" si="1"/>
        <v>33520550</v>
      </c>
      <c r="S8" s="11">
        <f t="shared" si="1"/>
        <v>33520550</v>
      </c>
      <c r="T8" s="11">
        <f t="shared" si="1"/>
        <v>33520550</v>
      </c>
      <c r="U8" s="11">
        <f t="shared" si="1"/>
        <v>33520550</v>
      </c>
      <c r="V8" s="11">
        <f t="shared" si="1"/>
        <v>33520550</v>
      </c>
      <c r="W8" s="11">
        <f t="shared" si="1"/>
        <v>33520550</v>
      </c>
      <c r="X8" s="11">
        <f t="shared" si="1"/>
        <v>33520550</v>
      </c>
      <c r="Y8" s="11">
        <f t="shared" si="1"/>
        <v>33520550</v>
      </c>
      <c r="Z8" s="11">
        <f t="shared" si="1"/>
        <v>33520550</v>
      </c>
      <c r="AA8" s="11">
        <f t="shared" si="1"/>
        <v>33520550</v>
      </c>
      <c r="AB8" s="11">
        <f t="shared" si="1"/>
        <v>33520550</v>
      </c>
      <c r="AC8" s="11">
        <f t="shared" si="1"/>
        <v>33520550</v>
      </c>
      <c r="AD8" s="11">
        <f t="shared" si="1"/>
        <v>33520550</v>
      </c>
      <c r="AE8" s="11">
        <f t="shared" si="1"/>
        <v>33520550</v>
      </c>
      <c r="AF8" s="11">
        <f t="shared" si="1"/>
        <v>33520550</v>
      </c>
      <c r="AG8" s="11">
        <f t="shared" si="1"/>
        <v>33520550</v>
      </c>
      <c r="AH8" s="11">
        <f t="shared" si="1"/>
        <v>33520550</v>
      </c>
    </row>
    <row r="9" spans="1:34" ht="30" customHeight="1" x14ac:dyDescent="0.25">
      <c r="A9" s="15" t="s">
        <v>20</v>
      </c>
      <c r="B9" s="14">
        <f>NPV($C$50,E9:AH9)</f>
        <v>443263687.99053693</v>
      </c>
      <c r="C9" s="47">
        <v>700000000</v>
      </c>
      <c r="D9" s="48"/>
      <c r="E9" s="47">
        <f t="shared" ref="E9:AH9" si="2">$C$9/$AH$6</f>
        <v>23333333.333333332</v>
      </c>
      <c r="F9" s="47">
        <f t="shared" si="2"/>
        <v>23333333.333333332</v>
      </c>
      <c r="G9" s="47">
        <f t="shared" si="2"/>
        <v>23333333.333333332</v>
      </c>
      <c r="H9" s="47">
        <f t="shared" si="2"/>
        <v>23333333.333333332</v>
      </c>
      <c r="I9" s="47">
        <f t="shared" si="2"/>
        <v>23333333.333333332</v>
      </c>
      <c r="J9" s="47">
        <f t="shared" si="2"/>
        <v>23333333.333333332</v>
      </c>
      <c r="K9" s="47">
        <f t="shared" si="2"/>
        <v>23333333.333333332</v>
      </c>
      <c r="L9" s="47">
        <f t="shared" si="2"/>
        <v>23333333.333333332</v>
      </c>
      <c r="M9" s="47">
        <f t="shared" si="2"/>
        <v>23333333.333333332</v>
      </c>
      <c r="N9" s="47">
        <f t="shared" si="2"/>
        <v>23333333.333333332</v>
      </c>
      <c r="O9" s="47">
        <f t="shared" si="2"/>
        <v>23333333.333333332</v>
      </c>
      <c r="P9" s="47">
        <f t="shared" si="2"/>
        <v>23333333.333333332</v>
      </c>
      <c r="Q9" s="47">
        <f t="shared" si="2"/>
        <v>23333333.333333332</v>
      </c>
      <c r="R9" s="47">
        <f t="shared" si="2"/>
        <v>23333333.333333332</v>
      </c>
      <c r="S9" s="47">
        <f t="shared" si="2"/>
        <v>23333333.333333332</v>
      </c>
      <c r="T9" s="47">
        <f t="shared" si="2"/>
        <v>23333333.333333332</v>
      </c>
      <c r="U9" s="47">
        <f t="shared" si="2"/>
        <v>23333333.333333332</v>
      </c>
      <c r="V9" s="47">
        <f t="shared" si="2"/>
        <v>23333333.333333332</v>
      </c>
      <c r="W9" s="47">
        <f t="shared" si="2"/>
        <v>23333333.333333332</v>
      </c>
      <c r="X9" s="47">
        <f t="shared" si="2"/>
        <v>23333333.333333332</v>
      </c>
      <c r="Y9" s="47">
        <f t="shared" si="2"/>
        <v>23333333.333333332</v>
      </c>
      <c r="Z9" s="47">
        <f t="shared" si="2"/>
        <v>23333333.333333332</v>
      </c>
      <c r="AA9" s="47">
        <f t="shared" si="2"/>
        <v>23333333.333333332</v>
      </c>
      <c r="AB9" s="47">
        <f t="shared" si="2"/>
        <v>23333333.333333332</v>
      </c>
      <c r="AC9" s="47">
        <f t="shared" si="2"/>
        <v>23333333.333333332</v>
      </c>
      <c r="AD9" s="47">
        <f t="shared" si="2"/>
        <v>23333333.333333332</v>
      </c>
      <c r="AE9" s="47">
        <f t="shared" si="2"/>
        <v>23333333.333333332</v>
      </c>
      <c r="AF9" s="47">
        <f t="shared" si="2"/>
        <v>23333333.333333332</v>
      </c>
      <c r="AG9" s="47">
        <f t="shared" si="2"/>
        <v>23333333.333333332</v>
      </c>
      <c r="AH9" s="47">
        <f t="shared" si="2"/>
        <v>23333333.333333332</v>
      </c>
    </row>
    <row r="10" spans="1:34" ht="30" customHeight="1" x14ac:dyDescent="0.25">
      <c r="A10" s="15" t="s">
        <v>28</v>
      </c>
      <c r="B10" s="14">
        <f t="shared" ref="B10:B15" si="3">NPV($C$50,E10:AH10)</f>
        <v>39577114.999155082</v>
      </c>
      <c r="C10" s="14">
        <f>+(500000)*125</f>
        <v>62500000</v>
      </c>
      <c r="D10" s="19"/>
      <c r="E10" s="14">
        <f t="shared" ref="E10:AH10" si="4">$C$10/$AH$6</f>
        <v>2083333.3333333333</v>
      </c>
      <c r="F10" s="14">
        <f t="shared" si="4"/>
        <v>2083333.3333333333</v>
      </c>
      <c r="G10" s="14">
        <f t="shared" si="4"/>
        <v>2083333.3333333333</v>
      </c>
      <c r="H10" s="14">
        <f t="shared" si="4"/>
        <v>2083333.3333333333</v>
      </c>
      <c r="I10" s="14">
        <f t="shared" si="4"/>
        <v>2083333.3333333333</v>
      </c>
      <c r="J10" s="14">
        <f t="shared" si="4"/>
        <v>2083333.3333333333</v>
      </c>
      <c r="K10" s="14">
        <f t="shared" si="4"/>
        <v>2083333.3333333333</v>
      </c>
      <c r="L10" s="14">
        <f t="shared" si="4"/>
        <v>2083333.3333333333</v>
      </c>
      <c r="M10" s="14">
        <f t="shared" si="4"/>
        <v>2083333.3333333333</v>
      </c>
      <c r="N10" s="14">
        <f t="shared" si="4"/>
        <v>2083333.3333333333</v>
      </c>
      <c r="O10" s="14">
        <f t="shared" si="4"/>
        <v>2083333.3333333333</v>
      </c>
      <c r="P10" s="14">
        <f t="shared" si="4"/>
        <v>2083333.3333333333</v>
      </c>
      <c r="Q10" s="14">
        <f t="shared" si="4"/>
        <v>2083333.3333333333</v>
      </c>
      <c r="R10" s="14">
        <f t="shared" si="4"/>
        <v>2083333.3333333333</v>
      </c>
      <c r="S10" s="14">
        <f t="shared" si="4"/>
        <v>2083333.3333333333</v>
      </c>
      <c r="T10" s="14">
        <f t="shared" si="4"/>
        <v>2083333.3333333333</v>
      </c>
      <c r="U10" s="14">
        <f t="shared" si="4"/>
        <v>2083333.3333333333</v>
      </c>
      <c r="V10" s="14">
        <f t="shared" si="4"/>
        <v>2083333.3333333333</v>
      </c>
      <c r="W10" s="14">
        <f t="shared" si="4"/>
        <v>2083333.3333333333</v>
      </c>
      <c r="X10" s="14">
        <f t="shared" si="4"/>
        <v>2083333.3333333333</v>
      </c>
      <c r="Y10" s="14">
        <f t="shared" si="4"/>
        <v>2083333.3333333333</v>
      </c>
      <c r="Z10" s="14">
        <f t="shared" si="4"/>
        <v>2083333.3333333333</v>
      </c>
      <c r="AA10" s="14">
        <f t="shared" si="4"/>
        <v>2083333.3333333333</v>
      </c>
      <c r="AB10" s="14">
        <f t="shared" si="4"/>
        <v>2083333.3333333333</v>
      </c>
      <c r="AC10" s="14">
        <f t="shared" si="4"/>
        <v>2083333.3333333333</v>
      </c>
      <c r="AD10" s="14">
        <f t="shared" si="4"/>
        <v>2083333.3333333333</v>
      </c>
      <c r="AE10" s="14">
        <f t="shared" si="4"/>
        <v>2083333.3333333333</v>
      </c>
      <c r="AF10" s="14">
        <f t="shared" si="4"/>
        <v>2083333.3333333333</v>
      </c>
      <c r="AG10" s="14">
        <f t="shared" si="4"/>
        <v>2083333.3333333333</v>
      </c>
      <c r="AH10" s="14">
        <f t="shared" si="4"/>
        <v>2083333.3333333333</v>
      </c>
    </row>
    <row r="11" spans="1:34" ht="30" customHeight="1" x14ac:dyDescent="0.25">
      <c r="A11" s="15" t="s">
        <v>29</v>
      </c>
      <c r="B11" s="14">
        <f t="shared" si="3"/>
        <v>35904358.727233507</v>
      </c>
      <c r="C11" s="32">
        <f>B67*B73</f>
        <v>56700000</v>
      </c>
      <c r="D11" s="19"/>
      <c r="E11" s="14">
        <f t="shared" ref="E11:AH11" si="5">$C$11/$AH$6</f>
        <v>1890000</v>
      </c>
      <c r="F11" s="14">
        <f t="shared" si="5"/>
        <v>1890000</v>
      </c>
      <c r="G11" s="14">
        <f t="shared" si="5"/>
        <v>1890000</v>
      </c>
      <c r="H11" s="14">
        <f t="shared" si="5"/>
        <v>1890000</v>
      </c>
      <c r="I11" s="14">
        <f t="shared" si="5"/>
        <v>1890000</v>
      </c>
      <c r="J11" s="14">
        <f t="shared" si="5"/>
        <v>1890000</v>
      </c>
      <c r="K11" s="14">
        <f t="shared" si="5"/>
        <v>1890000</v>
      </c>
      <c r="L11" s="14">
        <f t="shared" si="5"/>
        <v>1890000</v>
      </c>
      <c r="M11" s="14">
        <f t="shared" si="5"/>
        <v>1890000</v>
      </c>
      <c r="N11" s="14">
        <f t="shared" si="5"/>
        <v>1890000</v>
      </c>
      <c r="O11" s="14">
        <f t="shared" si="5"/>
        <v>1890000</v>
      </c>
      <c r="P11" s="14">
        <f t="shared" si="5"/>
        <v>1890000</v>
      </c>
      <c r="Q11" s="14">
        <f t="shared" si="5"/>
        <v>1890000</v>
      </c>
      <c r="R11" s="14">
        <f t="shared" si="5"/>
        <v>1890000</v>
      </c>
      <c r="S11" s="14">
        <f t="shared" si="5"/>
        <v>1890000</v>
      </c>
      <c r="T11" s="14">
        <f t="shared" si="5"/>
        <v>1890000</v>
      </c>
      <c r="U11" s="14">
        <f t="shared" si="5"/>
        <v>1890000</v>
      </c>
      <c r="V11" s="14">
        <f t="shared" si="5"/>
        <v>1890000</v>
      </c>
      <c r="W11" s="14">
        <f t="shared" si="5"/>
        <v>1890000</v>
      </c>
      <c r="X11" s="14">
        <f t="shared" si="5"/>
        <v>1890000</v>
      </c>
      <c r="Y11" s="14">
        <f t="shared" si="5"/>
        <v>1890000</v>
      </c>
      <c r="Z11" s="14">
        <f t="shared" si="5"/>
        <v>1890000</v>
      </c>
      <c r="AA11" s="14">
        <f t="shared" si="5"/>
        <v>1890000</v>
      </c>
      <c r="AB11" s="14">
        <f t="shared" si="5"/>
        <v>1890000</v>
      </c>
      <c r="AC11" s="14">
        <f t="shared" si="5"/>
        <v>1890000</v>
      </c>
      <c r="AD11" s="14">
        <f t="shared" si="5"/>
        <v>1890000</v>
      </c>
      <c r="AE11" s="14">
        <f t="shared" si="5"/>
        <v>1890000</v>
      </c>
      <c r="AF11" s="14">
        <f t="shared" si="5"/>
        <v>1890000</v>
      </c>
      <c r="AG11" s="14">
        <f t="shared" si="5"/>
        <v>1890000</v>
      </c>
      <c r="AH11" s="14">
        <f t="shared" si="5"/>
        <v>1890000</v>
      </c>
    </row>
    <row r="12" spans="1:34" ht="30" customHeight="1" x14ac:dyDescent="0.25">
      <c r="A12" s="15" t="s">
        <v>17</v>
      </c>
      <c r="B12" s="14">
        <f t="shared" si="3"/>
        <v>11873134.499746528</v>
      </c>
      <c r="C12" s="14">
        <f>+C10*30%</f>
        <v>18750000</v>
      </c>
      <c r="D12" s="19"/>
      <c r="E12" s="14">
        <f t="shared" ref="E12:AH12" si="6">$C$12/$AH$6</f>
        <v>625000</v>
      </c>
      <c r="F12" s="14">
        <f t="shared" si="6"/>
        <v>625000</v>
      </c>
      <c r="G12" s="14">
        <f t="shared" si="6"/>
        <v>625000</v>
      </c>
      <c r="H12" s="14">
        <f t="shared" si="6"/>
        <v>625000</v>
      </c>
      <c r="I12" s="14">
        <f t="shared" si="6"/>
        <v>625000</v>
      </c>
      <c r="J12" s="14">
        <f t="shared" si="6"/>
        <v>625000</v>
      </c>
      <c r="K12" s="14">
        <f t="shared" si="6"/>
        <v>625000</v>
      </c>
      <c r="L12" s="14">
        <f t="shared" si="6"/>
        <v>625000</v>
      </c>
      <c r="M12" s="14">
        <f t="shared" si="6"/>
        <v>625000</v>
      </c>
      <c r="N12" s="14">
        <f t="shared" si="6"/>
        <v>625000</v>
      </c>
      <c r="O12" s="14">
        <f t="shared" si="6"/>
        <v>625000</v>
      </c>
      <c r="P12" s="14">
        <f t="shared" si="6"/>
        <v>625000</v>
      </c>
      <c r="Q12" s="14">
        <f t="shared" si="6"/>
        <v>625000</v>
      </c>
      <c r="R12" s="14">
        <f t="shared" si="6"/>
        <v>625000</v>
      </c>
      <c r="S12" s="14">
        <f t="shared" si="6"/>
        <v>625000</v>
      </c>
      <c r="T12" s="14">
        <f t="shared" si="6"/>
        <v>625000</v>
      </c>
      <c r="U12" s="14">
        <f t="shared" si="6"/>
        <v>625000</v>
      </c>
      <c r="V12" s="14">
        <f t="shared" si="6"/>
        <v>625000</v>
      </c>
      <c r="W12" s="14">
        <f t="shared" si="6"/>
        <v>625000</v>
      </c>
      <c r="X12" s="14">
        <f t="shared" si="6"/>
        <v>625000</v>
      </c>
      <c r="Y12" s="14">
        <f t="shared" si="6"/>
        <v>625000</v>
      </c>
      <c r="Z12" s="14">
        <f t="shared" si="6"/>
        <v>625000</v>
      </c>
      <c r="AA12" s="14">
        <f t="shared" si="6"/>
        <v>625000</v>
      </c>
      <c r="AB12" s="14">
        <f t="shared" si="6"/>
        <v>625000</v>
      </c>
      <c r="AC12" s="14">
        <f t="shared" si="6"/>
        <v>625000</v>
      </c>
      <c r="AD12" s="14">
        <f t="shared" si="6"/>
        <v>625000</v>
      </c>
      <c r="AE12" s="14">
        <f t="shared" si="6"/>
        <v>625000</v>
      </c>
      <c r="AF12" s="14">
        <f t="shared" si="6"/>
        <v>625000</v>
      </c>
      <c r="AG12" s="14">
        <f t="shared" si="6"/>
        <v>625000</v>
      </c>
      <c r="AH12" s="14">
        <f t="shared" si="6"/>
        <v>625000</v>
      </c>
    </row>
    <row r="13" spans="1:34" ht="30" customHeight="1" x14ac:dyDescent="0.25">
      <c r="A13" s="15" t="s">
        <v>18</v>
      </c>
      <c r="B13" s="14">
        <f t="shared" si="3"/>
        <v>7915422.999831018</v>
      </c>
      <c r="C13" s="14">
        <f>+C10*20%</f>
        <v>12500000</v>
      </c>
      <c r="D13" s="19"/>
      <c r="E13" s="14">
        <f t="shared" ref="E13:AH13" si="7">$C$13/$AH$6</f>
        <v>416666.66666666669</v>
      </c>
      <c r="F13" s="14">
        <f t="shared" si="7"/>
        <v>416666.66666666669</v>
      </c>
      <c r="G13" s="14">
        <f t="shared" si="7"/>
        <v>416666.66666666669</v>
      </c>
      <c r="H13" s="14">
        <f t="shared" si="7"/>
        <v>416666.66666666669</v>
      </c>
      <c r="I13" s="14">
        <f t="shared" si="7"/>
        <v>416666.66666666669</v>
      </c>
      <c r="J13" s="14">
        <f t="shared" si="7"/>
        <v>416666.66666666669</v>
      </c>
      <c r="K13" s="14">
        <f t="shared" si="7"/>
        <v>416666.66666666669</v>
      </c>
      <c r="L13" s="14">
        <f t="shared" si="7"/>
        <v>416666.66666666669</v>
      </c>
      <c r="M13" s="14">
        <f t="shared" si="7"/>
        <v>416666.66666666669</v>
      </c>
      <c r="N13" s="14">
        <f t="shared" si="7"/>
        <v>416666.66666666669</v>
      </c>
      <c r="O13" s="14">
        <f t="shared" si="7"/>
        <v>416666.66666666669</v>
      </c>
      <c r="P13" s="14">
        <f t="shared" si="7"/>
        <v>416666.66666666669</v>
      </c>
      <c r="Q13" s="14">
        <f t="shared" si="7"/>
        <v>416666.66666666669</v>
      </c>
      <c r="R13" s="14">
        <f t="shared" si="7"/>
        <v>416666.66666666669</v>
      </c>
      <c r="S13" s="14">
        <f t="shared" si="7"/>
        <v>416666.66666666669</v>
      </c>
      <c r="T13" s="14">
        <f t="shared" si="7"/>
        <v>416666.66666666669</v>
      </c>
      <c r="U13" s="14">
        <f t="shared" si="7"/>
        <v>416666.66666666669</v>
      </c>
      <c r="V13" s="14">
        <f t="shared" si="7"/>
        <v>416666.66666666669</v>
      </c>
      <c r="W13" s="14">
        <f t="shared" si="7"/>
        <v>416666.66666666669</v>
      </c>
      <c r="X13" s="14">
        <f t="shared" si="7"/>
        <v>416666.66666666669</v>
      </c>
      <c r="Y13" s="14">
        <f t="shared" si="7"/>
        <v>416666.66666666669</v>
      </c>
      <c r="Z13" s="14">
        <f t="shared" si="7"/>
        <v>416666.66666666669</v>
      </c>
      <c r="AA13" s="14">
        <f t="shared" si="7"/>
        <v>416666.66666666669</v>
      </c>
      <c r="AB13" s="14">
        <f t="shared" si="7"/>
        <v>416666.66666666669</v>
      </c>
      <c r="AC13" s="14">
        <f t="shared" si="7"/>
        <v>416666.66666666669</v>
      </c>
      <c r="AD13" s="14">
        <f t="shared" si="7"/>
        <v>416666.66666666669</v>
      </c>
      <c r="AE13" s="14">
        <f t="shared" si="7"/>
        <v>416666.66666666669</v>
      </c>
      <c r="AF13" s="14">
        <f t="shared" si="7"/>
        <v>416666.66666666669</v>
      </c>
      <c r="AG13" s="14">
        <f t="shared" si="7"/>
        <v>416666.66666666669</v>
      </c>
      <c r="AH13" s="14">
        <f t="shared" si="7"/>
        <v>416666.66666666669</v>
      </c>
    </row>
    <row r="14" spans="1:34" ht="30" customHeight="1" x14ac:dyDescent="0.25">
      <c r="A14" s="15" t="s">
        <v>23</v>
      </c>
      <c r="B14" s="14">
        <f t="shared" si="3"/>
        <v>67933326.353749737</v>
      </c>
      <c r="C14" s="14">
        <f>(C10+C11)*90%</f>
        <v>107280000</v>
      </c>
      <c r="D14" s="19"/>
      <c r="E14" s="14">
        <f t="shared" ref="E14:AH14" si="8">$C$14/$AH$6</f>
        <v>3576000</v>
      </c>
      <c r="F14" s="14">
        <f t="shared" si="8"/>
        <v>3576000</v>
      </c>
      <c r="G14" s="14">
        <f t="shared" si="8"/>
        <v>3576000</v>
      </c>
      <c r="H14" s="14">
        <f t="shared" si="8"/>
        <v>3576000</v>
      </c>
      <c r="I14" s="14">
        <f t="shared" si="8"/>
        <v>3576000</v>
      </c>
      <c r="J14" s="14">
        <f t="shared" si="8"/>
        <v>3576000</v>
      </c>
      <c r="K14" s="14">
        <f t="shared" si="8"/>
        <v>3576000</v>
      </c>
      <c r="L14" s="14">
        <f t="shared" si="8"/>
        <v>3576000</v>
      </c>
      <c r="M14" s="14">
        <f t="shared" si="8"/>
        <v>3576000</v>
      </c>
      <c r="N14" s="14">
        <f t="shared" si="8"/>
        <v>3576000</v>
      </c>
      <c r="O14" s="14">
        <f t="shared" si="8"/>
        <v>3576000</v>
      </c>
      <c r="P14" s="14">
        <f t="shared" si="8"/>
        <v>3576000</v>
      </c>
      <c r="Q14" s="14">
        <f t="shared" si="8"/>
        <v>3576000</v>
      </c>
      <c r="R14" s="14">
        <f t="shared" si="8"/>
        <v>3576000</v>
      </c>
      <c r="S14" s="14">
        <f t="shared" si="8"/>
        <v>3576000</v>
      </c>
      <c r="T14" s="14">
        <f t="shared" si="8"/>
        <v>3576000</v>
      </c>
      <c r="U14" s="14">
        <f t="shared" si="8"/>
        <v>3576000</v>
      </c>
      <c r="V14" s="14">
        <f t="shared" si="8"/>
        <v>3576000</v>
      </c>
      <c r="W14" s="14">
        <f t="shared" si="8"/>
        <v>3576000</v>
      </c>
      <c r="X14" s="14">
        <f t="shared" si="8"/>
        <v>3576000</v>
      </c>
      <c r="Y14" s="14">
        <f t="shared" si="8"/>
        <v>3576000</v>
      </c>
      <c r="Z14" s="14">
        <f t="shared" si="8"/>
        <v>3576000</v>
      </c>
      <c r="AA14" s="14">
        <f t="shared" si="8"/>
        <v>3576000</v>
      </c>
      <c r="AB14" s="14">
        <f t="shared" si="8"/>
        <v>3576000</v>
      </c>
      <c r="AC14" s="14">
        <f t="shared" si="8"/>
        <v>3576000</v>
      </c>
      <c r="AD14" s="14">
        <f t="shared" si="8"/>
        <v>3576000</v>
      </c>
      <c r="AE14" s="14">
        <f t="shared" si="8"/>
        <v>3576000</v>
      </c>
      <c r="AF14" s="14">
        <f t="shared" si="8"/>
        <v>3576000</v>
      </c>
      <c r="AG14" s="14">
        <f t="shared" si="8"/>
        <v>3576000</v>
      </c>
      <c r="AH14" s="14">
        <f t="shared" si="8"/>
        <v>3576000</v>
      </c>
    </row>
    <row r="15" spans="1:34" ht="30" customHeight="1" x14ac:dyDescent="0.25">
      <c r="A15" s="15" t="s">
        <v>19</v>
      </c>
      <c r="B15" s="14">
        <f t="shared" si="3"/>
        <v>30323352.278512649</v>
      </c>
      <c r="C15" s="14">
        <f>+SUM(C9:C14)*5%</f>
        <v>47886500</v>
      </c>
      <c r="D15" s="19"/>
      <c r="E15" s="14">
        <f t="shared" ref="E15:AH15" si="9">$C$15/$AH$6</f>
        <v>1596216.6666666667</v>
      </c>
      <c r="F15" s="14">
        <f t="shared" si="9"/>
        <v>1596216.6666666667</v>
      </c>
      <c r="G15" s="14">
        <f t="shared" si="9"/>
        <v>1596216.6666666667</v>
      </c>
      <c r="H15" s="14">
        <f t="shared" si="9"/>
        <v>1596216.6666666667</v>
      </c>
      <c r="I15" s="14">
        <f t="shared" si="9"/>
        <v>1596216.6666666667</v>
      </c>
      <c r="J15" s="14">
        <f t="shared" si="9"/>
        <v>1596216.6666666667</v>
      </c>
      <c r="K15" s="14">
        <f t="shared" si="9"/>
        <v>1596216.6666666667</v>
      </c>
      <c r="L15" s="14">
        <f t="shared" si="9"/>
        <v>1596216.6666666667</v>
      </c>
      <c r="M15" s="14">
        <f t="shared" si="9"/>
        <v>1596216.6666666667</v>
      </c>
      <c r="N15" s="14">
        <f t="shared" si="9"/>
        <v>1596216.6666666667</v>
      </c>
      <c r="O15" s="14">
        <f t="shared" si="9"/>
        <v>1596216.6666666667</v>
      </c>
      <c r="P15" s="14">
        <f t="shared" si="9"/>
        <v>1596216.6666666667</v>
      </c>
      <c r="Q15" s="14">
        <f t="shared" si="9"/>
        <v>1596216.6666666667</v>
      </c>
      <c r="R15" s="14">
        <f t="shared" si="9"/>
        <v>1596216.6666666667</v>
      </c>
      <c r="S15" s="14">
        <f t="shared" si="9"/>
        <v>1596216.6666666667</v>
      </c>
      <c r="T15" s="14">
        <f t="shared" si="9"/>
        <v>1596216.6666666667</v>
      </c>
      <c r="U15" s="14">
        <f t="shared" si="9"/>
        <v>1596216.6666666667</v>
      </c>
      <c r="V15" s="14">
        <f t="shared" si="9"/>
        <v>1596216.6666666667</v>
      </c>
      <c r="W15" s="14">
        <f t="shared" si="9"/>
        <v>1596216.6666666667</v>
      </c>
      <c r="X15" s="14">
        <f t="shared" si="9"/>
        <v>1596216.6666666667</v>
      </c>
      <c r="Y15" s="14">
        <f t="shared" si="9"/>
        <v>1596216.6666666667</v>
      </c>
      <c r="Z15" s="14">
        <f t="shared" si="9"/>
        <v>1596216.6666666667</v>
      </c>
      <c r="AA15" s="14">
        <f t="shared" si="9"/>
        <v>1596216.6666666667</v>
      </c>
      <c r="AB15" s="14">
        <f t="shared" si="9"/>
        <v>1596216.6666666667</v>
      </c>
      <c r="AC15" s="14">
        <f t="shared" si="9"/>
        <v>1596216.6666666667</v>
      </c>
      <c r="AD15" s="14">
        <f t="shared" si="9"/>
        <v>1596216.6666666667</v>
      </c>
      <c r="AE15" s="14">
        <f t="shared" si="9"/>
        <v>1596216.6666666667</v>
      </c>
      <c r="AF15" s="14">
        <f t="shared" si="9"/>
        <v>1596216.6666666667</v>
      </c>
      <c r="AG15" s="14">
        <f t="shared" si="9"/>
        <v>1596216.6666666667</v>
      </c>
      <c r="AH15" s="14">
        <f t="shared" si="9"/>
        <v>1596216.6666666667</v>
      </c>
    </row>
    <row r="16" spans="1:34" x14ac:dyDescent="0.25">
      <c r="A16" s="13"/>
      <c r="B16" s="29"/>
      <c r="C16" s="12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30" customHeight="1" x14ac:dyDescent="0.25">
      <c r="A17" s="4" t="s">
        <v>21</v>
      </c>
      <c r="B17" s="11">
        <f>NPV(C58,E17:AH17)</f>
        <v>322905473.52028501</v>
      </c>
      <c r="C17" s="11">
        <f>+C18+C20+C19</f>
        <v>583340996.33749998</v>
      </c>
      <c r="D17" s="19"/>
      <c r="E17" s="11">
        <f t="shared" ref="E17:AH17" si="10">+SUM(E18:E20)</f>
        <v>0</v>
      </c>
      <c r="F17" s="11">
        <f t="shared" si="10"/>
        <v>0</v>
      </c>
      <c r="G17" s="11">
        <f>+SUM(G18:G20)</f>
        <v>7198044.0505952388</v>
      </c>
      <c r="H17" s="11">
        <f t="shared" si="10"/>
        <v>7198044.0505952388</v>
      </c>
      <c r="I17" s="11">
        <f t="shared" si="10"/>
        <v>7198044.0505952388</v>
      </c>
      <c r="J17" s="11">
        <f t="shared" si="10"/>
        <v>7198044.0505952388</v>
      </c>
      <c r="K17" s="11">
        <f t="shared" si="10"/>
        <v>7198044.0505952388</v>
      </c>
      <c r="L17" s="11">
        <f t="shared" si="10"/>
        <v>10163044.050595239</v>
      </c>
      <c r="M17" s="11">
        <f t="shared" si="10"/>
        <v>10163044.050595239</v>
      </c>
      <c r="N17" s="11">
        <f t="shared" si="10"/>
        <v>10163044.050595239</v>
      </c>
      <c r="O17" s="11">
        <f t="shared" si="10"/>
        <v>10163044.050595239</v>
      </c>
      <c r="P17" s="11">
        <f t="shared" si="10"/>
        <v>10163044.050595239</v>
      </c>
      <c r="Q17" s="11">
        <f t="shared" si="10"/>
        <v>14609044.050595239</v>
      </c>
      <c r="R17" s="11">
        <f t="shared" si="10"/>
        <v>14609044.050595239</v>
      </c>
      <c r="S17" s="11">
        <f t="shared" si="10"/>
        <v>14609044.050595239</v>
      </c>
      <c r="T17" s="11">
        <f t="shared" si="10"/>
        <v>14609044.050595239</v>
      </c>
      <c r="U17" s="11">
        <f t="shared" si="10"/>
        <v>14609044.050595239</v>
      </c>
      <c r="V17" s="11">
        <f t="shared" si="10"/>
        <v>21498994.050595239</v>
      </c>
      <c r="W17" s="11">
        <f t="shared" si="10"/>
        <v>21498994.050595239</v>
      </c>
      <c r="X17" s="11">
        <f t="shared" si="10"/>
        <v>21498994.050595239</v>
      </c>
      <c r="Y17" s="11">
        <f t="shared" si="10"/>
        <v>21498994.050595239</v>
      </c>
      <c r="Z17" s="11">
        <f t="shared" si="10"/>
        <v>21498994.050595239</v>
      </c>
      <c r="AA17" s="11">
        <f t="shared" si="10"/>
        <v>32499469.050595239</v>
      </c>
      <c r="AB17" s="11">
        <f t="shared" si="10"/>
        <v>32499469.050595239</v>
      </c>
      <c r="AC17" s="11">
        <f t="shared" si="10"/>
        <v>32499469.050595239</v>
      </c>
      <c r="AD17" s="11">
        <f t="shared" si="10"/>
        <v>32499469.050595239</v>
      </c>
      <c r="AE17" s="11">
        <f t="shared" si="10"/>
        <v>32499469.050595239</v>
      </c>
      <c r="AF17" s="11">
        <f t="shared" si="10"/>
        <v>50560252.800595239</v>
      </c>
      <c r="AG17" s="11">
        <f t="shared" si="10"/>
        <v>50560252.800595239</v>
      </c>
      <c r="AH17" s="11">
        <f t="shared" si="10"/>
        <v>50560252.800595239</v>
      </c>
    </row>
    <row r="18" spans="1:34" ht="30" customHeight="1" x14ac:dyDescent="0.25">
      <c r="A18" s="15" t="s">
        <v>22</v>
      </c>
      <c r="B18" s="14">
        <f>NPV($C$50,E18:AH18)</f>
        <v>280970693.34757519</v>
      </c>
      <c r="C18" s="47">
        <f>SUM(E18:AH18)</f>
        <v>545178501.25</v>
      </c>
      <c r="D18" s="19"/>
      <c r="E18" s="47">
        <v>0</v>
      </c>
      <c r="F18" s="47">
        <v>0</v>
      </c>
      <c r="G18" s="47">
        <f>5000000+900000</f>
        <v>5900000</v>
      </c>
      <c r="H18" s="47">
        <f>+G18</f>
        <v>5900000</v>
      </c>
      <c r="I18" s="47">
        <f t="shared" ref="I18:K18" si="11">+H18</f>
        <v>5900000</v>
      </c>
      <c r="J18" s="47">
        <f t="shared" si="11"/>
        <v>5900000</v>
      </c>
      <c r="K18" s="47">
        <f t="shared" si="11"/>
        <v>5900000</v>
      </c>
      <c r="L18" s="47">
        <f>+K18*(L4+1)+900000</f>
        <v>8865000</v>
      </c>
      <c r="M18" s="47">
        <f t="shared" ref="M18:P18" si="12">+L18*(M4+1)</f>
        <v>8865000</v>
      </c>
      <c r="N18" s="47">
        <f t="shared" si="12"/>
        <v>8865000</v>
      </c>
      <c r="O18" s="47">
        <f t="shared" si="12"/>
        <v>8865000</v>
      </c>
      <c r="P18" s="47">
        <f t="shared" si="12"/>
        <v>8865000</v>
      </c>
      <c r="Q18" s="47">
        <f>+P18*(Q4+1)+900000</f>
        <v>13311000</v>
      </c>
      <c r="R18" s="47">
        <f>+Q18</f>
        <v>13311000</v>
      </c>
      <c r="S18" s="47">
        <f t="shared" ref="S18:U18" si="13">+R18</f>
        <v>13311000</v>
      </c>
      <c r="T18" s="47">
        <f t="shared" si="13"/>
        <v>13311000</v>
      </c>
      <c r="U18" s="47">
        <f t="shared" si="13"/>
        <v>13311000</v>
      </c>
      <c r="V18" s="47">
        <f>+U18*(V4+1)+900000</f>
        <v>20200950</v>
      </c>
      <c r="W18" s="47">
        <f>+V18</f>
        <v>20200950</v>
      </c>
      <c r="X18" s="47">
        <f t="shared" ref="X18:Z18" si="14">+W18</f>
        <v>20200950</v>
      </c>
      <c r="Y18" s="47">
        <f t="shared" si="14"/>
        <v>20200950</v>
      </c>
      <c r="Z18" s="47">
        <f t="shared" si="14"/>
        <v>20200950</v>
      </c>
      <c r="AA18" s="47">
        <f>+Z18*(AA4+1)+900000</f>
        <v>31201425</v>
      </c>
      <c r="AB18" s="47">
        <f>+AA18</f>
        <v>31201425</v>
      </c>
      <c r="AC18" s="47">
        <f t="shared" ref="AC18:AE18" si="15">+AB18</f>
        <v>31201425</v>
      </c>
      <c r="AD18" s="47">
        <f t="shared" si="15"/>
        <v>31201425</v>
      </c>
      <c r="AE18" s="47">
        <f t="shared" si="15"/>
        <v>31201425</v>
      </c>
      <c r="AF18" s="47">
        <f>+AE18*(AF4+1)+900000</f>
        <v>49262208.75</v>
      </c>
      <c r="AG18" s="47">
        <f>+AF18</f>
        <v>49262208.75</v>
      </c>
      <c r="AH18" s="47">
        <f t="shared" ref="AH18" si="16">+AG18</f>
        <v>49262208.75</v>
      </c>
    </row>
    <row r="19" spans="1:34" ht="30" customHeight="1" x14ac:dyDescent="0.25">
      <c r="A19" s="15" t="s">
        <v>24</v>
      </c>
      <c r="B19" s="14">
        <f>NPV($C$50,E19:AH19)</f>
        <v>15528758.38529907</v>
      </c>
      <c r="C19" s="14">
        <f>+C18*5%</f>
        <v>27258925.0625</v>
      </c>
      <c r="D19" s="19"/>
      <c r="E19" s="14">
        <v>0</v>
      </c>
      <c r="F19" s="14">
        <v>0</v>
      </c>
      <c r="G19" s="14">
        <f t="shared" ref="G19:AH19" si="17">$C$19/$AH$6</f>
        <v>908630.8354166667</v>
      </c>
      <c r="H19" s="14">
        <f t="shared" si="17"/>
        <v>908630.8354166667</v>
      </c>
      <c r="I19" s="14">
        <f t="shared" si="17"/>
        <v>908630.8354166667</v>
      </c>
      <c r="J19" s="14">
        <f t="shared" si="17"/>
        <v>908630.8354166667</v>
      </c>
      <c r="K19" s="14">
        <f t="shared" si="17"/>
        <v>908630.8354166667</v>
      </c>
      <c r="L19" s="14">
        <f t="shared" si="17"/>
        <v>908630.8354166667</v>
      </c>
      <c r="M19" s="14">
        <f t="shared" si="17"/>
        <v>908630.8354166667</v>
      </c>
      <c r="N19" s="14">
        <f t="shared" si="17"/>
        <v>908630.8354166667</v>
      </c>
      <c r="O19" s="14">
        <f t="shared" si="17"/>
        <v>908630.8354166667</v>
      </c>
      <c r="P19" s="14">
        <f t="shared" si="17"/>
        <v>908630.8354166667</v>
      </c>
      <c r="Q19" s="14">
        <f t="shared" si="17"/>
        <v>908630.8354166667</v>
      </c>
      <c r="R19" s="14">
        <f t="shared" si="17"/>
        <v>908630.8354166667</v>
      </c>
      <c r="S19" s="14">
        <f t="shared" si="17"/>
        <v>908630.8354166667</v>
      </c>
      <c r="T19" s="14">
        <f t="shared" si="17"/>
        <v>908630.8354166667</v>
      </c>
      <c r="U19" s="14">
        <f t="shared" si="17"/>
        <v>908630.8354166667</v>
      </c>
      <c r="V19" s="14">
        <f t="shared" si="17"/>
        <v>908630.8354166667</v>
      </c>
      <c r="W19" s="14">
        <f t="shared" si="17"/>
        <v>908630.8354166667</v>
      </c>
      <c r="X19" s="14">
        <f t="shared" si="17"/>
        <v>908630.8354166667</v>
      </c>
      <c r="Y19" s="14">
        <f t="shared" si="17"/>
        <v>908630.8354166667</v>
      </c>
      <c r="Z19" s="14">
        <f t="shared" si="17"/>
        <v>908630.8354166667</v>
      </c>
      <c r="AA19" s="14">
        <f t="shared" si="17"/>
        <v>908630.8354166667</v>
      </c>
      <c r="AB19" s="14">
        <f t="shared" si="17"/>
        <v>908630.8354166667</v>
      </c>
      <c r="AC19" s="14">
        <f t="shared" si="17"/>
        <v>908630.8354166667</v>
      </c>
      <c r="AD19" s="14">
        <f t="shared" si="17"/>
        <v>908630.8354166667</v>
      </c>
      <c r="AE19" s="14">
        <f t="shared" si="17"/>
        <v>908630.8354166667</v>
      </c>
      <c r="AF19" s="14">
        <f t="shared" si="17"/>
        <v>908630.8354166667</v>
      </c>
      <c r="AG19" s="14">
        <f t="shared" si="17"/>
        <v>908630.8354166667</v>
      </c>
      <c r="AH19" s="14">
        <f t="shared" si="17"/>
        <v>908630.8354166667</v>
      </c>
    </row>
    <row r="20" spans="1:34" ht="30" customHeight="1" x14ac:dyDescent="0.25">
      <c r="A20" s="15" t="s">
        <v>19</v>
      </c>
      <c r="B20" s="14">
        <f>NPV($C$50,E20:AH20)</f>
        <v>6655182.1651281724</v>
      </c>
      <c r="C20" s="14">
        <f>+C18*2%</f>
        <v>10903570.025</v>
      </c>
      <c r="D20" s="19"/>
      <c r="E20" s="14">
        <v>0</v>
      </c>
      <c r="F20" s="14">
        <v>0</v>
      </c>
      <c r="G20" s="14">
        <f>+$C$20/28</f>
        <v>389413.21517857147</v>
      </c>
      <c r="H20" s="14">
        <f t="shared" ref="H20:AH20" si="18">+$C$20/28</f>
        <v>389413.21517857147</v>
      </c>
      <c r="I20" s="14">
        <f t="shared" si="18"/>
        <v>389413.21517857147</v>
      </c>
      <c r="J20" s="14">
        <f t="shared" si="18"/>
        <v>389413.21517857147</v>
      </c>
      <c r="K20" s="14">
        <f t="shared" si="18"/>
        <v>389413.21517857147</v>
      </c>
      <c r="L20" s="14">
        <f t="shared" si="18"/>
        <v>389413.21517857147</v>
      </c>
      <c r="M20" s="14">
        <f t="shared" si="18"/>
        <v>389413.21517857147</v>
      </c>
      <c r="N20" s="14">
        <f t="shared" si="18"/>
        <v>389413.21517857147</v>
      </c>
      <c r="O20" s="14">
        <f t="shared" si="18"/>
        <v>389413.21517857147</v>
      </c>
      <c r="P20" s="14">
        <f t="shared" si="18"/>
        <v>389413.21517857147</v>
      </c>
      <c r="Q20" s="14">
        <f t="shared" si="18"/>
        <v>389413.21517857147</v>
      </c>
      <c r="R20" s="14">
        <f t="shared" si="18"/>
        <v>389413.21517857147</v>
      </c>
      <c r="S20" s="14">
        <f t="shared" si="18"/>
        <v>389413.21517857147</v>
      </c>
      <c r="T20" s="14">
        <f t="shared" si="18"/>
        <v>389413.21517857147</v>
      </c>
      <c r="U20" s="14">
        <f t="shared" si="18"/>
        <v>389413.21517857147</v>
      </c>
      <c r="V20" s="14">
        <f t="shared" si="18"/>
        <v>389413.21517857147</v>
      </c>
      <c r="W20" s="14">
        <f t="shared" si="18"/>
        <v>389413.21517857147</v>
      </c>
      <c r="X20" s="14">
        <f t="shared" si="18"/>
        <v>389413.21517857147</v>
      </c>
      <c r="Y20" s="14">
        <f t="shared" si="18"/>
        <v>389413.21517857147</v>
      </c>
      <c r="Z20" s="14">
        <f t="shared" si="18"/>
        <v>389413.21517857147</v>
      </c>
      <c r="AA20" s="14">
        <f t="shared" si="18"/>
        <v>389413.21517857147</v>
      </c>
      <c r="AB20" s="14">
        <f t="shared" si="18"/>
        <v>389413.21517857147</v>
      </c>
      <c r="AC20" s="14">
        <f t="shared" si="18"/>
        <v>389413.21517857147</v>
      </c>
      <c r="AD20" s="14">
        <f t="shared" si="18"/>
        <v>389413.21517857147</v>
      </c>
      <c r="AE20" s="14">
        <f t="shared" si="18"/>
        <v>389413.21517857147</v>
      </c>
      <c r="AF20" s="14">
        <f t="shared" si="18"/>
        <v>389413.21517857147</v>
      </c>
      <c r="AG20" s="14">
        <f t="shared" si="18"/>
        <v>389413.21517857147</v>
      </c>
      <c r="AH20" s="14">
        <f t="shared" si="18"/>
        <v>389413.21517857147</v>
      </c>
    </row>
    <row r="21" spans="1:34" x14ac:dyDescent="0.25">
      <c r="A21" s="13"/>
      <c r="B21" s="29"/>
      <c r="C21" s="20"/>
      <c r="D21" s="19"/>
      <c r="E21" s="22"/>
      <c r="F21" s="16"/>
      <c r="G21" s="16"/>
      <c r="H21" s="16"/>
      <c r="I21" s="16"/>
      <c r="J21" s="16"/>
      <c r="K21" s="16"/>
      <c r="L21" s="16"/>
      <c r="M21" s="16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ht="30" customHeight="1" x14ac:dyDescent="0.25">
      <c r="A22" s="4" t="s">
        <v>25</v>
      </c>
      <c r="B22" s="11">
        <f>+B36</f>
        <v>959695871.36999977</v>
      </c>
      <c r="C22" s="11">
        <f>+C36</f>
        <v>1467523582.2798002</v>
      </c>
      <c r="D22" s="19"/>
      <c r="E22" s="11">
        <f>+E36</f>
        <v>45506021.595590703</v>
      </c>
      <c r="F22" s="11">
        <f t="shared" ref="F22:AH22" si="19">+F36</f>
        <v>45688199.840786636</v>
      </c>
      <c r="G22" s="11">
        <f t="shared" si="19"/>
        <v>45916640.839990571</v>
      </c>
      <c r="H22" s="11">
        <f t="shared" si="19"/>
        <v>46146224.044190526</v>
      </c>
      <c r="I22" s="11">
        <f t="shared" si="19"/>
        <v>46376955.16441147</v>
      </c>
      <c r="J22" s="11">
        <f t="shared" si="19"/>
        <v>46608839.940233529</v>
      </c>
      <c r="K22" s="11">
        <f t="shared" si="19"/>
        <v>46841884.139934704</v>
      </c>
      <c r="L22" s="11">
        <f t="shared" si="19"/>
        <v>47076093.560634375</v>
      </c>
      <c r="M22" s="11">
        <f t="shared" si="19"/>
        <v>47311474.02843754</v>
      </c>
      <c r="N22" s="11">
        <f t="shared" si="19"/>
        <v>47548031.398579732</v>
      </c>
      <c r="O22" s="11">
        <f t="shared" si="19"/>
        <v>47785771.555572629</v>
      </c>
      <c r="P22" s="11">
        <f t="shared" si="19"/>
        <v>48024700.413350493</v>
      </c>
      <c r="Q22" s="11">
        <f t="shared" si="19"/>
        <v>48264823.915417239</v>
      </c>
      <c r="R22" s="11">
        <f t="shared" si="19"/>
        <v>48506148.034994327</v>
      </c>
      <c r="S22" s="11">
        <f t="shared" si="19"/>
        <v>48748678.775169298</v>
      </c>
      <c r="T22" s="11">
        <f t="shared" si="19"/>
        <v>48992422.16904515</v>
      </c>
      <c r="U22" s="11">
        <f t="shared" si="19"/>
        <v>49237384.279890373</v>
      </c>
      <c r="V22" s="11">
        <f t="shared" si="19"/>
        <v>49483571.201289818</v>
      </c>
      <c r="W22" s="11">
        <f t="shared" si="19"/>
        <v>49730989.057296261</v>
      </c>
      <c r="X22" s="11">
        <f t="shared" si="19"/>
        <v>49979644.002582744</v>
      </c>
      <c r="Y22" s="11">
        <f t="shared" si="19"/>
        <v>50229542.222595662</v>
      </c>
      <c r="Z22" s="11">
        <f t="shared" si="19"/>
        <v>50480689.933708638</v>
      </c>
      <c r="AA22" s="11">
        <f t="shared" si="19"/>
        <v>50733093.38337718</v>
      </c>
      <c r="AB22" s="11">
        <f t="shared" si="19"/>
        <v>50986758.850294068</v>
      </c>
      <c r="AC22" s="11">
        <f t="shared" si="19"/>
        <v>51241692.64454554</v>
      </c>
      <c r="AD22" s="11">
        <f t="shared" si="19"/>
        <v>51497901.107768267</v>
      </c>
      <c r="AE22" s="11">
        <f t="shared" si="19"/>
        <v>51755390.613307104</v>
      </c>
      <c r="AF22" s="11">
        <f t="shared" si="19"/>
        <v>52014167.566373646</v>
      </c>
      <c r="AG22" s="11">
        <f t="shared" si="19"/>
        <v>52274238.404205516</v>
      </c>
      <c r="AH22" s="11">
        <f t="shared" si="19"/>
        <v>52535609.596226536</v>
      </c>
    </row>
    <row r="23" spans="1:34" ht="30" customHeight="1" x14ac:dyDescent="0.25">
      <c r="A23" s="15" t="s">
        <v>26</v>
      </c>
      <c r="B23" s="97">
        <f>+AH23</f>
        <v>665949.11877613713</v>
      </c>
      <c r="C23" s="98"/>
      <c r="D23" s="19"/>
      <c r="E23" s="14">
        <v>576269</v>
      </c>
      <c r="F23" s="14">
        <f>+(E23*0.5%)+E23</f>
        <v>579150.34499999997</v>
      </c>
      <c r="G23" s="14">
        <f t="shared" ref="G23:AH24" si="20">+(F23*0.5%)+F23</f>
        <v>582046.09672499995</v>
      </c>
      <c r="H23" s="14">
        <f t="shared" si="20"/>
        <v>584956.32720862492</v>
      </c>
      <c r="I23" s="14">
        <f t="shared" si="20"/>
        <v>587881.10884466802</v>
      </c>
      <c r="J23" s="14">
        <f t="shared" si="20"/>
        <v>590820.5143888914</v>
      </c>
      <c r="K23" s="14">
        <f t="shared" si="20"/>
        <v>593774.61696083588</v>
      </c>
      <c r="L23" s="14">
        <f t="shared" si="20"/>
        <v>596743.49004564004</v>
      </c>
      <c r="M23" s="14">
        <f t="shared" si="20"/>
        <v>599727.20749586821</v>
      </c>
      <c r="N23" s="14">
        <f t="shared" si="20"/>
        <v>602725.84353334759</v>
      </c>
      <c r="O23" s="14">
        <f t="shared" si="20"/>
        <v>605739.47275101428</v>
      </c>
      <c r="P23" s="14">
        <f t="shared" si="20"/>
        <v>608768.17011476937</v>
      </c>
      <c r="Q23" s="14">
        <f t="shared" si="20"/>
        <v>611812.01096534322</v>
      </c>
      <c r="R23" s="14">
        <f t="shared" si="20"/>
        <v>614871.07102016988</v>
      </c>
      <c r="S23" s="14">
        <f t="shared" si="20"/>
        <v>617945.4263752707</v>
      </c>
      <c r="T23" s="14">
        <f t="shared" si="20"/>
        <v>621035.1535071471</v>
      </c>
      <c r="U23" s="14">
        <f t="shared" si="20"/>
        <v>624140.32927468279</v>
      </c>
      <c r="V23" s="14">
        <f t="shared" si="20"/>
        <v>627261.03092105617</v>
      </c>
      <c r="W23" s="14">
        <f t="shared" si="20"/>
        <v>630397.33607566147</v>
      </c>
      <c r="X23" s="14">
        <f t="shared" si="20"/>
        <v>633549.32275603979</v>
      </c>
      <c r="Y23" s="14">
        <f t="shared" si="20"/>
        <v>636717.06936981995</v>
      </c>
      <c r="Z23" s="14">
        <f t="shared" si="20"/>
        <v>639900.654716669</v>
      </c>
      <c r="AA23" s="14">
        <f t="shared" si="20"/>
        <v>643100.15799025237</v>
      </c>
      <c r="AB23" s="14">
        <f t="shared" si="20"/>
        <v>646315.65878020367</v>
      </c>
      <c r="AC23" s="14">
        <f t="shared" si="20"/>
        <v>649547.23707410472</v>
      </c>
      <c r="AD23" s="14">
        <f t="shared" si="20"/>
        <v>652794.9732594752</v>
      </c>
      <c r="AE23" s="14">
        <f t="shared" si="20"/>
        <v>656058.94812577253</v>
      </c>
      <c r="AF23" s="14">
        <f t="shared" si="20"/>
        <v>659339.24286640144</v>
      </c>
      <c r="AG23" s="14">
        <f t="shared" si="20"/>
        <v>662635.93908073346</v>
      </c>
      <c r="AH23" s="14">
        <f t="shared" si="20"/>
        <v>665949.11877613713</v>
      </c>
    </row>
    <row r="24" spans="1:34" ht="30" customHeight="1" x14ac:dyDescent="0.25">
      <c r="A24" s="15" t="s">
        <v>27</v>
      </c>
      <c r="B24" s="97">
        <f>+AH24</f>
        <v>73367.324062786603</v>
      </c>
      <c r="C24" s="98"/>
      <c r="D24" s="19"/>
      <c r="E24" s="14">
        <v>63741</v>
      </c>
      <c r="F24" s="14">
        <f>+(E24*0.1%)+E24</f>
        <v>63804.741000000002</v>
      </c>
      <c r="G24" s="14">
        <f t="shared" si="20"/>
        <v>64123.764705000001</v>
      </c>
      <c r="H24" s="14">
        <f t="shared" si="20"/>
        <v>64444.383528525002</v>
      </c>
      <c r="I24" s="14">
        <f t="shared" si="20"/>
        <v>64766.605446167625</v>
      </c>
      <c r="J24" s="14">
        <f t="shared" si="20"/>
        <v>65090.438473398463</v>
      </c>
      <c r="K24" s="14">
        <f t="shared" si="20"/>
        <v>65415.890665765452</v>
      </c>
      <c r="L24" s="14">
        <f t="shared" si="20"/>
        <v>65742.970119094272</v>
      </c>
      <c r="M24" s="14">
        <f t="shared" si="20"/>
        <v>66071.684969689741</v>
      </c>
      <c r="N24" s="14">
        <f t="shared" si="20"/>
        <v>66402.043394538196</v>
      </c>
      <c r="O24" s="14">
        <f t="shared" si="20"/>
        <v>66734.053611510884</v>
      </c>
      <c r="P24" s="14">
        <f t="shared" si="20"/>
        <v>67067.723879568439</v>
      </c>
      <c r="Q24" s="14">
        <f t="shared" si="20"/>
        <v>67403.062498966276</v>
      </c>
      <c r="R24" s="14">
        <f t="shared" si="20"/>
        <v>67740.077811461102</v>
      </c>
      <c r="S24" s="14">
        <f t="shared" si="20"/>
        <v>68078.778200518413</v>
      </c>
      <c r="T24" s="14">
        <f t="shared" si="20"/>
        <v>68419.172091521003</v>
      </c>
      <c r="U24" s="14">
        <f t="shared" si="20"/>
        <v>68761.267951978603</v>
      </c>
      <c r="V24" s="14">
        <f t="shared" si="20"/>
        <v>69105.074291738492</v>
      </c>
      <c r="W24" s="14">
        <f t="shared" si="20"/>
        <v>69450.599663197179</v>
      </c>
      <c r="X24" s="14">
        <f t="shared" si="20"/>
        <v>69797.85266151317</v>
      </c>
      <c r="Y24" s="14">
        <f t="shared" si="20"/>
        <v>70146.841924820736</v>
      </c>
      <c r="Z24" s="14">
        <f t="shared" si="20"/>
        <v>70497.57613444484</v>
      </c>
      <c r="AA24" s="14">
        <f t="shared" si="20"/>
        <v>70850.064015117066</v>
      </c>
      <c r="AB24" s="14">
        <f t="shared" si="20"/>
        <v>71204.314335192656</v>
      </c>
      <c r="AC24" s="14">
        <f t="shared" si="20"/>
        <v>71560.335906868626</v>
      </c>
      <c r="AD24" s="14">
        <f t="shared" si="20"/>
        <v>71918.137586402969</v>
      </c>
      <c r="AE24" s="14">
        <f t="shared" si="20"/>
        <v>72277.728274334979</v>
      </c>
      <c r="AF24" s="14">
        <f t="shared" si="20"/>
        <v>72639.116915706647</v>
      </c>
      <c r="AG24" s="14">
        <f t="shared" si="20"/>
        <v>73002.312500285174</v>
      </c>
      <c r="AH24" s="14">
        <f t="shared" si="20"/>
        <v>73367.324062786603</v>
      </c>
    </row>
    <row r="25" spans="1:34" ht="30" customHeight="1" x14ac:dyDescent="0.25">
      <c r="A25" s="15" t="s">
        <v>37</v>
      </c>
      <c r="B25" s="97">
        <f>+AH25</f>
        <v>739316.44283892377</v>
      </c>
      <c r="C25" s="98"/>
      <c r="D25" s="19"/>
      <c r="E25" s="14">
        <f>SUM(E23:E24)</f>
        <v>640010</v>
      </c>
      <c r="F25" s="14">
        <f t="shared" ref="F25:AH25" si="21">SUM(F23:F24)</f>
        <v>642955.08600000001</v>
      </c>
      <c r="G25" s="14">
        <f t="shared" si="21"/>
        <v>646169.86142999993</v>
      </c>
      <c r="H25" s="14">
        <f t="shared" si="21"/>
        <v>649400.71073714993</v>
      </c>
      <c r="I25" s="14">
        <f t="shared" si="21"/>
        <v>652647.71429083566</v>
      </c>
      <c r="J25" s="14">
        <f t="shared" si="21"/>
        <v>655910.95286228985</v>
      </c>
      <c r="K25" s="14">
        <f t="shared" si="21"/>
        <v>659190.50762660138</v>
      </c>
      <c r="L25" s="14">
        <f t="shared" si="21"/>
        <v>662486.46016473428</v>
      </c>
      <c r="M25" s="14">
        <f t="shared" si="21"/>
        <v>665798.8924655579</v>
      </c>
      <c r="N25" s="14">
        <f t="shared" si="21"/>
        <v>669127.88692788582</v>
      </c>
      <c r="O25" s="14">
        <f t="shared" si="21"/>
        <v>672473.52636252518</v>
      </c>
      <c r="P25" s="14">
        <f t="shared" si="21"/>
        <v>675835.89399433776</v>
      </c>
      <c r="Q25" s="14">
        <f t="shared" si="21"/>
        <v>679215.07346430945</v>
      </c>
      <c r="R25" s="14">
        <f t="shared" si="21"/>
        <v>682611.14883163094</v>
      </c>
      <c r="S25" s="14">
        <f t="shared" si="21"/>
        <v>686024.20457578916</v>
      </c>
      <c r="T25" s="14">
        <f t="shared" si="21"/>
        <v>689454.32559866807</v>
      </c>
      <c r="U25" s="14">
        <f t="shared" si="21"/>
        <v>692901.5972266614</v>
      </c>
      <c r="V25" s="14">
        <f t="shared" si="21"/>
        <v>696366.10521279462</v>
      </c>
      <c r="W25" s="14">
        <f t="shared" si="21"/>
        <v>699847.93573885865</v>
      </c>
      <c r="X25" s="14">
        <f t="shared" si="21"/>
        <v>703347.17541755293</v>
      </c>
      <c r="Y25" s="14">
        <f t="shared" si="21"/>
        <v>706863.91129464074</v>
      </c>
      <c r="Z25" s="14">
        <f t="shared" si="21"/>
        <v>710398.2308511138</v>
      </c>
      <c r="AA25" s="14">
        <f t="shared" si="21"/>
        <v>713950.22200536937</v>
      </c>
      <c r="AB25" s="14">
        <f t="shared" si="21"/>
        <v>717519.97311539634</v>
      </c>
      <c r="AC25" s="14">
        <f t="shared" si="21"/>
        <v>721107.5729809734</v>
      </c>
      <c r="AD25" s="14">
        <f t="shared" si="21"/>
        <v>724713.11084587814</v>
      </c>
      <c r="AE25" s="14">
        <f t="shared" si="21"/>
        <v>728336.67640010756</v>
      </c>
      <c r="AF25" s="14">
        <f t="shared" si="21"/>
        <v>731978.35978210811</v>
      </c>
      <c r="AG25" s="14">
        <f t="shared" si="21"/>
        <v>735638.25158101867</v>
      </c>
      <c r="AH25" s="14">
        <f t="shared" si="21"/>
        <v>739316.44283892377</v>
      </c>
    </row>
    <row r="26" spans="1:34" ht="30" customHeight="1" x14ac:dyDescent="0.25">
      <c r="A26" s="15" t="s">
        <v>44</v>
      </c>
      <c r="B26" s="99">
        <f>+AH26</f>
        <v>59.291851375116224</v>
      </c>
      <c r="C26" s="100"/>
      <c r="D26" s="19"/>
      <c r="E26" s="33">
        <v>59.291851375116224</v>
      </c>
      <c r="F26" s="30">
        <f>+E26</f>
        <v>59.291851375116224</v>
      </c>
      <c r="G26" s="30">
        <f t="shared" ref="G26:AH26" si="22">+F26</f>
        <v>59.291851375116224</v>
      </c>
      <c r="H26" s="30">
        <f t="shared" si="22"/>
        <v>59.291851375116224</v>
      </c>
      <c r="I26" s="30">
        <f t="shared" si="22"/>
        <v>59.291851375116224</v>
      </c>
      <c r="J26" s="30">
        <f t="shared" si="22"/>
        <v>59.291851375116224</v>
      </c>
      <c r="K26" s="30">
        <f t="shared" si="22"/>
        <v>59.291851375116224</v>
      </c>
      <c r="L26" s="30">
        <f t="shared" si="22"/>
        <v>59.291851375116224</v>
      </c>
      <c r="M26" s="30">
        <f t="shared" si="22"/>
        <v>59.291851375116224</v>
      </c>
      <c r="N26" s="30">
        <f t="shared" si="22"/>
        <v>59.291851375116224</v>
      </c>
      <c r="O26" s="30">
        <f t="shared" si="22"/>
        <v>59.291851375116224</v>
      </c>
      <c r="P26" s="30">
        <f t="shared" si="22"/>
        <v>59.291851375116224</v>
      </c>
      <c r="Q26" s="30">
        <f t="shared" si="22"/>
        <v>59.291851375116224</v>
      </c>
      <c r="R26" s="30">
        <f t="shared" si="22"/>
        <v>59.291851375116224</v>
      </c>
      <c r="S26" s="30">
        <f t="shared" si="22"/>
        <v>59.291851375116224</v>
      </c>
      <c r="T26" s="30">
        <f t="shared" si="22"/>
        <v>59.291851375116224</v>
      </c>
      <c r="U26" s="30">
        <f t="shared" si="22"/>
        <v>59.291851375116224</v>
      </c>
      <c r="V26" s="30">
        <f t="shared" si="22"/>
        <v>59.291851375116224</v>
      </c>
      <c r="W26" s="30">
        <f t="shared" si="22"/>
        <v>59.291851375116224</v>
      </c>
      <c r="X26" s="30">
        <f t="shared" si="22"/>
        <v>59.291851375116224</v>
      </c>
      <c r="Y26" s="30">
        <f t="shared" si="22"/>
        <v>59.291851375116224</v>
      </c>
      <c r="Z26" s="30">
        <f t="shared" si="22"/>
        <v>59.291851375116224</v>
      </c>
      <c r="AA26" s="30">
        <f t="shared" si="22"/>
        <v>59.291851375116224</v>
      </c>
      <c r="AB26" s="30">
        <f t="shared" si="22"/>
        <v>59.291851375116224</v>
      </c>
      <c r="AC26" s="30">
        <f t="shared" si="22"/>
        <v>59.291851375116224</v>
      </c>
      <c r="AD26" s="30">
        <f t="shared" si="22"/>
        <v>59.291851375116224</v>
      </c>
      <c r="AE26" s="30">
        <f t="shared" si="22"/>
        <v>59.291851375116224</v>
      </c>
      <c r="AF26" s="30">
        <f t="shared" si="22"/>
        <v>59.291851375116224</v>
      </c>
      <c r="AG26" s="30">
        <f t="shared" si="22"/>
        <v>59.291851375116224</v>
      </c>
      <c r="AH26" s="30">
        <f t="shared" si="22"/>
        <v>59.291851375116224</v>
      </c>
    </row>
    <row r="27" spans="1:34" ht="30" customHeight="1" x14ac:dyDescent="0.25">
      <c r="A27" s="15" t="s">
        <v>45</v>
      </c>
      <c r="B27" s="99">
        <f>+AH27</f>
        <v>177.87555412534869</v>
      </c>
      <c r="C27" s="100"/>
      <c r="D27" s="19"/>
      <c r="E27" s="30">
        <f>E26*3</f>
        <v>177.87555412534869</v>
      </c>
      <c r="F27" s="30">
        <f>+E27</f>
        <v>177.87555412534869</v>
      </c>
      <c r="G27" s="30">
        <f t="shared" ref="G27" si="23">+F27</f>
        <v>177.87555412534869</v>
      </c>
      <c r="H27" s="30">
        <f t="shared" ref="H27" si="24">+G27</f>
        <v>177.87555412534869</v>
      </c>
      <c r="I27" s="30">
        <f t="shared" ref="I27" si="25">+H27</f>
        <v>177.87555412534869</v>
      </c>
      <c r="J27" s="30">
        <f t="shared" ref="J27" si="26">+I27</f>
        <v>177.87555412534869</v>
      </c>
      <c r="K27" s="30">
        <f t="shared" ref="K27" si="27">+J27</f>
        <v>177.87555412534869</v>
      </c>
      <c r="L27" s="30">
        <f t="shared" ref="L27" si="28">+K27</f>
        <v>177.87555412534869</v>
      </c>
      <c r="M27" s="30">
        <f t="shared" ref="M27" si="29">+L27</f>
        <v>177.87555412534869</v>
      </c>
      <c r="N27" s="30">
        <f t="shared" ref="N27" si="30">+M27</f>
        <v>177.87555412534869</v>
      </c>
      <c r="O27" s="30">
        <f t="shared" ref="O27" si="31">+N27</f>
        <v>177.87555412534869</v>
      </c>
      <c r="P27" s="30">
        <f t="shared" ref="P27" si="32">+O27</f>
        <v>177.87555412534869</v>
      </c>
      <c r="Q27" s="30">
        <f t="shared" ref="Q27" si="33">+P27</f>
        <v>177.87555412534869</v>
      </c>
      <c r="R27" s="30">
        <f t="shared" ref="R27" si="34">+Q27</f>
        <v>177.87555412534869</v>
      </c>
      <c r="S27" s="30">
        <f t="shared" ref="S27" si="35">+R27</f>
        <v>177.87555412534869</v>
      </c>
      <c r="T27" s="30">
        <f t="shared" ref="T27" si="36">+S27</f>
        <v>177.87555412534869</v>
      </c>
      <c r="U27" s="30">
        <f t="shared" ref="U27" si="37">+T27</f>
        <v>177.87555412534869</v>
      </c>
      <c r="V27" s="30">
        <f t="shared" ref="V27" si="38">+U27</f>
        <v>177.87555412534869</v>
      </c>
      <c r="W27" s="30">
        <f t="shared" ref="W27" si="39">+V27</f>
        <v>177.87555412534869</v>
      </c>
      <c r="X27" s="30">
        <f t="shared" ref="X27" si="40">+W27</f>
        <v>177.87555412534869</v>
      </c>
      <c r="Y27" s="30">
        <f t="shared" ref="Y27" si="41">+X27</f>
        <v>177.87555412534869</v>
      </c>
      <c r="Z27" s="30">
        <f t="shared" ref="Z27" si="42">+Y27</f>
        <v>177.87555412534869</v>
      </c>
      <c r="AA27" s="30">
        <f t="shared" ref="AA27" si="43">+Z27</f>
        <v>177.87555412534869</v>
      </c>
      <c r="AB27" s="30">
        <f t="shared" ref="AB27" si="44">+AA27</f>
        <v>177.87555412534869</v>
      </c>
      <c r="AC27" s="30">
        <f t="shared" ref="AC27" si="45">+AB27</f>
        <v>177.87555412534869</v>
      </c>
      <c r="AD27" s="30">
        <f t="shared" ref="AD27" si="46">+AC27</f>
        <v>177.87555412534869</v>
      </c>
      <c r="AE27" s="30">
        <f t="shared" ref="AE27" si="47">+AD27</f>
        <v>177.87555412534869</v>
      </c>
      <c r="AF27" s="30">
        <f t="shared" ref="AF27" si="48">+AE27</f>
        <v>177.87555412534869</v>
      </c>
      <c r="AG27" s="30">
        <f t="shared" ref="AG27" si="49">+AF27</f>
        <v>177.87555412534869</v>
      </c>
      <c r="AH27" s="30">
        <f t="shared" ref="AH27" si="50">+AG27</f>
        <v>177.87555412534869</v>
      </c>
    </row>
    <row r="28" spans="1:34" ht="30" customHeight="1" x14ac:dyDescent="0.25">
      <c r="A28" s="15" t="s">
        <v>38</v>
      </c>
      <c r="B28" s="14">
        <f>NPV(C57,E28:AH28)</f>
        <v>721267006.65076864</v>
      </c>
      <c r="C28" s="14">
        <f t="shared" ref="C28:C35" si="51">SUM(E28:AH28)</f>
        <v>1102945410.9293652</v>
      </c>
      <c r="D28" s="19"/>
      <c r="E28" s="14">
        <f t="shared" ref="E28:AH28" si="52">+E23*E26</f>
        <v>34168055.90008685</v>
      </c>
      <c r="F28" s="14">
        <f t="shared" si="52"/>
        <v>34338896.179587282</v>
      </c>
      <c r="G28" s="14">
        <f t="shared" si="52"/>
        <v>34510590.660485215</v>
      </c>
      <c r="H28" s="14">
        <f t="shared" si="52"/>
        <v>34683143.613787644</v>
      </c>
      <c r="I28" s="14">
        <f t="shared" si="52"/>
        <v>34856559.331856579</v>
      </c>
      <c r="J28" s="14">
        <f t="shared" si="52"/>
        <v>35030842.128515862</v>
      </c>
      <c r="K28" s="14">
        <f t="shared" si="52"/>
        <v>35205996.339158446</v>
      </c>
      <c r="L28" s="14">
        <f t="shared" si="52"/>
        <v>35382026.320854239</v>
      </c>
      <c r="M28" s="14">
        <f t="shared" si="52"/>
        <v>35558936.452458508</v>
      </c>
      <c r="N28" s="14">
        <f t="shared" si="52"/>
        <v>35736731.134720802</v>
      </c>
      <c r="O28" s="14">
        <f t="shared" si="52"/>
        <v>35915414.790394403</v>
      </c>
      <c r="P28" s="14">
        <f t="shared" si="52"/>
        <v>36094991.864346378</v>
      </c>
      <c r="Q28" s="14">
        <f t="shared" si="52"/>
        <v>36275466.823668107</v>
      </c>
      <c r="R28" s="14">
        <f t="shared" si="52"/>
        <v>36456844.157786444</v>
      </c>
      <c r="S28" s="14">
        <f t="shared" si="52"/>
        <v>36639128.378575377</v>
      </c>
      <c r="T28" s="14">
        <f t="shared" si="52"/>
        <v>36822324.020468257</v>
      </c>
      <c r="U28" s="14">
        <f t="shared" si="52"/>
        <v>37006435.640570596</v>
      </c>
      <c r="V28" s="14">
        <f t="shared" si="52"/>
        <v>37191467.818773441</v>
      </c>
      <c r="W28" s="14">
        <f t="shared" si="52"/>
        <v>37377425.157867312</v>
      </c>
      <c r="X28" s="14">
        <f t="shared" si="52"/>
        <v>37564312.283656649</v>
      </c>
      <c r="Y28" s="14">
        <f t="shared" si="52"/>
        <v>37752133.845074929</v>
      </c>
      <c r="Z28" s="14">
        <f t="shared" si="52"/>
        <v>37940894.514300302</v>
      </c>
      <c r="AA28" s="14">
        <f t="shared" si="52"/>
        <v>38130598.986871809</v>
      </c>
      <c r="AB28" s="14">
        <f t="shared" si="52"/>
        <v>38321251.981806166</v>
      </c>
      <c r="AC28" s="14">
        <f t="shared" si="52"/>
        <v>38512858.2417152</v>
      </c>
      <c r="AD28" s="14">
        <f t="shared" si="52"/>
        <v>38705422.532923773</v>
      </c>
      <c r="AE28" s="14">
        <f t="shared" si="52"/>
        <v>38898949.645588391</v>
      </c>
      <c r="AF28" s="14">
        <f t="shared" si="52"/>
        <v>39093444.393816337</v>
      </c>
      <c r="AG28" s="14">
        <f t="shared" si="52"/>
        <v>39288911.61578542</v>
      </c>
      <c r="AH28" s="14">
        <f t="shared" si="52"/>
        <v>39485356.173864342</v>
      </c>
    </row>
    <row r="29" spans="1:34" ht="30" customHeight="1" x14ac:dyDescent="0.25">
      <c r="A29" s="15" t="s">
        <v>39</v>
      </c>
      <c r="B29" s="14">
        <f>NPV(C57,E29:AH29)</f>
        <v>238428864.71923071</v>
      </c>
      <c r="C29" s="14">
        <f t="shared" si="51"/>
        <v>364578171.3504352</v>
      </c>
      <c r="D29" s="19"/>
      <c r="E29" s="14">
        <f t="shared" ref="E29:AH29" si="53">+E24*E27</f>
        <v>11337965.695503851</v>
      </c>
      <c r="F29" s="14">
        <f t="shared" si="53"/>
        <v>11349303.661199355</v>
      </c>
      <c r="G29" s="14">
        <f t="shared" si="53"/>
        <v>11406050.179505352</v>
      </c>
      <c r="H29" s="14">
        <f t="shared" si="53"/>
        <v>11463080.430402879</v>
      </c>
      <c r="I29" s="14">
        <f t="shared" si="53"/>
        <v>11520395.832554892</v>
      </c>
      <c r="J29" s="14">
        <f t="shared" si="53"/>
        <v>11577997.811717667</v>
      </c>
      <c r="K29" s="14">
        <f t="shared" si="53"/>
        <v>11635887.800776254</v>
      </c>
      <c r="L29" s="14">
        <f t="shared" si="53"/>
        <v>11694067.239780135</v>
      </c>
      <c r="M29" s="14">
        <f t="shared" si="53"/>
        <v>11752537.575979035</v>
      </c>
      <c r="N29" s="14">
        <f t="shared" si="53"/>
        <v>11811300.263858931</v>
      </c>
      <c r="O29" s="14">
        <f t="shared" si="53"/>
        <v>11870356.765178226</v>
      </c>
      <c r="P29" s="14">
        <f t="shared" si="53"/>
        <v>11929708.549004117</v>
      </c>
      <c r="Q29" s="14">
        <f t="shared" si="53"/>
        <v>11989357.091749135</v>
      </c>
      <c r="R29" s="14">
        <f t="shared" si="53"/>
        <v>12049303.877207881</v>
      </c>
      <c r="S29" s="14">
        <f t="shared" si="53"/>
        <v>12109550.396593921</v>
      </c>
      <c r="T29" s="14">
        <f t="shared" si="53"/>
        <v>12170098.148576891</v>
      </c>
      <c r="U29" s="14">
        <f t="shared" si="53"/>
        <v>12230948.639319774</v>
      </c>
      <c r="V29" s="14">
        <f t="shared" si="53"/>
        <v>12292103.382516373</v>
      </c>
      <c r="W29" s="14">
        <f t="shared" si="53"/>
        <v>12353563.899428952</v>
      </c>
      <c r="X29" s="14">
        <f t="shared" si="53"/>
        <v>12415331.718926098</v>
      </c>
      <c r="Y29" s="14">
        <f t="shared" si="53"/>
        <v>12477408.377520729</v>
      </c>
      <c r="Z29" s="14">
        <f t="shared" si="53"/>
        <v>12539795.419408333</v>
      </c>
      <c r="AA29" s="14">
        <f t="shared" si="53"/>
        <v>12602494.396505374</v>
      </c>
      <c r="AB29" s="14">
        <f t="shared" si="53"/>
        <v>12665506.868487902</v>
      </c>
      <c r="AC29" s="14">
        <f t="shared" si="53"/>
        <v>12728834.402830344</v>
      </c>
      <c r="AD29" s="14">
        <f t="shared" si="53"/>
        <v>12792478.574844494</v>
      </c>
      <c r="AE29" s="14">
        <f t="shared" si="53"/>
        <v>12856440.967718717</v>
      </c>
      <c r="AF29" s="14">
        <f t="shared" si="53"/>
        <v>12920723.172557309</v>
      </c>
      <c r="AG29" s="14">
        <f t="shared" si="53"/>
        <v>12985326.788420094</v>
      </c>
      <c r="AH29" s="14">
        <f t="shared" si="53"/>
        <v>13050253.422362195</v>
      </c>
    </row>
    <row r="30" spans="1:34" hidden="1" x14ac:dyDescent="0.25">
      <c r="A30" s="13"/>
      <c r="B30" s="29"/>
      <c r="C30" s="14">
        <f t="shared" si="51"/>
        <v>0</v>
      </c>
      <c r="D30" s="1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ht="30" hidden="1" customHeight="1" x14ac:dyDescent="0.25">
      <c r="A31" s="4" t="s">
        <v>13</v>
      </c>
      <c r="B31" s="4"/>
      <c r="C31" s="14">
        <f t="shared" si="51"/>
        <v>0</v>
      </c>
      <c r="D31" s="19"/>
      <c r="E31" s="11">
        <f t="shared" ref="E31:AH31" si="54">+SUM(E32:E32)</f>
        <v>0</v>
      </c>
      <c r="F31" s="11">
        <f t="shared" si="54"/>
        <v>0</v>
      </c>
      <c r="G31" s="11">
        <f t="shared" si="54"/>
        <v>0</v>
      </c>
      <c r="H31" s="11">
        <f t="shared" si="54"/>
        <v>0</v>
      </c>
      <c r="I31" s="11">
        <f t="shared" si="54"/>
        <v>0</v>
      </c>
      <c r="J31" s="11">
        <f t="shared" si="54"/>
        <v>0</v>
      </c>
      <c r="K31" s="11">
        <f t="shared" si="54"/>
        <v>0</v>
      </c>
      <c r="L31" s="11">
        <f t="shared" si="54"/>
        <v>0</v>
      </c>
      <c r="M31" s="11">
        <f t="shared" si="54"/>
        <v>0</v>
      </c>
      <c r="N31" s="11">
        <f t="shared" si="54"/>
        <v>0</v>
      </c>
      <c r="O31" s="11">
        <f t="shared" si="54"/>
        <v>0</v>
      </c>
      <c r="P31" s="11">
        <f t="shared" si="54"/>
        <v>0</v>
      </c>
      <c r="Q31" s="11">
        <f t="shared" si="54"/>
        <v>0</v>
      </c>
      <c r="R31" s="11">
        <f t="shared" si="54"/>
        <v>0</v>
      </c>
      <c r="S31" s="11">
        <f t="shared" si="54"/>
        <v>0</v>
      </c>
      <c r="T31" s="11">
        <f t="shared" si="54"/>
        <v>0</v>
      </c>
      <c r="U31" s="11">
        <f t="shared" si="54"/>
        <v>0</v>
      </c>
      <c r="V31" s="11">
        <f t="shared" si="54"/>
        <v>0</v>
      </c>
      <c r="W31" s="11">
        <f t="shared" si="54"/>
        <v>0</v>
      </c>
      <c r="X31" s="11">
        <f t="shared" si="54"/>
        <v>0</v>
      </c>
      <c r="Y31" s="11">
        <f t="shared" si="54"/>
        <v>0</v>
      </c>
      <c r="Z31" s="11">
        <f t="shared" si="54"/>
        <v>0</v>
      </c>
      <c r="AA31" s="11">
        <f t="shared" si="54"/>
        <v>0</v>
      </c>
      <c r="AB31" s="11">
        <f t="shared" si="54"/>
        <v>0</v>
      </c>
      <c r="AC31" s="11">
        <f t="shared" si="54"/>
        <v>0</v>
      </c>
      <c r="AD31" s="11">
        <f t="shared" si="54"/>
        <v>0</v>
      </c>
      <c r="AE31" s="11">
        <f t="shared" si="54"/>
        <v>0</v>
      </c>
      <c r="AF31" s="11">
        <f t="shared" si="54"/>
        <v>0</v>
      </c>
      <c r="AG31" s="11">
        <f t="shared" si="54"/>
        <v>0</v>
      </c>
      <c r="AH31" s="11">
        <f t="shared" si="54"/>
        <v>0</v>
      </c>
    </row>
    <row r="32" spans="1:34" ht="30" hidden="1" customHeight="1" x14ac:dyDescent="0.25">
      <c r="A32" s="18" t="s">
        <v>12</v>
      </c>
      <c r="B32" s="18"/>
      <c r="C32" s="14">
        <f t="shared" si="51"/>
        <v>0</v>
      </c>
      <c r="D32" s="19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</row>
    <row r="33" spans="1:34" hidden="1" x14ac:dyDescent="0.25">
      <c r="A33" s="13"/>
      <c r="B33" s="29"/>
      <c r="C33" s="14">
        <f t="shared" si="51"/>
        <v>0</v>
      </c>
      <c r="D33" s="19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30" hidden="1" customHeight="1" x14ac:dyDescent="0.25">
      <c r="A34" s="4" t="s">
        <v>11</v>
      </c>
      <c r="B34" s="4"/>
      <c r="C34" s="14">
        <f t="shared" si="51"/>
        <v>0</v>
      </c>
      <c r="D34" s="19"/>
      <c r="E34" s="11">
        <f t="shared" ref="E34:AH34" si="55">+E35</f>
        <v>0</v>
      </c>
      <c r="F34" s="11">
        <f t="shared" si="55"/>
        <v>0</v>
      </c>
      <c r="G34" s="11">
        <f t="shared" si="55"/>
        <v>0</v>
      </c>
      <c r="H34" s="11">
        <f t="shared" si="55"/>
        <v>0</v>
      </c>
      <c r="I34" s="11">
        <f t="shared" si="55"/>
        <v>0</v>
      </c>
      <c r="J34" s="11">
        <f t="shared" si="55"/>
        <v>0</v>
      </c>
      <c r="K34" s="11">
        <f t="shared" si="55"/>
        <v>0</v>
      </c>
      <c r="L34" s="11">
        <f t="shared" si="55"/>
        <v>0</v>
      </c>
      <c r="M34" s="11">
        <f t="shared" si="55"/>
        <v>0</v>
      </c>
      <c r="N34" s="11">
        <f t="shared" si="55"/>
        <v>0</v>
      </c>
      <c r="O34" s="11">
        <f t="shared" si="55"/>
        <v>0</v>
      </c>
      <c r="P34" s="11">
        <f t="shared" si="55"/>
        <v>0</v>
      </c>
      <c r="Q34" s="11">
        <f t="shared" si="55"/>
        <v>0</v>
      </c>
      <c r="R34" s="11">
        <f t="shared" si="55"/>
        <v>0</v>
      </c>
      <c r="S34" s="11">
        <f t="shared" si="55"/>
        <v>0</v>
      </c>
      <c r="T34" s="11">
        <f t="shared" si="55"/>
        <v>0</v>
      </c>
      <c r="U34" s="11">
        <f t="shared" si="55"/>
        <v>0</v>
      </c>
      <c r="V34" s="11">
        <f t="shared" si="55"/>
        <v>0</v>
      </c>
      <c r="W34" s="11">
        <f t="shared" si="55"/>
        <v>0</v>
      </c>
      <c r="X34" s="11">
        <f t="shared" si="55"/>
        <v>0</v>
      </c>
      <c r="Y34" s="11">
        <f t="shared" si="55"/>
        <v>0</v>
      </c>
      <c r="Z34" s="11">
        <f t="shared" si="55"/>
        <v>0</v>
      </c>
      <c r="AA34" s="11">
        <f t="shared" si="55"/>
        <v>0</v>
      </c>
      <c r="AB34" s="11">
        <f t="shared" si="55"/>
        <v>0</v>
      </c>
      <c r="AC34" s="11">
        <f t="shared" si="55"/>
        <v>0</v>
      </c>
      <c r="AD34" s="11">
        <f t="shared" si="55"/>
        <v>0</v>
      </c>
      <c r="AE34" s="11">
        <f t="shared" si="55"/>
        <v>0</v>
      </c>
      <c r="AF34" s="11">
        <f t="shared" si="55"/>
        <v>0</v>
      </c>
      <c r="AG34" s="11">
        <f t="shared" si="55"/>
        <v>0</v>
      </c>
      <c r="AH34" s="11">
        <f t="shared" si="55"/>
        <v>0</v>
      </c>
    </row>
    <row r="35" spans="1:34" ht="30" hidden="1" customHeight="1" x14ac:dyDescent="0.25">
      <c r="A35" s="18" t="s">
        <v>10</v>
      </c>
      <c r="B35" s="18"/>
      <c r="C35" s="14">
        <f t="shared" si="51"/>
        <v>0</v>
      </c>
      <c r="D35" s="19"/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</row>
    <row r="36" spans="1:34" ht="30" customHeight="1" x14ac:dyDescent="0.25">
      <c r="A36" s="15" t="s">
        <v>40</v>
      </c>
      <c r="B36" s="51">
        <f>NPV(C57,E36:AH36)</f>
        <v>959695871.36999977</v>
      </c>
      <c r="C36" s="14">
        <f>SUM(E36:AH36)</f>
        <v>1467523582.2798002</v>
      </c>
      <c r="D36" s="19"/>
      <c r="E36" s="14">
        <f>SUM(E28:E29)</f>
        <v>45506021.595590703</v>
      </c>
      <c r="F36" s="14">
        <f t="shared" ref="F36:AH36" si="56">SUM(F28:F29)</f>
        <v>45688199.840786636</v>
      </c>
      <c r="G36" s="14">
        <f t="shared" si="56"/>
        <v>45916640.839990571</v>
      </c>
      <c r="H36" s="14">
        <f t="shared" si="56"/>
        <v>46146224.044190526</v>
      </c>
      <c r="I36" s="14">
        <f t="shared" si="56"/>
        <v>46376955.16441147</v>
      </c>
      <c r="J36" s="14">
        <f t="shared" si="56"/>
        <v>46608839.940233529</v>
      </c>
      <c r="K36" s="14">
        <f t="shared" si="56"/>
        <v>46841884.139934704</v>
      </c>
      <c r="L36" s="14">
        <f t="shared" si="56"/>
        <v>47076093.560634375</v>
      </c>
      <c r="M36" s="14">
        <f t="shared" si="56"/>
        <v>47311474.02843754</v>
      </c>
      <c r="N36" s="14">
        <f t="shared" si="56"/>
        <v>47548031.398579732</v>
      </c>
      <c r="O36" s="14">
        <f t="shared" si="56"/>
        <v>47785771.555572629</v>
      </c>
      <c r="P36" s="14">
        <f t="shared" si="56"/>
        <v>48024700.413350493</v>
      </c>
      <c r="Q36" s="14">
        <f t="shared" si="56"/>
        <v>48264823.915417239</v>
      </c>
      <c r="R36" s="14">
        <f t="shared" si="56"/>
        <v>48506148.034994327</v>
      </c>
      <c r="S36" s="14">
        <f t="shared" si="56"/>
        <v>48748678.775169298</v>
      </c>
      <c r="T36" s="14">
        <f t="shared" si="56"/>
        <v>48992422.16904515</v>
      </c>
      <c r="U36" s="14">
        <f t="shared" si="56"/>
        <v>49237384.279890373</v>
      </c>
      <c r="V36" s="14">
        <f t="shared" si="56"/>
        <v>49483571.201289818</v>
      </c>
      <c r="W36" s="14">
        <f t="shared" si="56"/>
        <v>49730989.057296261</v>
      </c>
      <c r="X36" s="14">
        <f t="shared" si="56"/>
        <v>49979644.002582744</v>
      </c>
      <c r="Y36" s="14">
        <f t="shared" si="56"/>
        <v>50229542.222595662</v>
      </c>
      <c r="Z36" s="14">
        <f t="shared" si="56"/>
        <v>50480689.933708638</v>
      </c>
      <c r="AA36" s="14">
        <f t="shared" si="56"/>
        <v>50733093.38337718</v>
      </c>
      <c r="AB36" s="14">
        <f t="shared" si="56"/>
        <v>50986758.850294068</v>
      </c>
      <c r="AC36" s="14">
        <f t="shared" si="56"/>
        <v>51241692.64454554</v>
      </c>
      <c r="AD36" s="14">
        <f t="shared" si="56"/>
        <v>51497901.107768267</v>
      </c>
      <c r="AE36" s="14">
        <f t="shared" si="56"/>
        <v>51755390.613307104</v>
      </c>
      <c r="AF36" s="14">
        <f t="shared" si="56"/>
        <v>52014167.566373646</v>
      </c>
      <c r="AG36" s="14">
        <f t="shared" si="56"/>
        <v>52274238.404205516</v>
      </c>
      <c r="AH36" s="14">
        <f t="shared" si="56"/>
        <v>52535609.596226536</v>
      </c>
    </row>
    <row r="37" spans="1:34" s="44" customFormat="1" x14ac:dyDescent="0.25">
      <c r="A37" s="16"/>
      <c r="B37" s="16"/>
      <c r="C37" s="16"/>
      <c r="D37" s="43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s="44" customFormat="1" x14ac:dyDescent="0.25">
      <c r="A38" s="16" t="s">
        <v>50</v>
      </c>
      <c r="B38" s="21">
        <f>+B6-B36</f>
        <v>-9.4938278198242188E-4</v>
      </c>
      <c r="C38" s="16"/>
      <c r="D38" s="43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</row>
    <row r="39" spans="1:34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23.25" customHeight="1" x14ac:dyDescent="0.25">
      <c r="A40" s="45" t="s">
        <v>46</v>
      </c>
      <c r="B40" s="34">
        <f>(E26/12)</f>
        <v>4.9409876145930189</v>
      </c>
      <c r="C40" s="52">
        <f>B40/B41</f>
        <v>0.33333333333333331</v>
      </c>
      <c r="D40" s="10"/>
      <c r="E40" s="35"/>
      <c r="F40" s="3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23.25" customHeight="1" x14ac:dyDescent="0.25">
      <c r="A41" s="45" t="s">
        <v>47</v>
      </c>
      <c r="B41" s="34">
        <f>(E27/12)</f>
        <v>14.822962843779058</v>
      </c>
      <c r="C41" s="52">
        <f>1-C40</f>
        <v>0.66666666666666674</v>
      </c>
      <c r="D41" s="10"/>
      <c r="E41" s="35"/>
      <c r="F41" s="3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5">
      <c r="C42" s="10"/>
      <c r="D42" s="10"/>
      <c r="E42" s="35"/>
      <c r="F42" s="3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5">
      <c r="C43" s="10"/>
      <c r="D43" s="10"/>
      <c r="E43" s="35"/>
      <c r="F43" s="3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5">
      <c r="B44" s="63"/>
      <c r="C44" s="10"/>
      <c r="D44" s="10"/>
      <c r="E44" s="35"/>
      <c r="F44" s="3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5">
      <c r="B45" s="63"/>
      <c r="C45" s="10"/>
      <c r="D45" s="10"/>
      <c r="E45" s="35"/>
      <c r="F45" s="3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5">
      <c r="C46" s="10"/>
      <c r="D46" s="10"/>
      <c r="E46" s="35"/>
      <c r="F46" s="3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5">
      <c r="A47" t="s">
        <v>48</v>
      </c>
      <c r="C47" s="10"/>
      <c r="D47" s="10"/>
      <c r="E47" s="35"/>
      <c r="F47" s="3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5">
      <c r="C48" s="10"/>
      <c r="D48" s="10"/>
      <c r="E48" s="35"/>
      <c r="F48" s="3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5">
      <c r="C49" s="10"/>
      <c r="D49" s="10"/>
      <c r="E49" s="35"/>
      <c r="F49" s="3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s="1" customFormat="1" ht="29.25" customHeight="1" x14ac:dyDescent="0.25">
      <c r="A50" s="4" t="s">
        <v>9</v>
      </c>
      <c r="B50" s="4"/>
      <c r="C50" s="3">
        <f>((C54/C55)*C60)+((C53/C55)*C52)</f>
        <v>3.243753853590061E-2</v>
      </c>
      <c r="D50" s="2"/>
      <c r="G5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s="1" customFormat="1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1" customFormat="1" ht="29.25" customHeight="1" x14ac:dyDescent="0.25">
      <c r="A52" s="6" t="s">
        <v>8</v>
      </c>
      <c r="B52" s="6"/>
      <c r="C52" s="9">
        <v>5.6239999999999998E-2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1" customFormat="1" ht="29.25" customHeight="1" x14ac:dyDescent="0.25">
      <c r="A53" s="6" t="s">
        <v>7</v>
      </c>
      <c r="B53" s="6"/>
      <c r="C53" s="8">
        <v>115118426.03</v>
      </c>
      <c r="D53" s="2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s="1" customFormat="1" ht="29.25" customHeight="1" x14ac:dyDescent="0.25">
      <c r="A54" s="6" t="s">
        <v>6</v>
      </c>
      <c r="B54" s="6"/>
      <c r="C54" s="8">
        <v>823462108.64999998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s="1" customFormat="1" ht="29.25" customHeight="1" x14ac:dyDescent="0.25">
      <c r="A55" s="6" t="s">
        <v>5</v>
      </c>
      <c r="B55" s="6"/>
      <c r="C55" s="8">
        <v>938580534.67999995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s="1" customFormat="1" ht="29.25" customHeight="1" x14ac:dyDescent="0.25">
      <c r="A56" s="6" t="s">
        <v>4</v>
      </c>
      <c r="B56" s="6"/>
      <c r="C56" s="7">
        <v>0.5882352941176473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1" customFormat="1" ht="29.25" customHeight="1" x14ac:dyDescent="0.25">
      <c r="A57" s="6" t="s">
        <v>3</v>
      </c>
      <c r="B57" s="6"/>
      <c r="C57" s="5">
        <v>2.911E-2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1" customFormat="1" ht="29.25" customHeight="1" x14ac:dyDescent="0.25">
      <c r="A58" s="6" t="s">
        <v>2</v>
      </c>
      <c r="B58" s="6"/>
      <c r="C58" s="5">
        <v>2.911E-2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s="1" customFormat="1" ht="29.25" customHeight="1" x14ac:dyDescent="0.25">
      <c r="A59" s="6" t="s">
        <v>1</v>
      </c>
      <c r="B59" s="6"/>
      <c r="C59" s="5">
        <f>+C58-C57</f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s="1" customFormat="1" ht="29.25" customHeight="1" x14ac:dyDescent="0.25">
      <c r="A60" s="4" t="s">
        <v>0</v>
      </c>
      <c r="B60" s="4"/>
      <c r="C60" s="3">
        <f>+C57+(C59*C56)</f>
        <v>2.911E-2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7" spans="1:3" x14ac:dyDescent="0.25">
      <c r="A67" t="s">
        <v>35</v>
      </c>
      <c r="B67" s="31">
        <v>70000</v>
      </c>
    </row>
    <row r="68" spans="1:3" x14ac:dyDescent="0.25">
      <c r="A68" t="s">
        <v>30</v>
      </c>
      <c r="B68">
        <v>80</v>
      </c>
    </row>
    <row r="69" spans="1:3" x14ac:dyDescent="0.25">
      <c r="A69" t="s">
        <v>31</v>
      </c>
      <c r="B69">
        <v>300</v>
      </c>
    </row>
    <row r="70" spans="1:3" x14ac:dyDescent="0.25">
      <c r="A70" t="s">
        <v>32</v>
      </c>
      <c r="B70">
        <v>30</v>
      </c>
    </row>
    <row r="71" spans="1:3" x14ac:dyDescent="0.25">
      <c r="A71" t="s">
        <v>33</v>
      </c>
      <c r="B71">
        <v>200</v>
      </c>
    </row>
    <row r="72" spans="1:3" x14ac:dyDescent="0.25">
      <c r="A72" t="s">
        <v>34</v>
      </c>
      <c r="B72">
        <v>200</v>
      </c>
    </row>
    <row r="73" spans="1:3" x14ac:dyDescent="0.25">
      <c r="A73" t="s">
        <v>36</v>
      </c>
      <c r="B73">
        <f>SUM(B68:B72)</f>
        <v>810</v>
      </c>
    </row>
    <row r="78" spans="1:3" x14ac:dyDescent="0.25">
      <c r="A78" s="49" t="s">
        <v>49</v>
      </c>
      <c r="B78" s="31">
        <v>305215000</v>
      </c>
      <c r="C78" s="31"/>
    </row>
    <row r="79" spans="1:3" x14ac:dyDescent="0.25">
      <c r="B79" s="31"/>
    </row>
    <row r="80" spans="1:3" x14ac:dyDescent="0.25">
      <c r="B80" s="31"/>
    </row>
    <row r="81" spans="2:2" x14ac:dyDescent="0.25">
      <c r="B81" s="31">
        <f>20000*12</f>
        <v>240000</v>
      </c>
    </row>
    <row r="82" spans="2:2" x14ac:dyDescent="0.25">
      <c r="B82" s="31">
        <f>+B81*15</f>
        <v>3600000</v>
      </c>
    </row>
    <row r="83" spans="2:2" x14ac:dyDescent="0.25">
      <c r="B83" s="31">
        <f>+B82/4</f>
        <v>900000</v>
      </c>
    </row>
  </sheetData>
  <mergeCells count="5">
    <mergeCell ref="B23:C23"/>
    <mergeCell ref="B24:C24"/>
    <mergeCell ref="B25:C25"/>
    <mergeCell ref="B26:C26"/>
    <mergeCell ref="B27:C27"/>
  </mergeCells>
  <conditionalFormatting sqref="B3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2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</vt:vector>
  </HeadingPairs>
  <TitlesOfParts>
    <vt:vector size="6" baseType="lpstr">
      <vt:lpstr>Flujo de Caja</vt:lpstr>
      <vt:lpstr>Proyección 24012022</vt:lpstr>
      <vt:lpstr>% Crecimiento OP y MANT</vt:lpstr>
      <vt:lpstr>Inversiones Pasadas</vt:lpstr>
      <vt:lpstr>Proyección 09122021</vt:lpstr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Cabrera</dc:creator>
  <cp:lastModifiedBy>Piedad Rojas</cp:lastModifiedBy>
  <dcterms:created xsi:type="dcterms:W3CDTF">2021-11-09T22:48:40Z</dcterms:created>
  <dcterms:modified xsi:type="dcterms:W3CDTF">2022-11-29T17:05:40Z</dcterms:modified>
</cp:coreProperties>
</file>