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OneDrive - Empresa Publica Metropolitana Metro de Quito\Información Comisión de Presupuesto\"/>
    </mc:Choice>
  </mc:AlternateContent>
  <xr:revisionPtr revIDLastSave="0" documentId="8_{99CAAF47-E6C6-4B82-9231-B0ED6CD39EC8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EJEC.PROY.AÑOS" sheetId="1" r:id="rId1"/>
    <sheet name="proyeccion caja" sheetId="4" r:id="rId2"/>
    <sheet name="proyeccion presupuesto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4" l="1"/>
  <c r="I18" i="4" s="1"/>
  <c r="P18" i="4"/>
  <c r="O18" i="4"/>
  <c r="N18" i="4"/>
  <c r="M18" i="4"/>
  <c r="L18" i="4"/>
  <c r="K18" i="4"/>
  <c r="J18" i="4"/>
  <c r="H18" i="4"/>
  <c r="G18" i="4"/>
  <c r="F18" i="4"/>
  <c r="E18" i="4"/>
  <c r="D18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G13" i="4"/>
  <c r="G12" i="4" s="1"/>
  <c r="P12" i="4"/>
  <c r="O12" i="4"/>
  <c r="N12" i="4"/>
  <c r="M12" i="4"/>
  <c r="L12" i="4"/>
  <c r="K12" i="4"/>
  <c r="J12" i="4"/>
  <c r="I12" i="4"/>
  <c r="H12" i="4"/>
  <c r="F12" i="4"/>
  <c r="E12" i="4"/>
  <c r="D12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O9" i="4"/>
  <c r="N9" i="4"/>
  <c r="M9" i="4"/>
  <c r="L9" i="4"/>
  <c r="K9" i="4"/>
  <c r="K8" i="4" s="1"/>
  <c r="J9" i="4"/>
  <c r="I9" i="4"/>
  <c r="I8" i="4" s="1"/>
  <c r="H9" i="4"/>
  <c r="G9" i="4"/>
  <c r="F9" i="4"/>
  <c r="E9" i="4"/>
  <c r="D9" i="4"/>
  <c r="P8" i="4"/>
  <c r="P6" i="4"/>
  <c r="O6" i="4"/>
  <c r="N6" i="4"/>
  <c r="M6" i="4"/>
  <c r="L6" i="4"/>
  <c r="K6" i="4"/>
  <c r="J6" i="4"/>
  <c r="I6" i="4"/>
  <c r="H6" i="4"/>
  <c r="G6" i="4"/>
  <c r="F6" i="4"/>
  <c r="E6" i="4"/>
  <c r="D6" i="4"/>
  <c r="P4" i="4"/>
  <c r="O4" i="4"/>
  <c r="N4" i="4"/>
  <c r="M4" i="4"/>
  <c r="L4" i="4"/>
  <c r="K4" i="4"/>
  <c r="J4" i="4"/>
  <c r="I4" i="4"/>
  <c r="H4" i="4"/>
  <c r="G4" i="4"/>
  <c r="F4" i="4"/>
  <c r="E4" i="4"/>
  <c r="D4" i="4"/>
  <c r="J8" i="4" l="1"/>
  <c r="J20" i="4" s="1"/>
  <c r="L8" i="4"/>
  <c r="L20" i="4" s="1"/>
  <c r="I20" i="4"/>
  <c r="O8" i="4"/>
  <c r="O20" i="4" s="1"/>
  <c r="P20" i="4"/>
  <c r="D8" i="4"/>
  <c r="D20" i="4" s="1"/>
  <c r="G8" i="4"/>
  <c r="G20" i="4" s="1"/>
  <c r="H8" i="4"/>
  <c r="H20" i="4" s="1"/>
  <c r="K20" i="4"/>
  <c r="E8" i="4"/>
  <c r="E20" i="4" s="1"/>
  <c r="M8" i="4"/>
  <c r="M20" i="4" s="1"/>
  <c r="F8" i="4"/>
  <c r="F20" i="4" s="1"/>
  <c r="N8" i="4"/>
  <c r="N20" i="4" s="1"/>
  <c r="E38" i="3" l="1"/>
  <c r="F38" i="3"/>
  <c r="G38" i="3"/>
  <c r="H38" i="3"/>
  <c r="I38" i="3"/>
  <c r="J38" i="3"/>
  <c r="K38" i="3"/>
  <c r="L38" i="3"/>
  <c r="M38" i="3"/>
  <c r="N38" i="3"/>
  <c r="O38" i="3"/>
  <c r="P38" i="3"/>
  <c r="D38" i="3"/>
  <c r="P36" i="3"/>
  <c r="P37" i="3"/>
  <c r="E37" i="3"/>
  <c r="F37" i="3"/>
  <c r="H37" i="3"/>
  <c r="I37" i="3"/>
  <c r="J37" i="3"/>
  <c r="K37" i="3"/>
  <c r="L37" i="3"/>
  <c r="M37" i="3"/>
  <c r="N37" i="3"/>
  <c r="O37" i="3"/>
  <c r="D37" i="3"/>
  <c r="P31" i="3"/>
  <c r="P27" i="3"/>
  <c r="P23" i="3"/>
  <c r="P20" i="3"/>
  <c r="P16" i="3"/>
  <c r="P12" i="3"/>
  <c r="O13" i="3"/>
  <c r="O36" i="3" s="1"/>
  <c r="O12" i="3"/>
  <c r="N13" i="3"/>
  <c r="N12" i="3" s="1"/>
  <c r="M13" i="3"/>
  <c r="M36" i="3" s="1"/>
  <c r="L13" i="3"/>
  <c r="L12" i="3" s="1"/>
  <c r="K13" i="3"/>
  <c r="K12" i="3" s="1"/>
  <c r="J13" i="3"/>
  <c r="J36" i="3" s="1"/>
  <c r="I13" i="3"/>
  <c r="H13" i="3"/>
  <c r="H12" i="3" s="1"/>
  <c r="G13" i="3"/>
  <c r="F13" i="3"/>
  <c r="F12" i="3" s="1"/>
  <c r="E13" i="3"/>
  <c r="E12" i="3" s="1"/>
  <c r="P8" i="3"/>
  <c r="P4" i="3"/>
  <c r="O4" i="3"/>
  <c r="N4" i="3"/>
  <c r="M4" i="3"/>
  <c r="L4" i="3"/>
  <c r="K4" i="3"/>
  <c r="J4" i="3"/>
  <c r="I4" i="3"/>
  <c r="H4" i="3"/>
  <c r="G4" i="3"/>
  <c r="F4" i="3"/>
  <c r="E4" i="3"/>
  <c r="D4" i="3"/>
  <c r="E8" i="3"/>
  <c r="F8" i="3"/>
  <c r="G8" i="3"/>
  <c r="H8" i="3"/>
  <c r="I8" i="3"/>
  <c r="J8" i="3"/>
  <c r="K8" i="3"/>
  <c r="L8" i="3"/>
  <c r="M8" i="3"/>
  <c r="N8" i="3"/>
  <c r="O8" i="3"/>
  <c r="D8" i="3"/>
  <c r="D16" i="3"/>
  <c r="O20" i="3"/>
  <c r="N20" i="3"/>
  <c r="M20" i="3"/>
  <c r="L20" i="3"/>
  <c r="K20" i="3"/>
  <c r="J20" i="3"/>
  <c r="I20" i="3"/>
  <c r="H20" i="3"/>
  <c r="F20" i="3"/>
  <c r="E20" i="3"/>
  <c r="D20" i="3"/>
  <c r="E27" i="3"/>
  <c r="F27" i="3"/>
  <c r="G27" i="3"/>
  <c r="H27" i="3"/>
  <c r="I27" i="3"/>
  <c r="J27" i="3"/>
  <c r="K27" i="3"/>
  <c r="L27" i="3"/>
  <c r="M27" i="3"/>
  <c r="N27" i="3"/>
  <c r="O27" i="3"/>
  <c r="O31" i="3"/>
  <c r="N31" i="3"/>
  <c r="M31" i="3"/>
  <c r="L31" i="3"/>
  <c r="K31" i="3"/>
  <c r="J31" i="3"/>
  <c r="H31" i="3"/>
  <c r="G31" i="3"/>
  <c r="F31" i="3"/>
  <c r="D27" i="3"/>
  <c r="D31" i="3"/>
  <c r="E31" i="3"/>
  <c r="I32" i="3"/>
  <c r="I31" i="3" s="1"/>
  <c r="O23" i="3"/>
  <c r="N23" i="3"/>
  <c r="M23" i="3"/>
  <c r="L23" i="3"/>
  <c r="K23" i="3"/>
  <c r="J23" i="3"/>
  <c r="I23" i="3"/>
  <c r="H23" i="3"/>
  <c r="G23" i="3"/>
  <c r="F23" i="3"/>
  <c r="E23" i="3"/>
  <c r="D23" i="3"/>
  <c r="J12" i="3"/>
  <c r="I12" i="3"/>
  <c r="G12" i="3"/>
  <c r="D13" i="3"/>
  <c r="D36" i="3" s="1"/>
  <c r="M12" i="3"/>
  <c r="O16" i="3"/>
  <c r="N16" i="3"/>
  <c r="M16" i="3"/>
  <c r="L16" i="3"/>
  <c r="K16" i="3"/>
  <c r="J16" i="3"/>
  <c r="I16" i="3"/>
  <c r="H16" i="3"/>
  <c r="G16" i="3"/>
  <c r="F16" i="3"/>
  <c r="E16" i="3"/>
  <c r="G22" i="3"/>
  <c r="G37" i="3" s="1"/>
  <c r="G21" i="3"/>
  <c r="G20" i="3" s="1"/>
  <c r="I36" i="3" l="1"/>
  <c r="D12" i="3"/>
  <c r="G36" i="3"/>
  <c r="E36" i="3"/>
  <c r="L36" i="3"/>
  <c r="K36" i="3"/>
  <c r="I35" i="3"/>
  <c r="H36" i="3"/>
  <c r="N36" i="3"/>
  <c r="F36" i="3"/>
  <c r="N35" i="3"/>
  <c r="H35" i="3"/>
  <c r="G35" i="3"/>
  <c r="M35" i="3"/>
  <c r="J35" i="3"/>
  <c r="K35" i="3"/>
  <c r="F35" i="3"/>
  <c r="O35" i="3"/>
  <c r="L35" i="3"/>
  <c r="E35" i="3"/>
  <c r="D35" i="3"/>
  <c r="P35" i="3" l="1"/>
  <c r="J47" i="1"/>
  <c r="J46" i="1" l="1"/>
  <c r="J45" i="1"/>
  <c r="K45" i="1"/>
  <c r="K46" i="1"/>
  <c r="K44" i="1"/>
  <c r="J44" i="1" s="1"/>
  <c r="K42" i="1"/>
  <c r="J42" i="1" s="1"/>
  <c r="E6" i="1"/>
  <c r="F6" i="1"/>
  <c r="G6" i="1"/>
  <c r="H6" i="1"/>
  <c r="I6" i="1"/>
  <c r="J6" i="1"/>
  <c r="K6" i="1"/>
  <c r="D6" i="1"/>
  <c r="I11" i="1"/>
  <c r="H11" i="1"/>
  <c r="G11" i="1"/>
  <c r="F11" i="1"/>
  <c r="D11" i="1"/>
  <c r="E11" i="1"/>
  <c r="J11" i="1" l="1"/>
  <c r="K49" i="1" l="1"/>
  <c r="D50" i="1" l="1"/>
  <c r="E50" i="1"/>
  <c r="F50" i="1"/>
  <c r="G50" i="1"/>
  <c r="H50" i="1"/>
  <c r="I50" i="1"/>
  <c r="J50" i="1"/>
  <c r="H34" i="1" l="1"/>
  <c r="H37" i="1" s="1"/>
  <c r="G34" i="1"/>
  <c r="G37" i="1" s="1"/>
  <c r="F34" i="1"/>
  <c r="F37" i="1" s="1"/>
  <c r="E34" i="1"/>
  <c r="E37" i="1" s="1"/>
  <c r="I34" i="1" l="1"/>
  <c r="I37" i="1" s="1"/>
  <c r="J34" i="1"/>
  <c r="D34" i="1"/>
  <c r="D37" i="1" s="1"/>
  <c r="J37" i="1" l="1"/>
  <c r="K11" i="1" l="1"/>
  <c r="K34" i="1" s="1"/>
  <c r="K50" i="1"/>
</calcChain>
</file>

<file path=xl/sharedStrings.xml><?xml version="1.0" encoding="utf-8"?>
<sst xmlns="http://schemas.openxmlformats.org/spreadsheetml/2006/main" count="101" uniqueCount="66">
  <si>
    <t>PROVEEDOR/RUBRO</t>
  </si>
  <si>
    <t>Proyecto PLMQ - Fase 1</t>
  </si>
  <si>
    <t>Magdalena y Labrador</t>
  </si>
  <si>
    <t>Fiscalización Fase 1</t>
  </si>
  <si>
    <t>Gerencia del Proyecto</t>
  </si>
  <si>
    <t>Expropiaciones</t>
  </si>
  <si>
    <t>Proyecto PLMQ - Fase 2</t>
  </si>
  <si>
    <t>Obra civil e instalaciones</t>
  </si>
  <si>
    <t>Imprevistos</t>
  </si>
  <si>
    <t>Reajustes de Precios</t>
  </si>
  <si>
    <t>Fiscalización Fase 2</t>
  </si>
  <si>
    <t>Material Rodante</t>
  </si>
  <si>
    <t>(BIRF 1 - Comp. 5) Asistencia Técnica</t>
  </si>
  <si>
    <t>(BIRF 2 - Comp. 1) PMA y Social</t>
  </si>
  <si>
    <t>(BIRF 2 - Comp. 1) Imp. Salv. Soc. y Amb.</t>
  </si>
  <si>
    <t>(BID 2 - Comp. 1) Compensaciones OC</t>
  </si>
  <si>
    <t>(BID 2 - Comp. 5) Ambiental y Social</t>
  </si>
  <si>
    <t>(BID 2 - Comp. 5) Acompañamiento OyM</t>
  </si>
  <si>
    <t>Reajustes de Precios (complemento)</t>
  </si>
  <si>
    <t>Fiscalización Fase 2 (Enmienda 2)</t>
  </si>
  <si>
    <t>Gerencia del Proyecto (Enmienda 1)</t>
  </si>
  <si>
    <t>Fiscalización Fase 2 (Enmienda 4)</t>
  </si>
  <si>
    <t>Gerencia del Proyecto (Enmienda 3)</t>
  </si>
  <si>
    <t>TOTAL PERÍODO</t>
  </si>
  <si>
    <t>FINANCISTAS</t>
  </si>
  <si>
    <t>BID</t>
  </si>
  <si>
    <t>BID (2)</t>
  </si>
  <si>
    <t>BEI</t>
  </si>
  <si>
    <t>CAF</t>
  </si>
  <si>
    <t>BIRF</t>
  </si>
  <si>
    <t>BIRF (2)</t>
  </si>
  <si>
    <t>FIEM</t>
  </si>
  <si>
    <t>GOBIERNO NACIONAL</t>
  </si>
  <si>
    <t>MDMQ</t>
  </si>
  <si>
    <t xml:space="preserve">TOTAL </t>
  </si>
  <si>
    <t>Fiscalización Fase 2 (Enmienda 6)</t>
  </si>
  <si>
    <t>Gerencia del Proyecto (Enmienda 5)</t>
  </si>
  <si>
    <t>Fiscalización Fase 2 (Enmienda 7)</t>
  </si>
  <si>
    <t>Gerencia del Proyecto (Enmienda 6)</t>
  </si>
  <si>
    <t>GASTO MENSUALIZADO</t>
  </si>
  <si>
    <t xml:space="preserve"> PARTIDA </t>
  </si>
  <si>
    <t xml:space="preserve"> CONCEPTO </t>
  </si>
  <si>
    <t>TOTAL</t>
  </si>
  <si>
    <t>FISCALIZACIÓN (Enmienda 6 - 7)</t>
  </si>
  <si>
    <t>FISCALIZACIÓN</t>
  </si>
  <si>
    <t>ANTICIPO ByS</t>
  </si>
  <si>
    <t>IVA FISCALIZACIÓN</t>
  </si>
  <si>
    <t>GERENCIA DE PROYECTO (Enmienda 5 - 6)</t>
  </si>
  <si>
    <t>GERENCIA DE PROYECTO</t>
  </si>
  <si>
    <t>IVA GERENCIA DE PROYECTO</t>
  </si>
  <si>
    <t>OBRAS PÚBLICAS DE TRANS. Y VIAS</t>
  </si>
  <si>
    <t>ANTICIPO OBRA</t>
  </si>
  <si>
    <t>IVA OBRA CIVIL</t>
  </si>
  <si>
    <t>OBRAS PÚBLICAS (SISTEMA DE RECAUDO)</t>
  </si>
  <si>
    <t>CONSULTORIAS</t>
  </si>
  <si>
    <t>IVA CONSULTORIAS</t>
  </si>
  <si>
    <t>PLAN ACCION CORRECTIVA</t>
  </si>
  <si>
    <t>Costas Judiciales, trámites Notarías, legalización de documentos y arreglos extrajudiciales</t>
  </si>
  <si>
    <t>IVA</t>
  </si>
  <si>
    <t>EXPROPIACIONES</t>
  </si>
  <si>
    <t>IVA EXPROPIACIONES</t>
  </si>
  <si>
    <t>GASTO PLMQ</t>
  </si>
  <si>
    <t>SUB TOTAL</t>
  </si>
  <si>
    <t>MATERIAL RODANTE</t>
  </si>
  <si>
    <t>ORGANISMOS MULTILATERALES</t>
  </si>
  <si>
    <t>ANTICIPOS POR DEVENGAR ByS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</si>
</sst>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/>
    <xf numFmtId="164" fontId="0" fillId="0" borderId="0" xfId="1" applyNumberFormat="1" applyFont="1"/>
    <xf numFmtId="4" fontId="0" fillId="0" borderId="0" xfId="0" applyNumberForma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3" fontId="1" fillId="2" borderId="13" xfId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left" vertical="center" indent="5"/>
    </xf>
    <xf numFmtId="43" fontId="2" fillId="0" borderId="15" xfId="1" applyFont="1" applyBorder="1" applyAlignment="1">
      <alignment vertical="center"/>
    </xf>
    <xf numFmtId="43" fontId="2" fillId="0" borderId="17" xfId="1" applyFont="1" applyBorder="1" applyAlignment="1">
      <alignment vertical="center"/>
    </xf>
    <xf numFmtId="43" fontId="2" fillId="0" borderId="5" xfId="1" applyFont="1" applyBorder="1" applyAlignment="1">
      <alignment horizontal="left" vertical="center" indent="5"/>
    </xf>
    <xf numFmtId="43" fontId="2" fillId="0" borderId="6" xfId="1" applyFont="1" applyBorder="1" applyAlignment="1">
      <alignment vertical="center"/>
    </xf>
    <xf numFmtId="43" fontId="2" fillId="0" borderId="8" xfId="1" applyFont="1" applyBorder="1" applyAlignment="1">
      <alignment vertical="center"/>
    </xf>
    <xf numFmtId="43" fontId="2" fillId="0" borderId="9" xfId="1" applyFont="1" applyBorder="1" applyAlignment="1">
      <alignment horizontal="left" vertical="center" indent="5"/>
    </xf>
    <xf numFmtId="43" fontId="2" fillId="0" borderId="10" xfId="1" applyFont="1" applyBorder="1" applyAlignment="1">
      <alignment vertical="center"/>
    </xf>
    <xf numFmtId="43" fontId="4" fillId="2" borderId="13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1" fillId="0" borderId="2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43" fontId="2" fillId="0" borderId="14" xfId="1" applyFont="1" applyBorder="1" applyAlignment="1">
      <alignment vertical="center"/>
    </xf>
    <xf numFmtId="43" fontId="2" fillId="0" borderId="7" xfId="1" applyFont="1" applyBorder="1" applyAlignment="1">
      <alignment vertical="center"/>
    </xf>
    <xf numFmtId="43" fontId="2" fillId="0" borderId="5" xfId="1" applyFont="1" applyBorder="1" applyAlignment="1">
      <alignment vertical="center"/>
    </xf>
    <xf numFmtId="43" fontId="2" fillId="0" borderId="9" xfId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43" fontId="3" fillId="0" borderId="6" xfId="1" applyFont="1" applyBorder="1" applyAlignment="1">
      <alignment vertical="center"/>
    </xf>
    <xf numFmtId="43" fontId="3" fillId="0" borderId="9" xfId="1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2" fillId="0" borderId="11" xfId="1" applyFont="1" applyFill="1" applyBorder="1" applyAlignment="1">
      <alignment vertical="center"/>
    </xf>
    <xf numFmtId="43" fontId="2" fillId="0" borderId="11" xfId="1" applyFont="1" applyBorder="1" applyAlignment="1">
      <alignment vertical="center"/>
    </xf>
    <xf numFmtId="43" fontId="1" fillId="2" borderId="13" xfId="1" applyFont="1" applyFill="1" applyBorder="1" applyAlignment="1">
      <alignment vertical="center"/>
    </xf>
    <xf numFmtId="43" fontId="1" fillId="2" borderId="4" xfId="1" applyFont="1" applyFill="1" applyBorder="1" applyAlignment="1">
      <alignment vertical="center"/>
    </xf>
    <xf numFmtId="0" fontId="7" fillId="4" borderId="25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vertical="center" wrapText="1"/>
    </xf>
    <xf numFmtId="4" fontId="6" fillId="4" borderId="26" xfId="0" applyNumberFormat="1" applyFont="1" applyFill="1" applyBorder="1" applyAlignment="1">
      <alignment horizontal="right" vertical="center"/>
    </xf>
    <xf numFmtId="4" fontId="6" fillId="4" borderId="23" xfId="0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indent="1"/>
    </xf>
    <xf numFmtId="4" fontId="6" fillId="0" borderId="26" xfId="0" applyNumberFormat="1" applyFont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3" xfId="0" applyFont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 indent="1"/>
    </xf>
    <xf numFmtId="43" fontId="6" fillId="0" borderId="26" xfId="1" applyFont="1" applyBorder="1" applyAlignment="1">
      <alignment horizontal="right" vertical="center"/>
    </xf>
    <xf numFmtId="43" fontId="7" fillId="0" borderId="24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6" fillId="4" borderId="16" xfId="0" applyNumberFormat="1" applyFont="1" applyFill="1" applyBorder="1" applyAlignment="1">
      <alignment horizontal="right" vertical="center"/>
    </xf>
    <xf numFmtId="4" fontId="6" fillId="4" borderId="12" xfId="0" applyNumberFormat="1" applyFont="1" applyFill="1" applyBorder="1" applyAlignment="1">
      <alignment horizontal="right" vertical="center"/>
    </xf>
    <xf numFmtId="0" fontId="6" fillId="4" borderId="25" xfId="0" applyFont="1" applyFill="1" applyBorder="1" applyAlignment="1">
      <alignment vertical="center" wrapText="1"/>
    </xf>
    <xf numFmtId="4" fontId="7" fillId="0" borderId="26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43" fontId="2" fillId="0" borderId="29" xfId="1" applyFont="1" applyBorder="1" applyAlignment="1">
      <alignment vertical="center"/>
    </xf>
    <xf numFmtId="43" fontId="2" fillId="0" borderId="30" xfId="1" applyFont="1" applyBorder="1" applyAlignment="1">
      <alignment vertical="center"/>
    </xf>
    <xf numFmtId="43" fontId="2" fillId="0" borderId="30" xfId="1" applyFont="1" applyFill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43" fontId="1" fillId="2" borderId="4" xfId="1" applyFont="1" applyFill="1" applyBorder="1" applyAlignment="1">
      <alignment horizontal="center" vertical="center" wrapText="1"/>
    </xf>
    <xf numFmtId="17" fontId="6" fillId="3" borderId="27" xfId="0" applyNumberFormat="1" applyFont="1" applyFill="1" applyBorder="1" applyAlignment="1">
      <alignment horizontal="center" vertical="center"/>
    </xf>
    <xf numFmtId="17" fontId="6" fillId="3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</cellXfs>
  <cellStyles count="3">
    <cellStyle name="Millares" xfId="1" builtinId="3"/>
    <cellStyle name="Millares 2" xfId="2" xr:uid="{63D69C93-282C-47EF-A058-DC8EDFE750C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metrodequito-my.sharepoint.com/personal/jenny_romero_metrodequito_gob_ec/Documents/Direccion%20de%20Financiamiento/POA%20PLMQ/PRESUPUESTO%20PLMQ%202022/Presup_2022%20a%20oct%202021/PROFORMA%20PRESUPUESTARIA%20147.071.219,49/FLUJO%20PRESUPUESTO%202022_sep21_rev.xlsx?2921A090" TargetMode="External"/><Relationship Id="rId1" Type="http://schemas.openxmlformats.org/officeDocument/2006/relationships/externalLinkPath" Target="file:///\\2921A090\FLUJO%20PRESUPUESTO%202022_sep21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presup 2021 (2)"/>
      <sheetName val="Presup 2022-2023 DESD 2021"/>
      <sheetName val="Presup 2022_proforma"/>
      <sheetName val="proyeccion gastos"/>
      <sheetName val="ejecucion presup 2021"/>
      <sheetName val="Presup 2022 mensual planif epmm"/>
      <sheetName val="Presup 2022"/>
      <sheetName val="COSTO PLMQ 2020"/>
      <sheetName val="proyeccion ingresos"/>
      <sheetName val="Ingreso"/>
      <sheetName val="Gasto"/>
      <sheetName val="Flujo mensual"/>
      <sheetName val="Flujo mensual (P)"/>
      <sheetName val="ANTICIPO CL1-HITOS"/>
      <sheetName val="OBRA-CL1"/>
      <sheetName val="costo-sald 30 sep 2021"/>
      <sheetName val="CPP 2021 (2)"/>
      <sheetName val="COSTO PLMQ 2020 (2)"/>
      <sheetName val="presupuesto consultorias"/>
      <sheetName val="PROGRAMACION GI"/>
      <sheetName val="CPP 2021"/>
    </sheetNames>
    <sheetDataSet>
      <sheetData sheetId="0"/>
      <sheetData sheetId="1">
        <row r="16">
          <cell r="AH16">
            <v>12521250.939999998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5">
          <cell r="D25">
            <v>7000000</v>
          </cell>
        </row>
        <row r="53">
          <cell r="D53">
            <v>1618000.79</v>
          </cell>
        </row>
        <row r="54">
          <cell r="D54">
            <v>1707745.1900000002</v>
          </cell>
        </row>
        <row r="59">
          <cell r="D59">
            <v>414168.54902001854</v>
          </cell>
        </row>
        <row r="60">
          <cell r="D60">
            <v>1789976.922280007</v>
          </cell>
        </row>
        <row r="61">
          <cell r="D61">
            <v>4799999.9986999845</v>
          </cell>
        </row>
        <row r="66">
          <cell r="D66">
            <v>154000</v>
          </cell>
        </row>
        <row r="70">
          <cell r="D70">
            <v>33070.120000000003</v>
          </cell>
        </row>
        <row r="76">
          <cell r="D76">
            <v>996000</v>
          </cell>
        </row>
      </sheetData>
      <sheetData sheetId="10">
        <row r="21">
          <cell r="F21">
            <v>123863752.7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K50"/>
  <sheetViews>
    <sheetView topLeftCell="C5" zoomScale="70" zoomScaleNormal="70" workbookViewId="0">
      <pane xSplit="1" ySplit="2" topLeftCell="D13" activePane="bottomRight" state="frozen"/>
      <selection activeCell="C5" sqref="C5"/>
      <selection pane="topRight" activeCell="D5" sqref="D5"/>
      <selection pane="bottomLeft" activeCell="C7" sqref="C7"/>
      <selection pane="bottomRight" activeCell="P50" sqref="P50"/>
    </sheetView>
  </sheetViews>
  <sheetFormatPr baseColWidth="10" defaultRowHeight="15" x14ac:dyDescent="0.25"/>
  <cols>
    <col min="3" max="3" width="40.5703125" bestFit="1" customWidth="1"/>
    <col min="4" max="10" width="17.85546875" bestFit="1" customWidth="1"/>
    <col min="11" max="11" width="16.42578125" bestFit="1" customWidth="1"/>
  </cols>
  <sheetData>
    <row r="4" spans="3:11" ht="15.75" thickBot="1" x14ac:dyDescent="0.3"/>
    <row r="5" spans="3:11" ht="16.5" thickBot="1" x14ac:dyDescent="0.3">
      <c r="C5" s="1" t="s">
        <v>0</v>
      </c>
      <c r="D5" s="14">
        <v>2015</v>
      </c>
      <c r="E5" s="5">
        <v>2016</v>
      </c>
      <c r="F5" s="5">
        <v>2017</v>
      </c>
      <c r="G5" s="5">
        <v>2018</v>
      </c>
      <c r="H5" s="5">
        <v>2019</v>
      </c>
      <c r="I5" s="5">
        <v>2020</v>
      </c>
      <c r="J5" s="6">
        <v>2021</v>
      </c>
      <c r="K5" s="7">
        <v>2022</v>
      </c>
    </row>
    <row r="6" spans="3:11" ht="20.100000000000001" customHeight="1" thickBot="1" x14ac:dyDescent="0.3">
      <c r="C6" s="8" t="s">
        <v>1</v>
      </c>
      <c r="D6" s="27">
        <f>SUM(D7:D10)</f>
        <v>123995754.9959475</v>
      </c>
      <c r="E6" s="28">
        <f t="shared" ref="E6:K6" si="0">SUM(E7:E10)</f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9">
        <f t="shared" si="0"/>
        <v>0</v>
      </c>
    </row>
    <row r="7" spans="3:11" ht="20.100000000000001" customHeight="1" x14ac:dyDescent="0.25">
      <c r="C7" s="9" t="s">
        <v>2</v>
      </c>
      <c r="D7" s="30">
        <v>101135491.492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64">
        <v>0</v>
      </c>
    </row>
    <row r="8" spans="3:11" ht="20.100000000000001" customHeight="1" x14ac:dyDescent="0.25">
      <c r="C8" s="10" t="s">
        <v>3</v>
      </c>
      <c r="D8" s="32">
        <v>3438015.4101475952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1">
        <v>0</v>
      </c>
    </row>
    <row r="9" spans="3:11" ht="20.100000000000001" customHeight="1" x14ac:dyDescent="0.25">
      <c r="C9" s="10" t="s">
        <v>4</v>
      </c>
      <c r="D9" s="32">
        <v>10588033.983799899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1">
        <v>0</v>
      </c>
    </row>
    <row r="10" spans="3:11" ht="20.100000000000001" customHeight="1" thickBot="1" x14ac:dyDescent="0.3">
      <c r="C10" s="11" t="s">
        <v>5</v>
      </c>
      <c r="D10" s="33">
        <v>8834214.1099999994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65">
        <v>0</v>
      </c>
    </row>
    <row r="11" spans="3:11" ht="20.100000000000001" customHeight="1" thickBot="1" x14ac:dyDescent="0.3">
      <c r="C11" s="8" t="s">
        <v>6</v>
      </c>
      <c r="D11" s="27">
        <f>SUM(D12:D33)</f>
        <v>0</v>
      </c>
      <c r="E11" s="28">
        <f>SUM(E12:E33)</f>
        <v>377440736.75000006</v>
      </c>
      <c r="F11" s="28">
        <f t="shared" ref="F11:K11" si="1">SUM(F12:F33)</f>
        <v>446902440.67588001</v>
      </c>
      <c r="G11" s="28">
        <f t="shared" si="1"/>
        <v>640582721.84000003</v>
      </c>
      <c r="H11" s="28">
        <f t="shared" si="1"/>
        <v>205493124.63979989</v>
      </c>
      <c r="I11" s="28">
        <f t="shared" si="1"/>
        <v>106867847.13977623</v>
      </c>
      <c r="J11" s="28">
        <f t="shared" si="1"/>
        <v>112569774.861121</v>
      </c>
      <c r="K11" s="29">
        <f t="shared" si="1"/>
        <v>70730055.680000007</v>
      </c>
    </row>
    <row r="12" spans="3:11" ht="20.100000000000001" customHeight="1" x14ac:dyDescent="0.25">
      <c r="C12" s="9" t="s">
        <v>5</v>
      </c>
      <c r="D12" s="30">
        <v>0</v>
      </c>
      <c r="E12" s="18">
        <v>0</v>
      </c>
      <c r="F12" s="18">
        <v>301696.77</v>
      </c>
      <c r="G12" s="18">
        <v>0</v>
      </c>
      <c r="H12" s="18">
        <v>0</v>
      </c>
      <c r="I12" s="18">
        <v>0</v>
      </c>
      <c r="J12" s="19">
        <v>2499999.9999999995</v>
      </c>
      <c r="K12" s="64"/>
    </row>
    <row r="13" spans="3:11" ht="20.100000000000001" customHeight="1" x14ac:dyDescent="0.25">
      <c r="C13" s="10" t="s">
        <v>7</v>
      </c>
      <c r="D13" s="32">
        <v>0</v>
      </c>
      <c r="E13" s="21">
        <v>349374233.84353989</v>
      </c>
      <c r="F13" s="21">
        <v>355663502.17119932</v>
      </c>
      <c r="G13" s="21">
        <v>548624022.34394288</v>
      </c>
      <c r="H13" s="21">
        <v>141804499.9497999</v>
      </c>
      <c r="I13" s="21">
        <v>86407830.02977623</v>
      </c>
      <c r="J13" s="22">
        <v>59287927.198281497</v>
      </c>
      <c r="K13" s="31">
        <v>46051785.890000001</v>
      </c>
    </row>
    <row r="14" spans="3:11" ht="20.100000000000001" customHeight="1" x14ac:dyDescent="0.25">
      <c r="C14" s="10" t="s">
        <v>8</v>
      </c>
      <c r="D14" s="32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2">
        <v>2485.1853771582246</v>
      </c>
      <c r="K14" s="31"/>
    </row>
    <row r="15" spans="3:11" ht="20.100000000000001" customHeight="1" x14ac:dyDescent="0.25">
      <c r="C15" s="10" t="s">
        <v>9</v>
      </c>
      <c r="D15" s="32">
        <v>0</v>
      </c>
      <c r="E15" s="21">
        <v>8290152.3115601512</v>
      </c>
      <c r="F15" s="21">
        <v>19622670.599780701</v>
      </c>
      <c r="G15" s="21">
        <v>26377618.267857142</v>
      </c>
      <c r="H15" s="21">
        <v>11104980.770623334</v>
      </c>
      <c r="I15" s="21">
        <v>0</v>
      </c>
      <c r="J15" s="22">
        <v>0</v>
      </c>
      <c r="K15" s="31"/>
    </row>
    <row r="16" spans="3:11" ht="20.100000000000001" customHeight="1" x14ac:dyDescent="0.25">
      <c r="C16" s="10" t="s">
        <v>10</v>
      </c>
      <c r="D16" s="32">
        <v>0</v>
      </c>
      <c r="E16" s="21">
        <v>11350193.674900003</v>
      </c>
      <c r="F16" s="21">
        <v>7209593.3549000006</v>
      </c>
      <c r="G16" s="21">
        <v>7070394.9600000009</v>
      </c>
      <c r="H16" s="21">
        <v>9210492.5099999961</v>
      </c>
      <c r="I16" s="21">
        <v>1909207.8399999999</v>
      </c>
      <c r="J16" s="22">
        <v>2.0199999213218689E-2</v>
      </c>
      <c r="K16" s="31"/>
    </row>
    <row r="17" spans="3:11" ht="20.100000000000001" customHeight="1" x14ac:dyDescent="0.25">
      <c r="C17" s="10" t="s">
        <v>4</v>
      </c>
      <c r="D17" s="32">
        <v>0</v>
      </c>
      <c r="E17" s="21">
        <v>8426156.9200000018</v>
      </c>
      <c r="F17" s="21">
        <v>1612390.9800000002</v>
      </c>
      <c r="G17" s="21">
        <v>4856215.8381999983</v>
      </c>
      <c r="H17" s="21">
        <v>3187477.5999999996</v>
      </c>
      <c r="I17" s="21">
        <v>956243.4</v>
      </c>
      <c r="J17" s="22">
        <v>-7.6372399926185608E-2</v>
      </c>
      <c r="K17" s="31"/>
    </row>
    <row r="18" spans="3:11" ht="20.100000000000001" customHeight="1" x14ac:dyDescent="0.25">
      <c r="C18" s="10" t="s">
        <v>11</v>
      </c>
      <c r="D18" s="32">
        <v>0</v>
      </c>
      <c r="E18" s="21">
        <v>0</v>
      </c>
      <c r="F18" s="21">
        <v>62492586.799999997</v>
      </c>
      <c r="G18" s="21">
        <v>53312250.43</v>
      </c>
      <c r="H18" s="21">
        <v>40093554.369999997</v>
      </c>
      <c r="I18" s="21">
        <v>2863776</v>
      </c>
      <c r="J18" s="22">
        <v>23360028.399999999</v>
      </c>
      <c r="K18" s="31">
        <v>1470803</v>
      </c>
    </row>
    <row r="19" spans="3:11" ht="20.100000000000001" customHeight="1" x14ac:dyDescent="0.25">
      <c r="C19" s="10" t="s">
        <v>12</v>
      </c>
      <c r="D19" s="32">
        <v>0</v>
      </c>
      <c r="E19" s="21">
        <v>0</v>
      </c>
      <c r="F19" s="21">
        <v>0</v>
      </c>
      <c r="G19" s="21">
        <v>342220</v>
      </c>
      <c r="H19" s="21">
        <v>86000</v>
      </c>
      <c r="I19" s="21">
        <v>228405.83</v>
      </c>
      <c r="J19" s="22">
        <v>308127.04000000004</v>
      </c>
      <c r="K19" s="31">
        <v>4035247.13</v>
      </c>
    </row>
    <row r="20" spans="3:11" ht="20.100000000000001" customHeight="1" x14ac:dyDescent="0.25">
      <c r="C20" s="12" t="s">
        <v>13</v>
      </c>
      <c r="D20" s="34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22">
        <v>154000</v>
      </c>
      <c r="K20" s="31">
        <v>996000</v>
      </c>
    </row>
    <row r="21" spans="3:11" ht="20.100000000000001" customHeight="1" x14ac:dyDescent="0.25">
      <c r="C21" s="12" t="s">
        <v>14</v>
      </c>
      <c r="D21" s="34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22">
        <v>303800</v>
      </c>
      <c r="K21" s="31">
        <v>2810685.66</v>
      </c>
    </row>
    <row r="22" spans="3:11" ht="20.100000000000001" customHeight="1" x14ac:dyDescent="0.25">
      <c r="C22" s="12" t="s">
        <v>15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22"/>
      <c r="K22" s="31">
        <v>2935514.3399999989</v>
      </c>
    </row>
    <row r="23" spans="3:11" ht="20.100000000000001" customHeight="1" x14ac:dyDescent="0.25">
      <c r="C23" s="12" t="s">
        <v>16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22">
        <v>1864485.6600000001</v>
      </c>
      <c r="K23" s="31">
        <v>735514.34</v>
      </c>
    </row>
    <row r="24" spans="3:11" ht="20.100000000000001" customHeight="1" x14ac:dyDescent="0.25">
      <c r="C24" s="12" t="s">
        <v>17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22">
        <v>200000</v>
      </c>
      <c r="K24" s="31"/>
    </row>
    <row r="25" spans="3:11" ht="20.100000000000001" customHeight="1" x14ac:dyDescent="0.25">
      <c r="C25" s="12" t="s">
        <v>18</v>
      </c>
      <c r="D25" s="34">
        <v>0</v>
      </c>
      <c r="E25" s="35">
        <v>0</v>
      </c>
      <c r="F25" s="35">
        <v>0</v>
      </c>
      <c r="G25" s="35">
        <v>0</v>
      </c>
      <c r="H25" s="35">
        <v>6119.4393766671401</v>
      </c>
      <c r="I25" s="35">
        <v>5165127.96</v>
      </c>
      <c r="J25" s="22">
        <v>9665132.8069680743</v>
      </c>
      <c r="K25" s="31"/>
    </row>
    <row r="26" spans="3:11" ht="20.100000000000001" customHeight="1" x14ac:dyDescent="0.25">
      <c r="C26" s="12" t="s">
        <v>19</v>
      </c>
      <c r="D26" s="34">
        <v>0</v>
      </c>
      <c r="E26" s="35">
        <v>0</v>
      </c>
      <c r="F26" s="35">
        <v>0</v>
      </c>
      <c r="G26" s="35">
        <v>0</v>
      </c>
      <c r="H26" s="35">
        <v>0</v>
      </c>
      <c r="I26" s="35">
        <v>5559880.6300000008</v>
      </c>
      <c r="J26" s="22">
        <v>0</v>
      </c>
      <c r="K26" s="31"/>
    </row>
    <row r="27" spans="3:11" ht="20.100000000000001" customHeight="1" x14ac:dyDescent="0.25">
      <c r="C27" s="12" t="s">
        <v>20</v>
      </c>
      <c r="D27" s="34">
        <v>0</v>
      </c>
      <c r="E27" s="35">
        <v>0</v>
      </c>
      <c r="F27" s="35">
        <v>0</v>
      </c>
      <c r="G27" s="35">
        <v>0</v>
      </c>
      <c r="H27" s="35">
        <v>0</v>
      </c>
      <c r="I27" s="35">
        <v>2636331.69</v>
      </c>
      <c r="J27" s="22">
        <v>0</v>
      </c>
      <c r="K27" s="31"/>
    </row>
    <row r="28" spans="3:11" ht="20.100000000000001" customHeight="1" x14ac:dyDescent="0.25">
      <c r="C28" s="12" t="s">
        <v>21</v>
      </c>
      <c r="D28" s="34">
        <v>0</v>
      </c>
      <c r="E28" s="35">
        <v>0</v>
      </c>
      <c r="F28" s="35">
        <v>0</v>
      </c>
      <c r="G28" s="35">
        <v>0</v>
      </c>
      <c r="H28" s="35">
        <v>0</v>
      </c>
      <c r="I28" s="35">
        <v>937300.18</v>
      </c>
      <c r="J28" s="22">
        <v>9629465.9199999999</v>
      </c>
      <c r="K28" s="31"/>
    </row>
    <row r="29" spans="3:11" ht="20.100000000000001" customHeight="1" x14ac:dyDescent="0.25">
      <c r="C29" s="12" t="s">
        <v>22</v>
      </c>
      <c r="D29" s="34">
        <v>0</v>
      </c>
      <c r="E29" s="35">
        <v>0</v>
      </c>
      <c r="F29" s="35">
        <v>0</v>
      </c>
      <c r="G29" s="35">
        <v>0</v>
      </c>
      <c r="H29" s="35">
        <v>0</v>
      </c>
      <c r="I29" s="35">
        <v>203743.58</v>
      </c>
      <c r="J29" s="22">
        <v>3580065.84</v>
      </c>
      <c r="K29" s="31"/>
    </row>
    <row r="30" spans="3:11" ht="20.100000000000001" customHeight="1" x14ac:dyDescent="0.25">
      <c r="C30" s="12" t="s">
        <v>35</v>
      </c>
      <c r="D30" s="36"/>
      <c r="E30" s="37"/>
      <c r="F30" s="37"/>
      <c r="G30" s="37"/>
      <c r="H30" s="37"/>
      <c r="I30" s="37"/>
      <c r="J30" s="38">
        <v>1162908.0233333332</v>
      </c>
      <c r="K30" s="66">
        <v>2325816.0466666669</v>
      </c>
    </row>
    <row r="31" spans="3:11" ht="20.100000000000001" customHeight="1" x14ac:dyDescent="0.25">
      <c r="C31" s="12" t="s">
        <v>36</v>
      </c>
      <c r="D31" s="36"/>
      <c r="E31" s="37"/>
      <c r="F31" s="37"/>
      <c r="G31" s="37"/>
      <c r="H31" s="37"/>
      <c r="I31" s="37"/>
      <c r="J31" s="38">
        <v>551348.84333333338</v>
      </c>
      <c r="K31" s="66">
        <v>1102697.6866666665</v>
      </c>
    </row>
    <row r="32" spans="3:11" ht="20.100000000000001" customHeight="1" x14ac:dyDescent="0.25">
      <c r="C32" s="12" t="s">
        <v>37</v>
      </c>
      <c r="D32" s="36"/>
      <c r="E32" s="37"/>
      <c r="F32" s="37"/>
      <c r="G32" s="37"/>
      <c r="H32" s="37"/>
      <c r="I32" s="37"/>
      <c r="J32" s="39"/>
      <c r="K32" s="65">
        <v>6059807.3533333298</v>
      </c>
    </row>
    <row r="33" spans="3:11" ht="20.100000000000001" customHeight="1" thickBot="1" x14ac:dyDescent="0.3">
      <c r="C33" s="12" t="s">
        <v>38</v>
      </c>
      <c r="D33" s="36"/>
      <c r="E33" s="37"/>
      <c r="F33" s="37"/>
      <c r="G33" s="37"/>
      <c r="H33" s="37"/>
      <c r="I33" s="37"/>
      <c r="J33" s="39"/>
      <c r="K33" s="65">
        <v>2206184.2333333339</v>
      </c>
    </row>
    <row r="34" spans="3:11" ht="20.100000000000001" customHeight="1" thickBot="1" x14ac:dyDescent="0.3">
      <c r="C34" s="13" t="s">
        <v>23</v>
      </c>
      <c r="D34" s="40">
        <f t="shared" ref="D34:K34" si="2">+D6+D11</f>
        <v>123995754.9959475</v>
      </c>
      <c r="E34" s="26">
        <f t="shared" si="2"/>
        <v>377440736.75000006</v>
      </c>
      <c r="F34" s="26">
        <f t="shared" si="2"/>
        <v>446902440.67588001</v>
      </c>
      <c r="G34" s="26">
        <f t="shared" si="2"/>
        <v>640582721.84000003</v>
      </c>
      <c r="H34" s="26">
        <f t="shared" si="2"/>
        <v>205493124.63979989</v>
      </c>
      <c r="I34" s="26">
        <f t="shared" si="2"/>
        <v>106867847.13977623</v>
      </c>
      <c r="J34" s="26">
        <f t="shared" si="2"/>
        <v>112569774.861121</v>
      </c>
      <c r="K34" s="41">
        <f t="shared" si="2"/>
        <v>70730055.680000007</v>
      </c>
    </row>
    <row r="35" spans="3:11" x14ac:dyDescent="0.25">
      <c r="D35" s="2"/>
      <c r="E35" s="2"/>
      <c r="F35" s="2"/>
      <c r="G35" s="2"/>
      <c r="H35" s="2"/>
      <c r="I35" s="2"/>
      <c r="J35" s="2"/>
      <c r="K35" s="2"/>
    </row>
    <row r="36" spans="3:11" hidden="1" x14ac:dyDescent="0.25">
      <c r="D36" s="3">
        <v>123995754.9959475</v>
      </c>
      <c r="E36" s="3">
        <v>377440736.75000006</v>
      </c>
      <c r="F36" s="3">
        <v>446902440.67588001</v>
      </c>
      <c r="G36" s="3">
        <v>640344549.71000004</v>
      </c>
      <c r="H36" s="3">
        <v>205323124.63979989</v>
      </c>
      <c r="I36" s="3">
        <v>106639441.30977623</v>
      </c>
      <c r="J36" s="3">
        <v>146124452.11112103</v>
      </c>
      <c r="K36" s="3"/>
    </row>
    <row r="37" spans="3:11" hidden="1" x14ac:dyDescent="0.25">
      <c r="D37" s="2">
        <f>+D34-D36</f>
        <v>0</v>
      </c>
      <c r="E37" s="2">
        <f t="shared" ref="E37:J37" si="3">+E34-E36</f>
        <v>0</v>
      </c>
      <c r="F37" s="2">
        <f t="shared" si="3"/>
        <v>0</v>
      </c>
      <c r="G37" s="2">
        <f t="shared" si="3"/>
        <v>238172.12999999523</v>
      </c>
      <c r="H37" s="2">
        <f t="shared" si="3"/>
        <v>170000</v>
      </c>
      <c r="I37" s="2">
        <f t="shared" si="3"/>
        <v>228405.82999999821</v>
      </c>
      <c r="J37" s="2">
        <f t="shared" si="3"/>
        <v>-33554677.25000003</v>
      </c>
      <c r="K37" s="2"/>
    </row>
    <row r="38" spans="3:11" ht="15.75" thickBot="1" x14ac:dyDescent="0.3">
      <c r="K38" s="4"/>
    </row>
    <row r="39" spans="3:11" ht="15.75" thickBot="1" x14ac:dyDescent="0.3">
      <c r="C39" s="67"/>
      <c r="D39" s="68"/>
      <c r="E39" s="68"/>
      <c r="F39" s="68"/>
      <c r="G39" s="68"/>
      <c r="H39" s="68"/>
      <c r="I39" s="68"/>
      <c r="J39" s="68"/>
      <c r="K39" s="69"/>
    </row>
    <row r="40" spans="3:11" ht="16.5" thickBot="1" x14ac:dyDescent="0.3">
      <c r="C40" s="15" t="s">
        <v>24</v>
      </c>
      <c r="D40" s="16">
        <v>2015</v>
      </c>
      <c r="E40" s="16">
        <v>2016</v>
      </c>
      <c r="F40" s="16">
        <v>2017</v>
      </c>
      <c r="G40" s="16">
        <v>2018</v>
      </c>
      <c r="H40" s="16">
        <v>2019</v>
      </c>
      <c r="I40" s="16">
        <v>2020</v>
      </c>
      <c r="J40" s="16">
        <v>2021</v>
      </c>
      <c r="K40" s="70">
        <v>2022</v>
      </c>
    </row>
    <row r="41" spans="3:11" ht="20.100000000000001" customHeight="1" x14ac:dyDescent="0.25">
      <c r="C41" s="17" t="s">
        <v>25</v>
      </c>
      <c r="D41" s="18">
        <v>0</v>
      </c>
      <c r="E41" s="18">
        <v>82431299.655100003</v>
      </c>
      <c r="F41" s="18">
        <v>101919213.86949998</v>
      </c>
      <c r="G41" s="18">
        <v>11505702.308199998</v>
      </c>
      <c r="H41" s="18">
        <v>1935964.14</v>
      </c>
      <c r="I41" s="18">
        <v>2207820.0287000001</v>
      </c>
      <c r="J41" s="18">
        <v>0</v>
      </c>
      <c r="K41" s="64"/>
    </row>
    <row r="42" spans="3:11" ht="20.100000000000001" customHeight="1" x14ac:dyDescent="0.25">
      <c r="C42" s="20" t="s">
        <v>26</v>
      </c>
      <c r="D42" s="21">
        <v>0</v>
      </c>
      <c r="E42" s="21">
        <v>0</v>
      </c>
      <c r="F42" s="21">
        <v>0</v>
      </c>
      <c r="G42" s="21">
        <v>188093654.91999999</v>
      </c>
      <c r="H42" s="21">
        <v>31496684.069799975</v>
      </c>
      <c r="I42" s="21">
        <v>19869470.759999998</v>
      </c>
      <c r="J42" s="21">
        <f>10540190.2502-K42</f>
        <v>5740190.2515000151</v>
      </c>
      <c r="K42" s="64">
        <f>+[1]Ingreso!$D$61</f>
        <v>4799999.9986999845</v>
      </c>
    </row>
    <row r="43" spans="3:11" ht="20.100000000000001" customHeight="1" x14ac:dyDescent="0.25">
      <c r="C43" s="20" t="s">
        <v>27</v>
      </c>
      <c r="D43" s="21">
        <v>0</v>
      </c>
      <c r="E43" s="21">
        <v>118175906.16999999</v>
      </c>
      <c r="F43" s="21">
        <v>28747717.379999999</v>
      </c>
      <c r="G43" s="21">
        <v>156355579.16</v>
      </c>
      <c r="H43" s="21">
        <v>152765.49</v>
      </c>
      <c r="I43" s="21">
        <v>0</v>
      </c>
      <c r="J43" s="21">
        <v>31.800000011920929</v>
      </c>
      <c r="K43" s="31"/>
    </row>
    <row r="44" spans="3:11" ht="20.100000000000001" customHeight="1" x14ac:dyDescent="0.25">
      <c r="C44" s="20" t="s">
        <v>28</v>
      </c>
      <c r="D44" s="21">
        <v>0</v>
      </c>
      <c r="E44" s="21">
        <v>73006111.089999989</v>
      </c>
      <c r="F44" s="21">
        <v>119658322.41999999</v>
      </c>
      <c r="G44" s="21">
        <v>147335566.49000001</v>
      </c>
      <c r="H44" s="21">
        <v>-2685734.1499999994</v>
      </c>
      <c r="I44" s="21">
        <v>31723950.477200001</v>
      </c>
      <c r="J44" s="21">
        <f>33161783.6728-K44</f>
        <v>26161783.672800001</v>
      </c>
      <c r="K44" s="31">
        <f>+[1]Ingreso!$D$25</f>
        <v>7000000</v>
      </c>
    </row>
    <row r="45" spans="3:11" ht="20.100000000000001" customHeight="1" x14ac:dyDescent="0.25">
      <c r="C45" s="20" t="s">
        <v>29</v>
      </c>
      <c r="D45" s="21">
        <v>0</v>
      </c>
      <c r="E45" s="21">
        <v>92213884.719999999</v>
      </c>
      <c r="F45" s="21">
        <v>107698913.52098</v>
      </c>
      <c r="G45" s="21">
        <v>325373.89</v>
      </c>
      <c r="H45" s="21">
        <v>170000</v>
      </c>
      <c r="I45" s="21">
        <v>228405.83</v>
      </c>
      <c r="J45" s="21">
        <f>308127.04+2023125.66</f>
        <v>2331252.6999999997</v>
      </c>
      <c r="K45" s="31">
        <f>+[1]Ingreso!$D$53+[1]Ingreso!$D$59</f>
        <v>2032169.3390200185</v>
      </c>
    </row>
    <row r="46" spans="3:11" ht="20.100000000000001" customHeight="1" x14ac:dyDescent="0.25">
      <c r="C46" s="20" t="s">
        <v>30</v>
      </c>
      <c r="D46" s="21">
        <v>0</v>
      </c>
      <c r="E46" s="21">
        <v>0</v>
      </c>
      <c r="F46" s="21">
        <v>0</v>
      </c>
      <c r="G46" s="21">
        <v>0</v>
      </c>
      <c r="H46" s="21">
        <v>145904197.20999998</v>
      </c>
      <c r="I46" s="21">
        <v>45958494.534150526</v>
      </c>
      <c r="J46" s="21">
        <f>33441108.2558495+15407.77</f>
        <v>33456516.025849499</v>
      </c>
      <c r="K46" s="31">
        <f>+[1]Ingreso!$D$54+[1]Ingreso!$D$60+[1]Ingreso!$D$70+[1]Ingreso!$D$76+[1]Ingreso!$D$66</f>
        <v>4680792.2322800076</v>
      </c>
    </row>
    <row r="47" spans="3:11" ht="20.100000000000001" customHeight="1" x14ac:dyDescent="0.25">
      <c r="C47" s="20" t="s">
        <v>31</v>
      </c>
      <c r="D47" s="21">
        <v>0</v>
      </c>
      <c r="E47" s="21">
        <v>0</v>
      </c>
      <c r="F47" s="21">
        <v>62492586.799999997</v>
      </c>
      <c r="G47" s="21">
        <v>53312250.43</v>
      </c>
      <c r="H47" s="21">
        <v>40093554.369999997</v>
      </c>
      <c r="I47" s="21">
        <v>2863776</v>
      </c>
      <c r="J47" s="21">
        <f>24830831.4-1470803</f>
        <v>23360028.399999999</v>
      </c>
      <c r="K47" s="31">
        <v>1470803</v>
      </c>
    </row>
    <row r="48" spans="3:11" ht="20.100000000000001" customHeight="1" x14ac:dyDescent="0.25">
      <c r="C48" s="20" t="s">
        <v>32</v>
      </c>
      <c r="D48" s="21">
        <v>40689999.995191857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31"/>
    </row>
    <row r="49" spans="3:11" ht="20.100000000000001" customHeight="1" thickBot="1" x14ac:dyDescent="0.3">
      <c r="C49" s="23" t="s">
        <v>33</v>
      </c>
      <c r="D49" s="24">
        <v>83305754.673747689</v>
      </c>
      <c r="E49" s="24">
        <v>11613535.110000003</v>
      </c>
      <c r="F49" s="24">
        <v>26385686.690000001</v>
      </c>
      <c r="G49" s="24">
        <v>83654594.641800016</v>
      </c>
      <c r="H49" s="24">
        <v>-11574306.490000067</v>
      </c>
      <c r="I49" s="24">
        <v>4015929.509725742</v>
      </c>
      <c r="J49" s="24">
        <v>21519972.010000002</v>
      </c>
      <c r="K49" s="65">
        <f>SUM(K30:K33)+35151785.89+3900000-0.1</f>
        <v>50746291.109999992</v>
      </c>
    </row>
    <row r="50" spans="3:11" ht="20.100000000000001" customHeight="1" thickBot="1" x14ac:dyDescent="0.3">
      <c r="C50" s="25" t="s">
        <v>34</v>
      </c>
      <c r="D50" s="26">
        <f t="shared" ref="D50:K50" si="4">SUM(D41:D49)</f>
        <v>123995754.66893955</v>
      </c>
      <c r="E50" s="26">
        <f t="shared" si="4"/>
        <v>377440736.74510002</v>
      </c>
      <c r="F50" s="26">
        <f t="shared" si="4"/>
        <v>446902440.68048</v>
      </c>
      <c r="G50" s="26">
        <f t="shared" si="4"/>
        <v>640582721.84000003</v>
      </c>
      <c r="H50" s="26">
        <f t="shared" si="4"/>
        <v>205493124.63979989</v>
      </c>
      <c r="I50" s="26">
        <f t="shared" si="4"/>
        <v>106867847.13977626</v>
      </c>
      <c r="J50" s="26">
        <f t="shared" si="4"/>
        <v>112569774.86014955</v>
      </c>
      <c r="K50" s="41">
        <f t="shared" si="4"/>
        <v>70730055.680000007</v>
      </c>
    </row>
  </sheetData>
  <pageMargins left="0.7" right="0.7" top="0.75" bottom="0.75" header="0.3" footer="0.3"/>
  <pageSetup paperSize="9" orientation="portrait" r:id="rId1"/>
  <ignoredErrors>
    <ignoredError sqref="D50:K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A5DE7-DDAF-4CC2-91C2-C97C76ABF6DB}">
  <dimension ref="B1:P20"/>
  <sheetViews>
    <sheetView zoomScale="115" zoomScaleNormal="115" workbookViewId="0">
      <selection activeCell="N18" sqref="N18"/>
    </sheetView>
  </sheetViews>
  <sheetFormatPr baseColWidth="10" defaultRowHeight="15" x14ac:dyDescent="0.25"/>
  <cols>
    <col min="3" max="3" width="24.85546875" customWidth="1"/>
    <col min="10" max="10" width="11.7109375" bestFit="1" customWidth="1"/>
  </cols>
  <sheetData>
    <row r="1" spans="2:16" ht="15.75" thickBot="1" x14ac:dyDescent="0.3">
      <c r="B1" s="73" t="s">
        <v>39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2:16" x14ac:dyDescent="0.25">
      <c r="B2" s="76" t="s">
        <v>40</v>
      </c>
      <c r="C2" s="78" t="s">
        <v>41</v>
      </c>
      <c r="D2" s="78" t="s">
        <v>42</v>
      </c>
      <c r="E2" s="71">
        <v>44562</v>
      </c>
      <c r="F2" s="71">
        <v>44593</v>
      </c>
      <c r="G2" s="71">
        <v>44621</v>
      </c>
      <c r="H2" s="71">
        <v>44652</v>
      </c>
      <c r="I2" s="71">
        <v>44682</v>
      </c>
      <c r="J2" s="71">
        <v>44713</v>
      </c>
      <c r="K2" s="71">
        <v>44743</v>
      </c>
      <c r="L2" s="71">
        <v>44774</v>
      </c>
      <c r="M2" s="71">
        <v>44805</v>
      </c>
      <c r="N2" s="71">
        <v>44835</v>
      </c>
      <c r="O2" s="71">
        <v>44866</v>
      </c>
      <c r="P2" s="71">
        <v>44896</v>
      </c>
    </row>
    <row r="3" spans="2:16" ht="15.75" thickBot="1" x14ac:dyDescent="0.3">
      <c r="B3" s="77"/>
      <c r="C3" s="79"/>
      <c r="D3" s="80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6" ht="15.75" thickBot="1" x14ac:dyDescent="0.3">
      <c r="B4" s="42"/>
      <c r="C4" s="43" t="s">
        <v>43</v>
      </c>
      <c r="D4" s="58">
        <f t="shared" ref="D4:P4" si="0">SUM(D5:D5)</f>
        <v>8385623.4000000004</v>
      </c>
      <c r="E4" s="60">
        <f t="shared" si="0"/>
        <v>697744.81400000001</v>
      </c>
      <c r="F4" s="60">
        <f t="shared" si="0"/>
        <v>697744.81400000001</v>
      </c>
      <c r="G4" s="60">
        <f t="shared" si="0"/>
        <v>697744.81400000001</v>
      </c>
      <c r="H4" s="60">
        <f t="shared" si="0"/>
        <v>697744.81400000001</v>
      </c>
      <c r="I4" s="60">
        <f t="shared" si="0"/>
        <v>697744.81400000001</v>
      </c>
      <c r="J4" s="60">
        <f t="shared" si="0"/>
        <v>699557.04714285699</v>
      </c>
      <c r="K4" s="60">
        <f t="shared" si="0"/>
        <v>699557.0471428571</v>
      </c>
      <c r="L4" s="60">
        <f t="shared" si="0"/>
        <v>699557.0471428571</v>
      </c>
      <c r="M4" s="60">
        <f t="shared" si="0"/>
        <v>699557.0471428571</v>
      </c>
      <c r="N4" s="60">
        <f t="shared" si="0"/>
        <v>699557.0471428571</v>
      </c>
      <c r="O4" s="60">
        <f t="shared" si="0"/>
        <v>699557.0471428571</v>
      </c>
      <c r="P4" s="59">
        <f t="shared" si="0"/>
        <v>699557.0471428571</v>
      </c>
    </row>
    <row r="5" spans="2:16" ht="15.75" thickBot="1" x14ac:dyDescent="0.3">
      <c r="B5" s="46">
        <v>730601</v>
      </c>
      <c r="C5" s="47" t="s">
        <v>44</v>
      </c>
      <c r="D5" s="48">
        <v>8385623.4000000004</v>
      </c>
      <c r="E5" s="49">
        <v>697744.81400000001</v>
      </c>
      <c r="F5" s="50">
        <v>697744.81400000001</v>
      </c>
      <c r="G5" s="50">
        <v>697744.81400000001</v>
      </c>
      <c r="H5" s="50">
        <v>697744.81400000001</v>
      </c>
      <c r="I5" s="50">
        <v>697744.81400000001</v>
      </c>
      <c r="J5" s="50">
        <v>699557.04714285699</v>
      </c>
      <c r="K5" s="50">
        <v>699557.0471428571</v>
      </c>
      <c r="L5" s="50">
        <v>699557.0471428571</v>
      </c>
      <c r="M5" s="50">
        <v>699557.0471428571</v>
      </c>
      <c r="N5" s="50">
        <v>699557.0471428571</v>
      </c>
      <c r="O5" s="50">
        <v>699557.0471428571</v>
      </c>
      <c r="P5" s="50">
        <v>699557.0471428571</v>
      </c>
    </row>
    <row r="6" spans="2:16" ht="17.25" thickBot="1" x14ac:dyDescent="0.3">
      <c r="B6" s="42"/>
      <c r="C6" s="61" t="s">
        <v>47</v>
      </c>
      <c r="D6" s="60">
        <f t="shared" ref="D6:P6" si="1">SUM(D7:D7)</f>
        <v>3308881.9199999999</v>
      </c>
      <c r="E6" s="60">
        <f t="shared" si="1"/>
        <v>330809.30599999998</v>
      </c>
      <c r="F6" s="60">
        <f t="shared" si="1"/>
        <v>330809.30599999998</v>
      </c>
      <c r="G6" s="60">
        <f t="shared" si="1"/>
        <v>330809.30599999998</v>
      </c>
      <c r="H6" s="60">
        <f t="shared" si="1"/>
        <v>330809.30599999998</v>
      </c>
      <c r="I6" s="60">
        <f t="shared" si="1"/>
        <v>330809.30599999998</v>
      </c>
      <c r="J6" s="60">
        <f t="shared" si="1"/>
        <v>236405.05571428579</v>
      </c>
      <c r="K6" s="60">
        <f t="shared" si="1"/>
        <v>236405.05571428579</v>
      </c>
      <c r="L6" s="60">
        <f t="shared" si="1"/>
        <v>236405.05571428579</v>
      </c>
      <c r="M6" s="60">
        <f t="shared" si="1"/>
        <v>236405.05571428579</v>
      </c>
      <c r="N6" s="60">
        <f t="shared" si="1"/>
        <v>236405.05571428579</v>
      </c>
      <c r="O6" s="60">
        <f t="shared" si="1"/>
        <v>236405.05571428579</v>
      </c>
      <c r="P6" s="60">
        <f t="shared" si="1"/>
        <v>236405.05571428579</v>
      </c>
    </row>
    <row r="7" spans="2:16" ht="15.75" thickBot="1" x14ac:dyDescent="0.3">
      <c r="B7" s="46">
        <v>730601</v>
      </c>
      <c r="C7" s="47" t="s">
        <v>48</v>
      </c>
      <c r="D7" s="48">
        <v>3308881.9199999999</v>
      </c>
      <c r="E7" s="49">
        <v>330809.30599999998</v>
      </c>
      <c r="F7" s="50">
        <v>330809.30599999998</v>
      </c>
      <c r="G7" s="50">
        <v>330809.30599999998</v>
      </c>
      <c r="H7" s="50">
        <v>330809.30599999998</v>
      </c>
      <c r="I7" s="50">
        <v>330809.30599999998</v>
      </c>
      <c r="J7" s="50">
        <v>236405.05571428579</v>
      </c>
      <c r="K7" s="50">
        <v>236405.05571428579</v>
      </c>
      <c r="L7" s="50">
        <v>236405.05571428579</v>
      </c>
      <c r="M7" s="50">
        <v>236405.05571428579</v>
      </c>
      <c r="N7" s="50">
        <v>236405.05571428579</v>
      </c>
      <c r="O7" s="50">
        <v>236405.05571428579</v>
      </c>
      <c r="P7" s="50">
        <v>236405.05571428579</v>
      </c>
    </row>
    <row r="8" spans="2:16" ht="17.25" thickBot="1" x14ac:dyDescent="0.3">
      <c r="B8" s="42"/>
      <c r="C8" s="43" t="s">
        <v>50</v>
      </c>
      <c r="D8" s="44">
        <f t="shared" ref="D8:P8" si="2">SUM(D9:D9)</f>
        <v>33530534.950000003</v>
      </c>
      <c r="E8" s="45">
        <f t="shared" si="2"/>
        <v>5829780.6900000004</v>
      </c>
      <c r="F8" s="45">
        <f t="shared" si="2"/>
        <v>5181193.95</v>
      </c>
      <c r="G8" s="45">
        <f t="shared" si="2"/>
        <v>10582614.59</v>
      </c>
      <c r="H8" s="45">
        <f t="shared" si="2"/>
        <v>5525194.9699999997</v>
      </c>
      <c r="I8" s="45">
        <f t="shared" si="2"/>
        <v>998236.84</v>
      </c>
      <c r="J8" s="45">
        <f t="shared" si="2"/>
        <v>998236.84</v>
      </c>
      <c r="K8" s="45">
        <f t="shared" si="2"/>
        <v>995481.78</v>
      </c>
      <c r="L8" s="45">
        <f t="shared" si="2"/>
        <v>487916.65</v>
      </c>
      <c r="M8" s="45">
        <f t="shared" si="2"/>
        <v>1527180.48</v>
      </c>
      <c r="N8" s="45">
        <f t="shared" si="2"/>
        <v>563758.24</v>
      </c>
      <c r="O8" s="45">
        <f t="shared" si="2"/>
        <v>420469.97</v>
      </c>
      <c r="P8" s="45">
        <f t="shared" si="2"/>
        <v>420469.93</v>
      </c>
    </row>
    <row r="9" spans="2:16" ht="15.75" thickBot="1" x14ac:dyDescent="0.3">
      <c r="B9" s="46">
        <v>750105</v>
      </c>
      <c r="C9" s="47" t="s">
        <v>50</v>
      </c>
      <c r="D9" s="48">
        <f>46051785.89-D11</f>
        <v>33530534.950000003</v>
      </c>
      <c r="E9" s="49">
        <f>5504780.69+325000</f>
        <v>5829780.6900000004</v>
      </c>
      <c r="F9" s="50">
        <f>4856193.95+325000</f>
        <v>5181193.95</v>
      </c>
      <c r="G9" s="50">
        <f>10257614.59+325000</f>
        <v>10582614.59</v>
      </c>
      <c r="H9" s="50">
        <f>5200194.97+325000</f>
        <v>5525194.9699999997</v>
      </c>
      <c r="I9" s="50">
        <f>673236.84+325000</f>
        <v>998236.84</v>
      </c>
      <c r="J9" s="50">
        <f>673236.84+325000</f>
        <v>998236.84</v>
      </c>
      <c r="K9" s="50">
        <f>670481.78+325000</f>
        <v>995481.78</v>
      </c>
      <c r="L9" s="50">
        <f>162916.65+325000</f>
        <v>487916.65</v>
      </c>
      <c r="M9" s="50">
        <f>1202180.48+325000</f>
        <v>1527180.48</v>
      </c>
      <c r="N9" s="50">
        <f>238758.24+325000</f>
        <v>563758.24</v>
      </c>
      <c r="O9" s="50">
        <f>95469.97+325000</f>
        <v>420469.97</v>
      </c>
      <c r="P9" s="50">
        <v>420469.93</v>
      </c>
    </row>
    <row r="10" spans="2:16" ht="17.25" thickBot="1" x14ac:dyDescent="0.3">
      <c r="B10" s="42"/>
      <c r="C10" s="43" t="s">
        <v>53</v>
      </c>
      <c r="D10" s="44">
        <f t="shared" ref="D10:P10" si="3">SUM(D11:D11)</f>
        <v>12521250.939999999</v>
      </c>
      <c r="E10" s="45">
        <f t="shared" si="3"/>
        <v>2128612.66</v>
      </c>
      <c r="F10" s="45">
        <f t="shared" si="3"/>
        <v>0</v>
      </c>
      <c r="G10" s="45">
        <f t="shared" si="3"/>
        <v>1039263.83</v>
      </c>
      <c r="H10" s="45">
        <f t="shared" si="3"/>
        <v>1039263.83</v>
      </c>
      <c r="I10" s="45">
        <f t="shared" si="3"/>
        <v>1039263.83</v>
      </c>
      <c r="J10" s="45">
        <f t="shared" si="3"/>
        <v>1039263.83</v>
      </c>
      <c r="K10" s="45">
        <f t="shared" si="3"/>
        <v>0</v>
      </c>
      <c r="L10" s="45">
        <f t="shared" si="3"/>
        <v>2078527.66</v>
      </c>
      <c r="M10" s="45">
        <f t="shared" si="3"/>
        <v>1039263.83</v>
      </c>
      <c r="N10" s="45">
        <f t="shared" si="3"/>
        <v>1039263.83</v>
      </c>
      <c r="O10" s="45">
        <f t="shared" si="3"/>
        <v>1039263.83</v>
      </c>
      <c r="P10" s="45">
        <f t="shared" si="3"/>
        <v>1039263.81</v>
      </c>
    </row>
    <row r="11" spans="2:16" ht="17.25" thickBot="1" x14ac:dyDescent="0.3">
      <c r="B11" s="46">
        <v>750105</v>
      </c>
      <c r="C11" s="47" t="s">
        <v>53</v>
      </c>
      <c r="D11" s="48">
        <v>12521250.939999999</v>
      </c>
      <c r="E11" s="49">
        <v>2128612.66</v>
      </c>
      <c r="F11" s="53">
        <v>0</v>
      </c>
      <c r="G11" s="50">
        <v>1039263.83</v>
      </c>
      <c r="H11" s="50">
        <v>1039263.83</v>
      </c>
      <c r="I11" s="50">
        <v>1039263.83</v>
      </c>
      <c r="J11" s="50">
        <v>1039263.83</v>
      </c>
      <c r="K11" s="53">
        <v>0</v>
      </c>
      <c r="L11" s="50">
        <v>2078527.66</v>
      </c>
      <c r="M11" s="50">
        <v>1039263.83</v>
      </c>
      <c r="N11" s="50">
        <v>1039263.83</v>
      </c>
      <c r="O11" s="50">
        <v>1039263.83</v>
      </c>
      <c r="P11" s="50">
        <v>1039263.81</v>
      </c>
    </row>
    <row r="12" spans="2:16" ht="15.75" thickBot="1" x14ac:dyDescent="0.3">
      <c r="B12" s="42"/>
      <c r="C12" s="61" t="s">
        <v>63</v>
      </c>
      <c r="D12" s="60">
        <f t="shared" ref="D12:P12" si="4">SUM(D13:D13)</f>
        <v>1470803</v>
      </c>
      <c r="E12" s="60">
        <f t="shared" si="4"/>
        <v>0</v>
      </c>
      <c r="F12" s="60">
        <f t="shared" si="4"/>
        <v>0</v>
      </c>
      <c r="G12" s="60">
        <f t="shared" si="4"/>
        <v>1470803</v>
      </c>
      <c r="H12" s="60">
        <f t="shared" si="4"/>
        <v>0</v>
      </c>
      <c r="I12" s="60">
        <f t="shared" si="4"/>
        <v>0</v>
      </c>
      <c r="J12" s="60">
        <f t="shared" si="4"/>
        <v>0</v>
      </c>
      <c r="K12" s="60">
        <f t="shared" si="4"/>
        <v>0</v>
      </c>
      <c r="L12" s="60">
        <f t="shared" si="4"/>
        <v>0</v>
      </c>
      <c r="M12" s="60">
        <f t="shared" si="4"/>
        <v>0</v>
      </c>
      <c r="N12" s="60">
        <f t="shared" si="4"/>
        <v>0</v>
      </c>
      <c r="O12" s="60">
        <f t="shared" si="4"/>
        <v>0</v>
      </c>
      <c r="P12" s="60">
        <f t="shared" si="4"/>
        <v>0</v>
      </c>
    </row>
    <row r="13" spans="2:16" ht="15.75" thickBot="1" x14ac:dyDescent="0.3">
      <c r="B13" s="46">
        <v>360301</v>
      </c>
      <c r="C13" s="47" t="s">
        <v>64</v>
      </c>
      <c r="D13" s="56">
        <v>1470803</v>
      </c>
      <c r="E13" s="52"/>
      <c r="F13" s="53"/>
      <c r="G13" s="57">
        <f>+D13</f>
        <v>1470803</v>
      </c>
      <c r="H13" s="53"/>
      <c r="I13" s="53"/>
      <c r="J13" s="53"/>
      <c r="K13" s="53"/>
      <c r="L13" s="53"/>
      <c r="M13" s="53"/>
      <c r="N13" s="53"/>
      <c r="O13" s="53"/>
      <c r="P13" s="50">
        <v>0</v>
      </c>
    </row>
    <row r="14" spans="2:16" ht="15.75" thickBot="1" x14ac:dyDescent="0.3">
      <c r="B14" s="42"/>
      <c r="C14" s="61" t="s">
        <v>54</v>
      </c>
      <c r="D14" s="60">
        <f t="shared" ref="D14:P14" si="5">SUM(D15:D15)</f>
        <v>10329891.35</v>
      </c>
      <c r="E14" s="60">
        <f t="shared" si="5"/>
        <v>172461.6</v>
      </c>
      <c r="F14" s="60">
        <f t="shared" si="5"/>
        <v>199052</v>
      </c>
      <c r="G14" s="60">
        <f t="shared" si="5"/>
        <v>461160.8</v>
      </c>
      <c r="H14" s="60">
        <f t="shared" si="5"/>
        <v>332052</v>
      </c>
      <c r="I14" s="60">
        <f t="shared" si="5"/>
        <v>562421.6</v>
      </c>
      <c r="J14" s="60">
        <f t="shared" si="5"/>
        <v>531552</v>
      </c>
      <c r="K14" s="60">
        <f t="shared" si="5"/>
        <v>389052</v>
      </c>
      <c r="L14" s="60">
        <f t="shared" si="5"/>
        <v>266052</v>
      </c>
      <c r="M14" s="60">
        <f t="shared" si="5"/>
        <v>988552</v>
      </c>
      <c r="N14" s="60">
        <f t="shared" si="5"/>
        <v>109984.05</v>
      </c>
      <c r="O14" s="60">
        <f t="shared" si="5"/>
        <v>5129960</v>
      </c>
      <c r="P14" s="59">
        <f t="shared" si="5"/>
        <v>1187591.3</v>
      </c>
    </row>
    <row r="15" spans="2:16" ht="15.75" thickBot="1" x14ac:dyDescent="0.3">
      <c r="B15" s="46">
        <v>730601</v>
      </c>
      <c r="C15" s="47" t="s">
        <v>54</v>
      </c>
      <c r="D15" s="48">
        <v>10329891.35</v>
      </c>
      <c r="E15" s="49">
        <v>172461.6</v>
      </c>
      <c r="F15" s="50">
        <v>199052</v>
      </c>
      <c r="G15" s="50">
        <v>461160.8</v>
      </c>
      <c r="H15" s="50">
        <v>332052</v>
      </c>
      <c r="I15" s="50">
        <v>562421.6</v>
      </c>
      <c r="J15" s="50">
        <v>531552</v>
      </c>
      <c r="K15" s="50">
        <v>389052</v>
      </c>
      <c r="L15" s="50">
        <v>266052</v>
      </c>
      <c r="M15" s="50">
        <v>988552</v>
      </c>
      <c r="N15" s="50">
        <v>109984.05</v>
      </c>
      <c r="O15" s="50">
        <v>5129960</v>
      </c>
      <c r="P15" s="50">
        <v>1187591.3</v>
      </c>
    </row>
    <row r="16" spans="2:16" ht="15.75" thickBot="1" x14ac:dyDescent="0.3">
      <c r="B16" s="42"/>
      <c r="C16" s="43" t="s">
        <v>56</v>
      </c>
      <c r="D16" s="44">
        <f t="shared" ref="D16:P16" si="6">SUM(D17:D17)</f>
        <v>187070.12</v>
      </c>
      <c r="E16" s="45">
        <f t="shared" si="6"/>
        <v>0</v>
      </c>
      <c r="F16" s="45">
        <f t="shared" si="6"/>
        <v>0</v>
      </c>
      <c r="G16" s="45">
        <f t="shared" si="6"/>
        <v>187070.12</v>
      </c>
      <c r="H16" s="45">
        <f t="shared" si="6"/>
        <v>0</v>
      </c>
      <c r="I16" s="45">
        <f t="shared" si="6"/>
        <v>0</v>
      </c>
      <c r="J16" s="45">
        <f t="shared" si="6"/>
        <v>0</v>
      </c>
      <c r="K16" s="45">
        <f t="shared" si="6"/>
        <v>0</v>
      </c>
      <c r="L16" s="45">
        <f t="shared" si="6"/>
        <v>0</v>
      </c>
      <c r="M16" s="45">
        <f t="shared" si="6"/>
        <v>0</v>
      </c>
      <c r="N16" s="45">
        <f t="shared" si="6"/>
        <v>0</v>
      </c>
      <c r="O16" s="45">
        <f t="shared" si="6"/>
        <v>0</v>
      </c>
      <c r="P16" s="45">
        <f t="shared" si="6"/>
        <v>0</v>
      </c>
    </row>
    <row r="17" spans="2:16" ht="25.5" thickBot="1" x14ac:dyDescent="0.3">
      <c r="B17" s="46">
        <v>770206</v>
      </c>
      <c r="C17" s="54" t="s">
        <v>57</v>
      </c>
      <c r="D17" s="48">
        <v>187070.12</v>
      </c>
      <c r="E17" s="52">
        <v>0</v>
      </c>
      <c r="F17" s="53">
        <v>0</v>
      </c>
      <c r="G17" s="50">
        <v>187070.12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0">
        <v>0</v>
      </c>
    </row>
    <row r="18" spans="2:16" ht="15.75" thickBot="1" x14ac:dyDescent="0.3">
      <c r="B18" s="42"/>
      <c r="C18" s="43" t="s">
        <v>59</v>
      </c>
      <c r="D18" s="44">
        <f t="shared" ref="D18:P18" si="7">SUM(D19:D19)</f>
        <v>996000</v>
      </c>
      <c r="E18" s="45">
        <f t="shared" si="7"/>
        <v>0</v>
      </c>
      <c r="F18" s="45">
        <f t="shared" si="7"/>
        <v>0</v>
      </c>
      <c r="G18" s="45">
        <f t="shared" si="7"/>
        <v>0</v>
      </c>
      <c r="H18" s="45">
        <f t="shared" si="7"/>
        <v>0</v>
      </c>
      <c r="I18" s="45">
        <f t="shared" si="7"/>
        <v>996000</v>
      </c>
      <c r="J18" s="45">
        <f t="shared" si="7"/>
        <v>0</v>
      </c>
      <c r="K18" s="45">
        <f t="shared" si="7"/>
        <v>0</v>
      </c>
      <c r="L18" s="45">
        <f t="shared" si="7"/>
        <v>0</v>
      </c>
      <c r="M18" s="45">
        <f t="shared" si="7"/>
        <v>0</v>
      </c>
      <c r="N18" s="45">
        <f t="shared" si="7"/>
        <v>0</v>
      </c>
      <c r="O18" s="45">
        <f t="shared" si="7"/>
        <v>0</v>
      </c>
      <c r="P18" s="45">
        <f t="shared" si="7"/>
        <v>0</v>
      </c>
    </row>
    <row r="19" spans="2:16" ht="15.75" thickBot="1" x14ac:dyDescent="0.3">
      <c r="B19" s="46">
        <v>840301</v>
      </c>
      <c r="C19" s="47" t="s">
        <v>59</v>
      </c>
      <c r="D19" s="48">
        <v>996000</v>
      </c>
      <c r="E19" s="52">
        <v>0</v>
      </c>
      <c r="F19" s="53">
        <v>0</v>
      </c>
      <c r="G19" s="53">
        <v>0</v>
      </c>
      <c r="H19" s="53">
        <v>0</v>
      </c>
      <c r="I19" s="50">
        <f>+D19</f>
        <v>996000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0">
        <v>0</v>
      </c>
    </row>
    <row r="20" spans="2:16" ht="15.75" thickBot="1" x14ac:dyDescent="0.3">
      <c r="B20" s="42"/>
      <c r="C20" s="43" t="s">
        <v>61</v>
      </c>
      <c r="D20" s="44">
        <f t="shared" ref="D20:P20" si="8">+D18+D16+D14+D12+D10+D8+D6+D4</f>
        <v>70730055.680000007</v>
      </c>
      <c r="E20" s="45">
        <f t="shared" si="8"/>
        <v>9159409.0700000003</v>
      </c>
      <c r="F20" s="45">
        <f t="shared" si="8"/>
        <v>6408800.0700000003</v>
      </c>
      <c r="G20" s="45">
        <f t="shared" si="8"/>
        <v>14769466.459999999</v>
      </c>
      <c r="H20" s="45">
        <f t="shared" si="8"/>
        <v>7925064.9199999999</v>
      </c>
      <c r="I20" s="45">
        <f t="shared" si="8"/>
        <v>4624476.3899999997</v>
      </c>
      <c r="J20" s="45">
        <f t="shared" si="8"/>
        <v>3505014.7728571426</v>
      </c>
      <c r="K20" s="45">
        <f t="shared" si="8"/>
        <v>2320495.8828571429</v>
      </c>
      <c r="L20" s="45">
        <f t="shared" si="8"/>
        <v>3768458.4128571432</v>
      </c>
      <c r="M20" s="45">
        <f t="shared" si="8"/>
        <v>4490958.4128571432</v>
      </c>
      <c r="N20" s="45">
        <f t="shared" si="8"/>
        <v>2648968.2228571428</v>
      </c>
      <c r="O20" s="45">
        <f t="shared" si="8"/>
        <v>7525655.9028571425</v>
      </c>
      <c r="P20" s="45">
        <f t="shared" si="8"/>
        <v>3583287.1428571437</v>
      </c>
    </row>
  </sheetData>
  <mergeCells count="16">
    <mergeCell ref="P2:P3"/>
    <mergeCell ref="B1:P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38"/>
  <sheetViews>
    <sheetView tabSelected="1" zoomScale="115" zoomScaleNormal="115" workbookViewId="0">
      <selection activeCell="D9" sqref="D9"/>
    </sheetView>
  </sheetViews>
  <sheetFormatPr baseColWidth="10" defaultRowHeight="15" x14ac:dyDescent="0.25"/>
  <cols>
    <col min="3" max="3" width="24.85546875" customWidth="1"/>
    <col min="10" max="10" width="11.7109375" bestFit="1" customWidth="1"/>
  </cols>
  <sheetData>
    <row r="1" spans="2:16" ht="15.75" thickBot="1" x14ac:dyDescent="0.3">
      <c r="B1" s="73" t="s">
        <v>39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5"/>
    </row>
    <row r="2" spans="2:16" x14ac:dyDescent="0.25">
      <c r="B2" s="76" t="s">
        <v>40</v>
      </c>
      <c r="C2" s="78" t="s">
        <v>41</v>
      </c>
      <c r="D2" s="78" t="s">
        <v>42</v>
      </c>
      <c r="E2" s="71">
        <v>44562</v>
      </c>
      <c r="F2" s="71">
        <v>44593</v>
      </c>
      <c r="G2" s="71">
        <v>44621</v>
      </c>
      <c r="H2" s="71">
        <v>44652</v>
      </c>
      <c r="I2" s="71">
        <v>44682</v>
      </c>
      <c r="J2" s="71">
        <v>44713</v>
      </c>
      <c r="K2" s="71">
        <v>44743</v>
      </c>
      <c r="L2" s="71">
        <v>44774</v>
      </c>
      <c r="M2" s="71">
        <v>44805</v>
      </c>
      <c r="N2" s="71">
        <v>44835</v>
      </c>
      <c r="O2" s="71">
        <v>44866</v>
      </c>
      <c r="P2" s="71">
        <v>44896</v>
      </c>
    </row>
    <row r="3" spans="2:16" ht="15.75" thickBot="1" x14ac:dyDescent="0.3">
      <c r="B3" s="77"/>
      <c r="C3" s="79"/>
      <c r="D3" s="80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2:16" ht="15.75" thickBot="1" x14ac:dyDescent="0.3">
      <c r="B4" s="42"/>
      <c r="C4" s="43" t="s">
        <v>43</v>
      </c>
      <c r="D4" s="58">
        <f>SUM(D5:D7)</f>
        <v>8385623.4000000004</v>
      </c>
      <c r="E4" s="60">
        <f t="shared" ref="E4:P4" si="0">SUM(E5:E7)</f>
        <v>697744.81400000001</v>
      </c>
      <c r="F4" s="60">
        <f t="shared" si="0"/>
        <v>697744.81400000001</v>
      </c>
      <c r="G4" s="60">
        <f t="shared" si="0"/>
        <v>697744.81400000001</v>
      </c>
      <c r="H4" s="60">
        <f t="shared" si="0"/>
        <v>697744.81400000001</v>
      </c>
      <c r="I4" s="60">
        <f t="shared" si="0"/>
        <v>697744.81400000001</v>
      </c>
      <c r="J4" s="60">
        <f t="shared" si="0"/>
        <v>699557.04714285699</v>
      </c>
      <c r="K4" s="60">
        <f t="shared" si="0"/>
        <v>699557.0471428571</v>
      </c>
      <c r="L4" s="60">
        <f t="shared" si="0"/>
        <v>699557.0471428571</v>
      </c>
      <c r="M4" s="60">
        <f t="shared" si="0"/>
        <v>699557.0471428571</v>
      </c>
      <c r="N4" s="60">
        <f t="shared" si="0"/>
        <v>699557.0471428571</v>
      </c>
      <c r="O4" s="60">
        <f t="shared" si="0"/>
        <v>699557.0471428571</v>
      </c>
      <c r="P4" s="59">
        <f t="shared" si="0"/>
        <v>699557.0471428571</v>
      </c>
    </row>
    <row r="5" spans="2:16" ht="15.75" thickBot="1" x14ac:dyDescent="0.3">
      <c r="B5" s="46">
        <v>730601</v>
      </c>
      <c r="C5" s="47" t="s">
        <v>44</v>
      </c>
      <c r="D5" s="48">
        <v>8385623.4000000004</v>
      </c>
      <c r="E5" s="49">
        <v>697744.81400000001</v>
      </c>
      <c r="F5" s="50">
        <v>697744.81400000001</v>
      </c>
      <c r="G5" s="50">
        <v>697744.81400000001</v>
      </c>
      <c r="H5" s="50">
        <v>697744.81400000001</v>
      </c>
      <c r="I5" s="50">
        <v>697744.81400000001</v>
      </c>
      <c r="J5" s="50">
        <v>699557.04714285699</v>
      </c>
      <c r="K5" s="50">
        <v>699557.0471428571</v>
      </c>
      <c r="L5" s="50">
        <v>699557.0471428571</v>
      </c>
      <c r="M5" s="50">
        <v>699557.0471428571</v>
      </c>
      <c r="N5" s="50">
        <v>699557.0471428571</v>
      </c>
      <c r="O5" s="50">
        <v>699557.0471428571</v>
      </c>
      <c r="P5" s="50">
        <v>699557.0471428571</v>
      </c>
    </row>
    <row r="6" spans="2:16" ht="15.75" thickBot="1" x14ac:dyDescent="0.3">
      <c r="B6" s="46">
        <v>730601</v>
      </c>
      <c r="C6" s="47" t="s">
        <v>45</v>
      </c>
      <c r="D6" s="51">
        <v>0</v>
      </c>
      <c r="E6" s="52">
        <v>0</v>
      </c>
      <c r="F6" s="53">
        <v>0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53">
        <v>0</v>
      </c>
      <c r="O6" s="53">
        <v>0</v>
      </c>
      <c r="P6" s="50">
        <v>0</v>
      </c>
    </row>
    <row r="7" spans="2:16" ht="15.75" thickBot="1" x14ac:dyDescent="0.3">
      <c r="B7" s="46">
        <v>730601</v>
      </c>
      <c r="C7" s="47" t="s">
        <v>46</v>
      </c>
      <c r="D7" s="51">
        <v>0</v>
      </c>
      <c r="E7" s="52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50">
        <v>0</v>
      </c>
    </row>
    <row r="8" spans="2:16" ht="17.25" thickBot="1" x14ac:dyDescent="0.3">
      <c r="B8" s="42"/>
      <c r="C8" s="61" t="s">
        <v>47</v>
      </c>
      <c r="D8" s="60">
        <f>SUM(D9:D11)</f>
        <v>3308881.9199999999</v>
      </c>
      <c r="E8" s="60">
        <f t="shared" ref="E8:P8" si="1">SUM(E9:E11)</f>
        <v>330809.30599999998</v>
      </c>
      <c r="F8" s="60">
        <f t="shared" si="1"/>
        <v>330809.30599999998</v>
      </c>
      <c r="G8" s="60">
        <f t="shared" si="1"/>
        <v>330809.30599999998</v>
      </c>
      <c r="H8" s="60">
        <f t="shared" si="1"/>
        <v>330809.30599999998</v>
      </c>
      <c r="I8" s="60">
        <f t="shared" si="1"/>
        <v>330809.30599999998</v>
      </c>
      <c r="J8" s="60">
        <f t="shared" si="1"/>
        <v>236405.05571428579</v>
      </c>
      <c r="K8" s="60">
        <f t="shared" si="1"/>
        <v>236405.05571428579</v>
      </c>
      <c r="L8" s="60">
        <f t="shared" si="1"/>
        <v>236405.05571428579</v>
      </c>
      <c r="M8" s="60">
        <f t="shared" si="1"/>
        <v>236405.05571428579</v>
      </c>
      <c r="N8" s="60">
        <f t="shared" si="1"/>
        <v>236405.05571428579</v>
      </c>
      <c r="O8" s="60">
        <f t="shared" si="1"/>
        <v>236405.05571428579</v>
      </c>
      <c r="P8" s="60">
        <f t="shared" si="1"/>
        <v>236405.05571428579</v>
      </c>
    </row>
    <row r="9" spans="2:16" ht="15.75" thickBot="1" x14ac:dyDescent="0.3">
      <c r="B9" s="46">
        <v>730601</v>
      </c>
      <c r="C9" s="47" t="s">
        <v>48</v>
      </c>
      <c r="D9" s="48">
        <v>3308881.9199999999</v>
      </c>
      <c r="E9" s="49">
        <v>330809.30599999998</v>
      </c>
      <c r="F9" s="50">
        <v>330809.30599999998</v>
      </c>
      <c r="G9" s="50">
        <v>330809.30599999998</v>
      </c>
      <c r="H9" s="50">
        <v>330809.30599999998</v>
      </c>
      <c r="I9" s="50">
        <v>330809.30599999998</v>
      </c>
      <c r="J9" s="50">
        <v>236405.05571428579</v>
      </c>
      <c r="K9" s="50">
        <v>236405.05571428579</v>
      </c>
      <c r="L9" s="50">
        <v>236405.05571428579</v>
      </c>
      <c r="M9" s="50">
        <v>236405.05571428579</v>
      </c>
      <c r="N9" s="50">
        <v>236405.05571428579</v>
      </c>
      <c r="O9" s="50">
        <v>236405.05571428579</v>
      </c>
      <c r="P9" s="50">
        <v>236405.05571428579</v>
      </c>
    </row>
    <row r="10" spans="2:16" ht="15.75" thickBot="1" x14ac:dyDescent="0.3">
      <c r="B10" s="46">
        <v>730601</v>
      </c>
      <c r="C10" s="47" t="s">
        <v>45</v>
      </c>
      <c r="D10" s="51">
        <v>0</v>
      </c>
      <c r="E10" s="52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0">
        <v>0</v>
      </c>
    </row>
    <row r="11" spans="2:16" ht="15.75" thickBot="1" x14ac:dyDescent="0.3">
      <c r="B11" s="46">
        <v>730601</v>
      </c>
      <c r="C11" s="47" t="s">
        <v>49</v>
      </c>
      <c r="D11" s="51">
        <v>0</v>
      </c>
      <c r="E11" s="52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0">
        <v>0</v>
      </c>
    </row>
    <row r="12" spans="2:16" ht="17.25" thickBot="1" x14ac:dyDescent="0.3">
      <c r="B12" s="42"/>
      <c r="C12" s="43" t="s">
        <v>50</v>
      </c>
      <c r="D12" s="44">
        <f>SUM(D13:D15)</f>
        <v>115242501.76000001</v>
      </c>
      <c r="E12" s="45">
        <f>SUM(E13:E15)</f>
        <v>12649148.27</v>
      </c>
      <c r="F12" s="45">
        <f t="shared" ref="F12:P12" si="2">SUM(F13:F15)</f>
        <v>14331848.359999999</v>
      </c>
      <c r="G12" s="45">
        <f t="shared" si="2"/>
        <v>28653501.919999998</v>
      </c>
      <c r="H12" s="45">
        <f t="shared" si="2"/>
        <v>38694540.049999997</v>
      </c>
      <c r="I12" s="45">
        <f t="shared" si="2"/>
        <v>5051423.3899999997</v>
      </c>
      <c r="J12" s="45">
        <f t="shared" si="2"/>
        <v>10984479.699999999</v>
      </c>
      <c r="K12" s="45">
        <f t="shared" si="2"/>
        <v>1116943.1200000001</v>
      </c>
      <c r="L12" s="45">
        <f t="shared" si="2"/>
        <v>645774.22</v>
      </c>
      <c r="M12" s="45">
        <f t="shared" si="2"/>
        <v>1685038.05</v>
      </c>
      <c r="N12" s="45">
        <f t="shared" si="2"/>
        <v>586485.57999999996</v>
      </c>
      <c r="O12" s="45">
        <f t="shared" si="2"/>
        <v>421659.56999999995</v>
      </c>
      <c r="P12" s="45">
        <f t="shared" si="2"/>
        <v>421659.52999999997</v>
      </c>
    </row>
    <row r="13" spans="2:16" ht="15.75" thickBot="1" x14ac:dyDescent="0.3">
      <c r="B13" s="46">
        <v>750105</v>
      </c>
      <c r="C13" s="47" t="s">
        <v>50</v>
      </c>
      <c r="D13" s="48">
        <f>46051785.89-D17</f>
        <v>33530534.950000003</v>
      </c>
      <c r="E13" s="49">
        <f>5504780.69+325000</f>
        <v>5829780.6900000004</v>
      </c>
      <c r="F13" s="50">
        <f>4856193.95+325000</f>
        <v>5181193.95</v>
      </c>
      <c r="G13" s="50">
        <f>10257614.59+325000</f>
        <v>10582614.59</v>
      </c>
      <c r="H13" s="50">
        <f>5200194.97+325000</f>
        <v>5525194.9699999997</v>
      </c>
      <c r="I13" s="50">
        <f>673236.84+325000</f>
        <v>998236.84</v>
      </c>
      <c r="J13" s="50">
        <f>673236.84+325000</f>
        <v>998236.84</v>
      </c>
      <c r="K13" s="50">
        <f>670481.78+325000</f>
        <v>995481.78</v>
      </c>
      <c r="L13" s="50">
        <f>162916.65+325000</f>
        <v>487916.65</v>
      </c>
      <c r="M13" s="50">
        <f>1202180.48+325000</f>
        <v>1527180.48</v>
      </c>
      <c r="N13" s="50">
        <f>238758.24+325000</f>
        <v>563758.24</v>
      </c>
      <c r="O13" s="50">
        <f>95469.97+325000</f>
        <v>420469.97</v>
      </c>
      <c r="P13" s="50">
        <v>420469.93</v>
      </c>
    </row>
    <row r="14" spans="2:16" ht="15.75" thickBot="1" x14ac:dyDescent="0.3">
      <c r="B14" s="46">
        <v>750105</v>
      </c>
      <c r="C14" s="47" t="s">
        <v>51</v>
      </c>
      <c r="D14" s="48">
        <v>81711966.810000002</v>
      </c>
      <c r="E14" s="49">
        <v>6819367.5800000001</v>
      </c>
      <c r="F14" s="50">
        <v>9150654.4100000001</v>
      </c>
      <c r="G14" s="50">
        <v>18070887.329999998</v>
      </c>
      <c r="H14" s="50">
        <v>33169345.079999998</v>
      </c>
      <c r="I14" s="50">
        <v>4053186.55</v>
      </c>
      <c r="J14" s="50">
        <v>9986242.8599999994</v>
      </c>
      <c r="K14" s="50">
        <v>121461.34</v>
      </c>
      <c r="L14" s="50">
        <v>157857.57</v>
      </c>
      <c r="M14" s="50">
        <v>157857.57</v>
      </c>
      <c r="N14" s="50">
        <v>22727.34</v>
      </c>
      <c r="O14" s="50">
        <v>1189.5999999999999</v>
      </c>
      <c r="P14" s="50">
        <v>1189.5999999999999</v>
      </c>
    </row>
    <row r="15" spans="2:16" ht="15.75" thickBot="1" x14ac:dyDescent="0.3">
      <c r="B15" s="46">
        <v>750105</v>
      </c>
      <c r="C15" s="47" t="s">
        <v>52</v>
      </c>
      <c r="D15" s="51">
        <v>0</v>
      </c>
      <c r="E15" s="52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0">
        <v>0</v>
      </c>
    </row>
    <row r="16" spans="2:16" ht="17.25" thickBot="1" x14ac:dyDescent="0.3">
      <c r="B16" s="42"/>
      <c r="C16" s="43" t="s">
        <v>53</v>
      </c>
      <c r="D16" s="44">
        <f>SUM(D17:D19)</f>
        <v>12521250.939999999</v>
      </c>
      <c r="E16" s="45">
        <f>SUM(E17:E19)</f>
        <v>2128612.66</v>
      </c>
      <c r="F16" s="45">
        <f t="shared" ref="F16:P16" si="3">SUM(F17:F19)</f>
        <v>0</v>
      </c>
      <c r="G16" s="45">
        <f t="shared" si="3"/>
        <v>1039263.83</v>
      </c>
      <c r="H16" s="45">
        <f t="shared" si="3"/>
        <v>1039263.83</v>
      </c>
      <c r="I16" s="45">
        <f t="shared" si="3"/>
        <v>1039263.83</v>
      </c>
      <c r="J16" s="45">
        <f t="shared" si="3"/>
        <v>1039263.83</v>
      </c>
      <c r="K16" s="45">
        <f t="shared" si="3"/>
        <v>0</v>
      </c>
      <c r="L16" s="45">
        <f t="shared" si="3"/>
        <v>2078527.66</v>
      </c>
      <c r="M16" s="45">
        <f t="shared" si="3"/>
        <v>1039263.83</v>
      </c>
      <c r="N16" s="45">
        <f t="shared" si="3"/>
        <v>1039263.83</v>
      </c>
      <c r="O16" s="45">
        <f t="shared" si="3"/>
        <v>1039263.83</v>
      </c>
      <c r="P16" s="45">
        <f t="shared" si="3"/>
        <v>1039263.81</v>
      </c>
    </row>
    <row r="17" spans="2:16" ht="17.25" thickBot="1" x14ac:dyDescent="0.3">
      <c r="B17" s="46">
        <v>750105</v>
      </c>
      <c r="C17" s="47" t="s">
        <v>53</v>
      </c>
      <c r="D17" s="48">
        <v>12521250.939999999</v>
      </c>
      <c r="E17" s="49">
        <v>2128612.66</v>
      </c>
      <c r="F17" s="53">
        <v>0</v>
      </c>
      <c r="G17" s="50">
        <v>1039263.83</v>
      </c>
      <c r="H17" s="50">
        <v>1039263.83</v>
      </c>
      <c r="I17" s="50">
        <v>1039263.83</v>
      </c>
      <c r="J17" s="50">
        <v>1039263.83</v>
      </c>
      <c r="K17" s="53">
        <v>0</v>
      </c>
      <c r="L17" s="50">
        <v>2078527.66</v>
      </c>
      <c r="M17" s="50">
        <v>1039263.83</v>
      </c>
      <c r="N17" s="50">
        <v>1039263.83</v>
      </c>
      <c r="O17" s="50">
        <v>1039263.83</v>
      </c>
      <c r="P17" s="50">
        <v>1039263.81</v>
      </c>
    </row>
    <row r="18" spans="2:16" ht="15.75" thickBot="1" x14ac:dyDescent="0.3">
      <c r="B18" s="46">
        <v>750105</v>
      </c>
      <c r="C18" s="47" t="s">
        <v>51</v>
      </c>
      <c r="D18" s="51">
        <v>0</v>
      </c>
      <c r="E18" s="52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0">
        <v>0</v>
      </c>
    </row>
    <row r="19" spans="2:16" ht="15.75" thickBot="1" x14ac:dyDescent="0.3">
      <c r="B19" s="46">
        <v>750105</v>
      </c>
      <c r="C19" s="47" t="s">
        <v>52</v>
      </c>
      <c r="D19" s="51">
        <v>0</v>
      </c>
      <c r="E19" s="52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0">
        <v>0</v>
      </c>
    </row>
    <row r="20" spans="2:16" ht="15.75" thickBot="1" x14ac:dyDescent="0.3">
      <c r="B20" s="42"/>
      <c r="C20" s="61" t="s">
        <v>63</v>
      </c>
      <c r="D20" s="60">
        <f>SUM(D21:D22)</f>
        <v>1764964</v>
      </c>
      <c r="E20" s="60">
        <f t="shared" ref="E20:P20" si="4">SUM(E21:E22)</f>
        <v>0</v>
      </c>
      <c r="F20" s="60">
        <f t="shared" si="4"/>
        <v>0</v>
      </c>
      <c r="G20" s="60">
        <f t="shared" si="4"/>
        <v>1764964</v>
      </c>
      <c r="H20" s="60">
        <f t="shared" si="4"/>
        <v>0</v>
      </c>
      <c r="I20" s="60">
        <f t="shared" si="4"/>
        <v>0</v>
      </c>
      <c r="J20" s="60">
        <f t="shared" si="4"/>
        <v>0</v>
      </c>
      <c r="K20" s="60">
        <f t="shared" si="4"/>
        <v>0</v>
      </c>
      <c r="L20" s="60">
        <f t="shared" si="4"/>
        <v>0</v>
      </c>
      <c r="M20" s="60">
        <f t="shared" si="4"/>
        <v>0</v>
      </c>
      <c r="N20" s="60">
        <f t="shared" si="4"/>
        <v>0</v>
      </c>
      <c r="O20" s="60">
        <f t="shared" si="4"/>
        <v>0</v>
      </c>
      <c r="P20" s="60">
        <f t="shared" si="4"/>
        <v>0</v>
      </c>
    </row>
    <row r="21" spans="2:16" ht="15.75" thickBot="1" x14ac:dyDescent="0.3">
      <c r="B21" s="46">
        <v>360301</v>
      </c>
      <c r="C21" s="47" t="s">
        <v>64</v>
      </c>
      <c r="D21" s="56">
        <v>1470803</v>
      </c>
      <c r="E21" s="52"/>
      <c r="F21" s="53"/>
      <c r="G21" s="57">
        <f>+D21</f>
        <v>1470803</v>
      </c>
      <c r="H21" s="53"/>
      <c r="I21" s="53"/>
      <c r="J21" s="53"/>
      <c r="K21" s="53"/>
      <c r="L21" s="53"/>
      <c r="M21" s="53"/>
      <c r="N21" s="53"/>
      <c r="O21" s="53"/>
      <c r="P21" s="50">
        <v>0</v>
      </c>
    </row>
    <row r="22" spans="2:16" ht="15.75" thickBot="1" x14ac:dyDescent="0.3">
      <c r="B22" s="46">
        <v>380107</v>
      </c>
      <c r="C22" s="47" t="s">
        <v>65</v>
      </c>
      <c r="D22" s="56">
        <v>294161</v>
      </c>
      <c r="E22" s="52"/>
      <c r="F22" s="53"/>
      <c r="G22" s="57">
        <f>+D22</f>
        <v>294161</v>
      </c>
      <c r="H22" s="53"/>
      <c r="I22" s="53"/>
      <c r="J22" s="53"/>
      <c r="K22" s="53"/>
      <c r="L22" s="53"/>
      <c r="M22" s="53"/>
      <c r="N22" s="53"/>
      <c r="O22" s="53"/>
      <c r="P22" s="50">
        <v>0</v>
      </c>
    </row>
    <row r="23" spans="2:16" ht="15.75" thickBot="1" x14ac:dyDescent="0.3">
      <c r="B23" s="42"/>
      <c r="C23" s="61" t="s">
        <v>54</v>
      </c>
      <c r="D23" s="60">
        <f>SUM(D24:D26)</f>
        <v>10329891.35</v>
      </c>
      <c r="E23" s="60">
        <f t="shared" ref="E23:P23" si="5">SUM(E24:E26)</f>
        <v>172461.6</v>
      </c>
      <c r="F23" s="60">
        <f t="shared" si="5"/>
        <v>199052</v>
      </c>
      <c r="G23" s="60">
        <f t="shared" si="5"/>
        <v>461160.8</v>
      </c>
      <c r="H23" s="60">
        <f t="shared" si="5"/>
        <v>332052</v>
      </c>
      <c r="I23" s="60">
        <f t="shared" si="5"/>
        <v>562421.6</v>
      </c>
      <c r="J23" s="60">
        <f t="shared" si="5"/>
        <v>531552</v>
      </c>
      <c r="K23" s="60">
        <f t="shared" si="5"/>
        <v>389052</v>
      </c>
      <c r="L23" s="60">
        <f t="shared" si="5"/>
        <v>266052</v>
      </c>
      <c r="M23" s="60">
        <f t="shared" si="5"/>
        <v>988552</v>
      </c>
      <c r="N23" s="60">
        <f t="shared" si="5"/>
        <v>109984.05</v>
      </c>
      <c r="O23" s="60">
        <f t="shared" si="5"/>
        <v>5129960</v>
      </c>
      <c r="P23" s="59">
        <f t="shared" si="5"/>
        <v>1187591.3</v>
      </c>
    </row>
    <row r="24" spans="2:16" ht="15.75" thickBot="1" x14ac:dyDescent="0.3">
      <c r="B24" s="46">
        <v>730601</v>
      </c>
      <c r="C24" s="47" t="s">
        <v>54</v>
      </c>
      <c r="D24" s="48">
        <v>10329891.35</v>
      </c>
      <c r="E24" s="49">
        <v>172461.6</v>
      </c>
      <c r="F24" s="50">
        <v>199052</v>
      </c>
      <c r="G24" s="50">
        <v>461160.8</v>
      </c>
      <c r="H24" s="50">
        <v>332052</v>
      </c>
      <c r="I24" s="50">
        <v>562421.6</v>
      </c>
      <c r="J24" s="50">
        <v>531552</v>
      </c>
      <c r="K24" s="50">
        <v>389052</v>
      </c>
      <c r="L24" s="50">
        <v>266052</v>
      </c>
      <c r="M24" s="50">
        <v>988552</v>
      </c>
      <c r="N24" s="50">
        <v>109984.05</v>
      </c>
      <c r="O24" s="50">
        <v>5129960</v>
      </c>
      <c r="P24" s="50">
        <v>1187591.3</v>
      </c>
    </row>
    <row r="25" spans="2:16" ht="15.75" thickBot="1" x14ac:dyDescent="0.3">
      <c r="B25" s="46">
        <v>730601</v>
      </c>
      <c r="C25" s="47" t="s">
        <v>45</v>
      </c>
      <c r="D25" s="51">
        <v>0</v>
      </c>
      <c r="E25" s="52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0">
        <v>0</v>
      </c>
    </row>
    <row r="26" spans="2:16" ht="15.75" thickBot="1" x14ac:dyDescent="0.3">
      <c r="B26" s="46">
        <v>730601</v>
      </c>
      <c r="C26" s="47" t="s">
        <v>55</v>
      </c>
      <c r="D26" s="51">
        <v>0</v>
      </c>
      <c r="E26" s="52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0">
        <v>0</v>
      </c>
    </row>
    <row r="27" spans="2:16" ht="15.75" thickBot="1" x14ac:dyDescent="0.3">
      <c r="B27" s="42"/>
      <c r="C27" s="43" t="s">
        <v>56</v>
      </c>
      <c r="D27" s="44">
        <f>SUM(D28:D30)</f>
        <v>187070.12</v>
      </c>
      <c r="E27" s="45">
        <f t="shared" ref="E27:P27" si="6">SUM(E28:E30)</f>
        <v>0</v>
      </c>
      <c r="F27" s="45">
        <f t="shared" si="6"/>
        <v>0</v>
      </c>
      <c r="G27" s="45">
        <f t="shared" si="6"/>
        <v>187070.12</v>
      </c>
      <c r="H27" s="45">
        <f t="shared" si="6"/>
        <v>0</v>
      </c>
      <c r="I27" s="45">
        <f t="shared" si="6"/>
        <v>0</v>
      </c>
      <c r="J27" s="45">
        <f t="shared" si="6"/>
        <v>0</v>
      </c>
      <c r="K27" s="45">
        <f t="shared" si="6"/>
        <v>0</v>
      </c>
      <c r="L27" s="45">
        <f t="shared" si="6"/>
        <v>0</v>
      </c>
      <c r="M27" s="45">
        <f t="shared" si="6"/>
        <v>0</v>
      </c>
      <c r="N27" s="45">
        <f t="shared" si="6"/>
        <v>0</v>
      </c>
      <c r="O27" s="45">
        <f t="shared" si="6"/>
        <v>0</v>
      </c>
      <c r="P27" s="45">
        <f t="shared" si="6"/>
        <v>0</v>
      </c>
    </row>
    <row r="28" spans="2:16" ht="25.5" thickBot="1" x14ac:dyDescent="0.3">
      <c r="B28" s="46">
        <v>770206</v>
      </c>
      <c r="C28" s="54" t="s">
        <v>57</v>
      </c>
      <c r="D28" s="48">
        <v>187070.12</v>
      </c>
      <c r="E28" s="52">
        <v>0</v>
      </c>
      <c r="F28" s="53">
        <v>0</v>
      </c>
      <c r="G28" s="50">
        <v>187070.12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0">
        <v>0</v>
      </c>
    </row>
    <row r="29" spans="2:16" ht="15.75" thickBot="1" x14ac:dyDescent="0.3">
      <c r="B29" s="46">
        <v>770206</v>
      </c>
      <c r="C29" s="47" t="s">
        <v>45</v>
      </c>
      <c r="D29" s="51">
        <v>0</v>
      </c>
      <c r="E29" s="52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0">
        <v>0</v>
      </c>
    </row>
    <row r="30" spans="2:16" ht="15.75" thickBot="1" x14ac:dyDescent="0.3">
      <c r="B30" s="46">
        <v>770206</v>
      </c>
      <c r="C30" s="47" t="s">
        <v>58</v>
      </c>
      <c r="D30" s="51">
        <v>0</v>
      </c>
      <c r="E30" s="52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0">
        <v>0</v>
      </c>
    </row>
    <row r="31" spans="2:16" ht="15.75" thickBot="1" x14ac:dyDescent="0.3">
      <c r="B31" s="42"/>
      <c r="C31" s="43" t="s">
        <v>59</v>
      </c>
      <c r="D31" s="44">
        <f>SUM(D32:D34)</f>
        <v>996000</v>
      </c>
      <c r="E31" s="45">
        <f>SUM(E32:E34)</f>
        <v>0</v>
      </c>
      <c r="F31" s="45">
        <f t="shared" ref="F31:P31" si="7">SUM(F32:F34)</f>
        <v>0</v>
      </c>
      <c r="G31" s="45">
        <f t="shared" si="7"/>
        <v>0</v>
      </c>
      <c r="H31" s="45">
        <f t="shared" si="7"/>
        <v>0</v>
      </c>
      <c r="I31" s="45">
        <f t="shared" si="7"/>
        <v>996000</v>
      </c>
      <c r="J31" s="45">
        <f t="shared" si="7"/>
        <v>0</v>
      </c>
      <c r="K31" s="45">
        <f t="shared" si="7"/>
        <v>0</v>
      </c>
      <c r="L31" s="45">
        <f t="shared" si="7"/>
        <v>0</v>
      </c>
      <c r="M31" s="45">
        <f t="shared" si="7"/>
        <v>0</v>
      </c>
      <c r="N31" s="45">
        <f t="shared" si="7"/>
        <v>0</v>
      </c>
      <c r="O31" s="45">
        <f t="shared" si="7"/>
        <v>0</v>
      </c>
      <c r="P31" s="45">
        <f t="shared" si="7"/>
        <v>0</v>
      </c>
    </row>
    <row r="32" spans="2:16" ht="15.75" thickBot="1" x14ac:dyDescent="0.3">
      <c r="B32" s="46">
        <v>840301</v>
      </c>
      <c r="C32" s="47" t="s">
        <v>59</v>
      </c>
      <c r="D32" s="48">
        <v>996000</v>
      </c>
      <c r="E32" s="52">
        <v>0</v>
      </c>
      <c r="F32" s="53">
        <v>0</v>
      </c>
      <c r="G32" s="53">
        <v>0</v>
      </c>
      <c r="H32" s="53">
        <v>0</v>
      </c>
      <c r="I32" s="50">
        <f>+D32</f>
        <v>996000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0">
        <v>0</v>
      </c>
    </row>
    <row r="33" spans="2:16" ht="15.75" thickBot="1" x14ac:dyDescent="0.3">
      <c r="B33" s="46">
        <v>840301</v>
      </c>
      <c r="C33" s="47" t="s">
        <v>45</v>
      </c>
      <c r="D33" s="51">
        <v>0</v>
      </c>
      <c r="E33" s="52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0">
        <v>0</v>
      </c>
    </row>
    <row r="34" spans="2:16" ht="15.75" thickBot="1" x14ac:dyDescent="0.3">
      <c r="B34" s="46">
        <v>840301</v>
      </c>
      <c r="C34" s="47" t="s">
        <v>60</v>
      </c>
      <c r="D34" s="51">
        <v>0</v>
      </c>
      <c r="E34" s="52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0">
        <v>0</v>
      </c>
    </row>
    <row r="35" spans="2:16" ht="15.75" thickBot="1" x14ac:dyDescent="0.3">
      <c r="B35" s="42"/>
      <c r="C35" s="43" t="s">
        <v>61</v>
      </c>
      <c r="D35" s="44">
        <f>+D31+D27+D23+D20+D16+D12+D8+D4</f>
        <v>152736183.49000001</v>
      </c>
      <c r="E35" s="45">
        <f t="shared" ref="E35:P35" si="8">+E31+E27+E23+E20+E16+E12+E8+E4</f>
        <v>15978776.649999999</v>
      </c>
      <c r="F35" s="45">
        <f t="shared" si="8"/>
        <v>15559454.479999999</v>
      </c>
      <c r="G35" s="45">
        <f t="shared" si="8"/>
        <v>33134514.789999999</v>
      </c>
      <c r="H35" s="45">
        <f t="shared" si="8"/>
        <v>41094410</v>
      </c>
      <c r="I35" s="45">
        <f t="shared" si="8"/>
        <v>8677662.9399999995</v>
      </c>
      <c r="J35" s="45">
        <f t="shared" si="8"/>
        <v>13491257.632857142</v>
      </c>
      <c r="K35" s="45">
        <f t="shared" si="8"/>
        <v>2441957.2228571428</v>
      </c>
      <c r="L35" s="45">
        <f t="shared" si="8"/>
        <v>3926315.982857143</v>
      </c>
      <c r="M35" s="45">
        <f t="shared" si="8"/>
        <v>4648815.9828571426</v>
      </c>
      <c r="N35" s="45">
        <f t="shared" si="8"/>
        <v>2671695.5628571426</v>
      </c>
      <c r="O35" s="45">
        <f t="shared" si="8"/>
        <v>7526845.5028571431</v>
      </c>
      <c r="P35" s="45">
        <f t="shared" si="8"/>
        <v>3584476.7428571433</v>
      </c>
    </row>
    <row r="36" spans="2:16" ht="15.75" thickBot="1" x14ac:dyDescent="0.3">
      <c r="B36" s="46"/>
      <c r="C36" s="55" t="s">
        <v>62</v>
      </c>
      <c r="D36" s="48">
        <f>+D5+D9+D13+D17+D21+D24+D28+D32</f>
        <v>70730055.680000007</v>
      </c>
      <c r="E36" s="63">
        <f t="shared" ref="E36:O36" si="9">+E5+E9+E13+E17+E21+E24+E28+E32</f>
        <v>9159409.0700000003</v>
      </c>
      <c r="F36" s="62">
        <f t="shared" si="9"/>
        <v>6408800.0700000003</v>
      </c>
      <c r="G36" s="63">
        <f t="shared" si="9"/>
        <v>14769466.459999999</v>
      </c>
      <c r="H36" s="63">
        <f t="shared" si="9"/>
        <v>7925064.9199999999</v>
      </c>
      <c r="I36" s="62">
        <f t="shared" si="9"/>
        <v>4624476.3900000006</v>
      </c>
      <c r="J36" s="63">
        <f t="shared" si="9"/>
        <v>3505014.7728571426</v>
      </c>
      <c r="K36" s="62">
        <f t="shared" si="9"/>
        <v>2320495.8828571429</v>
      </c>
      <c r="L36" s="63">
        <f t="shared" si="9"/>
        <v>3768458.4128571432</v>
      </c>
      <c r="M36" s="62">
        <f t="shared" si="9"/>
        <v>4490958.4128571432</v>
      </c>
      <c r="N36" s="63">
        <f t="shared" si="9"/>
        <v>2648968.2228571428</v>
      </c>
      <c r="O36" s="63">
        <f t="shared" si="9"/>
        <v>7525655.9028571434</v>
      </c>
      <c r="P36" s="63">
        <f>+P5+P9+P13+P17+P21+P24+P28+P32</f>
        <v>3583287.1428571427</v>
      </c>
    </row>
    <row r="37" spans="2:16" ht="15.75" thickBot="1" x14ac:dyDescent="0.3">
      <c r="B37" s="46"/>
      <c r="C37" s="55" t="s">
        <v>45</v>
      </c>
      <c r="D37" s="48">
        <f>+D6+D10+D14+D18+D22+D25+D29+D33</f>
        <v>82006127.810000002</v>
      </c>
      <c r="E37" s="49">
        <f t="shared" ref="E37:O37" si="10">+E6+E10+E14+E18+E22+E25+E29+E33</f>
        <v>6819367.5800000001</v>
      </c>
      <c r="F37" s="62">
        <f t="shared" si="10"/>
        <v>9150654.4100000001</v>
      </c>
      <c r="G37" s="49">
        <f t="shared" si="10"/>
        <v>18365048.329999998</v>
      </c>
      <c r="H37" s="49">
        <f t="shared" si="10"/>
        <v>33169345.079999998</v>
      </c>
      <c r="I37" s="62">
        <f t="shared" si="10"/>
        <v>4053186.55</v>
      </c>
      <c r="J37" s="49">
        <f t="shared" si="10"/>
        <v>9986242.8599999994</v>
      </c>
      <c r="K37" s="62">
        <f t="shared" si="10"/>
        <v>121461.34</v>
      </c>
      <c r="L37" s="49">
        <f t="shared" si="10"/>
        <v>157857.57</v>
      </c>
      <c r="M37" s="62">
        <f t="shared" si="10"/>
        <v>157857.57</v>
      </c>
      <c r="N37" s="49">
        <f t="shared" si="10"/>
        <v>22727.34</v>
      </c>
      <c r="O37" s="49">
        <f t="shared" si="10"/>
        <v>1189.5999999999999</v>
      </c>
      <c r="P37" s="49">
        <f>+P6+P10+P14+P18+P22+P25+P29+P33</f>
        <v>1189.5999999999999</v>
      </c>
    </row>
    <row r="38" spans="2:16" ht="15.75" thickBot="1" x14ac:dyDescent="0.3">
      <c r="B38" s="46"/>
      <c r="C38" s="55" t="s">
        <v>58</v>
      </c>
      <c r="D38" s="48">
        <f>+D7+D11+D15+D19+D26+D30+D34</f>
        <v>0</v>
      </c>
      <c r="E38" s="49">
        <f t="shared" ref="E38:P38" si="11">+E7+E11+E15+E19+E26+E30+E34</f>
        <v>0</v>
      </c>
      <c r="F38" s="62">
        <f t="shared" si="11"/>
        <v>0</v>
      </c>
      <c r="G38" s="49">
        <f t="shared" si="11"/>
        <v>0</v>
      </c>
      <c r="H38" s="49">
        <f t="shared" si="11"/>
        <v>0</v>
      </c>
      <c r="I38" s="62">
        <f t="shared" si="11"/>
        <v>0</v>
      </c>
      <c r="J38" s="49">
        <f t="shared" si="11"/>
        <v>0</v>
      </c>
      <c r="K38" s="62">
        <f t="shared" si="11"/>
        <v>0</v>
      </c>
      <c r="L38" s="49">
        <f t="shared" si="11"/>
        <v>0</v>
      </c>
      <c r="M38" s="62">
        <f t="shared" si="11"/>
        <v>0</v>
      </c>
      <c r="N38" s="49">
        <f t="shared" si="11"/>
        <v>0</v>
      </c>
      <c r="O38" s="49">
        <f t="shared" si="11"/>
        <v>0</v>
      </c>
      <c r="P38" s="49">
        <f t="shared" si="11"/>
        <v>0</v>
      </c>
    </row>
  </sheetData>
  <mergeCells count="16">
    <mergeCell ref="P2:P3"/>
    <mergeCell ref="B1:P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ddres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7FC41FF06E084FA4C3B933332F5E1E" ma:contentTypeVersion="13" ma:contentTypeDescription="Crear nuevo documento." ma:contentTypeScope="" ma:versionID="252742ad8d39972588615996d24a4424">
  <xsd:schema xmlns:xsd="http://www.w3.org/2001/XMLSchema" xmlns:xs="http://www.w3.org/2001/XMLSchema" xmlns:p="http://schemas.microsoft.com/office/2006/metadata/properties" xmlns:ns1="http://schemas.microsoft.com/sharepoint/v3" xmlns:ns3="0574769a-ae6e-42f4-8b36-5ffb1bf0ba10" xmlns:ns4="81f4d0ba-af2c-427d-9573-8bebd637594f" targetNamespace="http://schemas.microsoft.com/office/2006/metadata/properties" ma:root="true" ma:fieldsID="3639fd8ae51c3900714f653678b38959" ns1:_="" ns3:_="" ns4:_="">
    <xsd:import namespace="http://schemas.microsoft.com/sharepoint/v3"/>
    <xsd:import namespace="0574769a-ae6e-42f4-8b36-5ffb1bf0ba10"/>
    <xsd:import namespace="81f4d0ba-af2c-427d-9573-8bebd637594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Dirección de Mensajería Instantánea" ma:internalName="IMAddres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74769a-ae6e-42f4-8b36-5ffb1bf0ba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1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4d0ba-af2c-427d-9573-8bebd63759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AFF2D-D682-4454-993D-A50B6325D46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7D91B2D-480A-4976-AD4E-D12C911E84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875B94-9154-4ED9-9ED6-E24FAD7C3C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74769a-ae6e-42f4-8b36-5ffb1bf0ba10"/>
    <ds:schemaRef ds:uri="81f4d0ba-af2c-427d-9573-8bebd6375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EJEC.PROY.AÑOS</vt:lpstr>
      <vt:lpstr>proyeccion caja</vt:lpstr>
      <vt:lpstr>proyeccion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Monserrat Montesdeoca Torres</dc:creator>
  <cp:lastModifiedBy>Natalya Lizbeth Mejía Morejón</cp:lastModifiedBy>
  <dcterms:created xsi:type="dcterms:W3CDTF">2021-09-16T15:04:47Z</dcterms:created>
  <dcterms:modified xsi:type="dcterms:W3CDTF">2021-11-22T22:42:28Z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0x0101007D7FC41FF06E084FA4C3B933332F5E1E</vt:lpwstr>
  </property>
</Properties>
</file>