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OneDrive - Empresa Publica Metropolitana Metro de Quito\MODELO DE TARIFA\"/>
    </mc:Choice>
  </mc:AlternateContent>
  <bookViews>
    <workbookView xWindow="-120" yWindow="-120" windowWidth="29040" windowHeight="15840" tabRatio="746" activeTab="5"/>
  </bookViews>
  <sheets>
    <sheet name="Datos Generales" sheetId="3" r:id="rId1"/>
    <sheet name="TARIFA DE EQUILIBRIO" sheetId="9" r:id="rId2"/>
    <sheet name="ESCENARIO T4" sheetId="10" r:id="rId3"/>
    <sheet name="ESCENARIO T6" sheetId="11" r:id="rId4"/>
    <sheet name="ESCENARIO T8" sheetId="5" r:id="rId5"/>
    <sheet name="RESUMEN" sheetId="12" r:id="rId6"/>
    <sheet name="SOLO METRO" sheetId="7" state="hidden" r:id="rId7"/>
  </sheets>
  <definedNames>
    <definedName name="solver_adj" localSheetId="2" hidden="1">'ESCENARIO T4'!$C$16,'ESCENARIO T4'!$C$21</definedName>
    <definedName name="solver_adj" localSheetId="3" hidden="1">'ESCENARIO T6'!$C$16,'ESCENARIO T6'!$C$21</definedName>
    <definedName name="solver_adj" localSheetId="4" hidden="1">'ESCENARIO T8'!$C$16,'ESCENARIO T8'!$C$21</definedName>
    <definedName name="solver_adj" localSheetId="6" hidden="1">'SOLO METRO'!$C$16,'SOLO METRO'!$C$21</definedName>
    <definedName name="solver_adj" localSheetId="1" hidden="1">'TARIFA DE EQUILIBRIO'!$C$16,'TARIFA DE EQUILIBRIO'!$C$21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6" hidden="1">0.0001</definedName>
    <definedName name="solver_cvg" localSheetId="1" hidden="1">0.0001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6" hidden="1">1</definedName>
    <definedName name="solver_drv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6" hidden="1">1</definedName>
    <definedName name="solver_eng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6" hidden="1">1</definedName>
    <definedName name="solver_est" localSheetId="1" hidden="1">1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6" hidden="1">2147483647</definedName>
    <definedName name="solver_itr" localSheetId="1" hidden="1">2147483647</definedName>
    <definedName name="solver_lhs0" localSheetId="2" hidden="1">'ESCENARIO T4'!$C$21</definedName>
    <definedName name="solver_lhs0" localSheetId="3" hidden="1">'ESCENARIO T6'!$C$21</definedName>
    <definedName name="solver_lhs0" localSheetId="4" hidden="1">'ESCENARIO T8'!$C$21</definedName>
    <definedName name="solver_lhs0" localSheetId="6" hidden="1">'SOLO METRO'!$C$21</definedName>
    <definedName name="solver_lhs0" localSheetId="1" hidden="1">'TARIFA DE EQUILIBRIO'!$C$21</definedName>
    <definedName name="solver_lhs1" localSheetId="2" hidden="1">'ESCENARIO T4'!$C$18</definedName>
    <definedName name="solver_lhs1" localSheetId="3" hidden="1">'ESCENARIO T6'!$C$18</definedName>
    <definedName name="solver_lhs1" localSheetId="4" hidden="1">'ESCENARIO T8'!$C$18</definedName>
    <definedName name="solver_lhs1" localSheetId="6" hidden="1">'SOLO METRO'!$C$18</definedName>
    <definedName name="solver_lhs1" localSheetId="1" hidden="1">'TARIFA DE EQUILIBRIO'!$C$21</definedName>
    <definedName name="solver_lhs2" localSheetId="2" hidden="1">'ESCENARIO T4'!$C$19</definedName>
    <definedName name="solver_lhs2" localSheetId="3" hidden="1">'ESCENARIO T6'!$C$19</definedName>
    <definedName name="solver_lhs2" localSheetId="4" hidden="1">'ESCENARIO T8'!$C$19</definedName>
    <definedName name="solver_lhs2" localSheetId="6" hidden="1">'SOLO METRO'!$C$19</definedName>
    <definedName name="solver_lhs2" localSheetId="1" hidden="1">'TARIFA DE EQUILIBRIO'!$C$21</definedName>
    <definedName name="solver_lhs3" localSheetId="2" hidden="1">'ESCENARIO T4'!$C$21</definedName>
    <definedName name="solver_lhs3" localSheetId="3" hidden="1">'ESCENARIO T6'!$C$21</definedName>
    <definedName name="solver_lhs3" localSheetId="4" hidden="1">'ESCENARIO T8'!$C$21</definedName>
    <definedName name="solver_lhs3" localSheetId="6" hidden="1">'SOLO METRO'!$C$21</definedName>
    <definedName name="solver_lhs3" localSheetId="1" hidden="1">'TARIFA DE EQUILIBRIO'!$C$21</definedName>
    <definedName name="solver_lhs4" localSheetId="2" hidden="1">'ESCENARIO T4'!#REF!</definedName>
    <definedName name="solver_lhs4" localSheetId="3" hidden="1">'ESCENARIO T6'!#REF!</definedName>
    <definedName name="solver_lhs4" localSheetId="4" hidden="1">'ESCENARIO T8'!#REF!</definedName>
    <definedName name="solver_lhs4" localSheetId="6" hidden="1">'SOLO METRO'!#REF!</definedName>
    <definedName name="solver_lhs4" localSheetId="1" hidden="1">'TARIFA DE EQUILIBRIO'!#REF!</definedName>
    <definedName name="solver_lhs5" localSheetId="2" hidden="1">'ESCENARIO T4'!#REF!</definedName>
    <definedName name="solver_lhs5" localSheetId="3" hidden="1">'ESCENARIO T6'!#REF!</definedName>
    <definedName name="solver_lhs5" localSheetId="4" hidden="1">'ESCENARIO T8'!#REF!</definedName>
    <definedName name="solver_lhs5" localSheetId="6" hidden="1">'SOLO METRO'!#REF!</definedName>
    <definedName name="solver_lhs5" localSheetId="1" hidden="1">'TARIFA DE EQUILIBRIO'!#REF!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6" hidden="1">2147483647</definedName>
    <definedName name="solver_mip" localSheetId="1" hidden="1">2147483647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6" hidden="1">30</definedName>
    <definedName name="solver_mni" localSheetId="1" hidden="1">30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6" hidden="1">0.075</definedName>
    <definedName name="solver_mrt" localSheetId="1" hidden="1">0.075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6" hidden="1">2</definedName>
    <definedName name="solver_msl" localSheetId="1" hidden="1">2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6" hidden="1">1</definedName>
    <definedName name="solver_neg" localSheetId="1" hidden="1">1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6" hidden="1">2147483647</definedName>
    <definedName name="solver_nod" localSheetId="1" hidden="1">2147483647</definedName>
    <definedName name="solver_num" localSheetId="2" hidden="1">3</definedName>
    <definedName name="solver_num" localSheetId="3" hidden="1">3</definedName>
    <definedName name="solver_num" localSheetId="4" hidden="1">3</definedName>
    <definedName name="solver_num" localSheetId="6" hidden="1">3</definedName>
    <definedName name="solver_num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6" hidden="1">1</definedName>
    <definedName name="solver_nwt" localSheetId="1" hidden="1">1</definedName>
    <definedName name="solver_opt" localSheetId="2" hidden="1">'ESCENARIO T4'!$D$81</definedName>
    <definedName name="solver_opt" localSheetId="3" hidden="1">'ESCENARIO T6'!$D$81</definedName>
    <definedName name="solver_opt" localSheetId="4" hidden="1">'ESCENARIO T8'!$D$81</definedName>
    <definedName name="solver_opt" localSheetId="6" hidden="1">'SOLO METRO'!$D$75</definedName>
    <definedName name="solver_opt" localSheetId="1" hidden="1">'TARIFA DE EQUILIBRIO'!$D$81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6" hidden="1">0.000001</definedName>
    <definedName name="solver_pre" localSheetId="1" hidden="1">0.000001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6" hidden="1">1</definedName>
    <definedName name="solver_rbv" localSheetId="1" hidden="1">1</definedName>
    <definedName name="solver_rel0" localSheetId="2" hidden="1">3</definedName>
    <definedName name="solver_rel0" localSheetId="3" hidden="1">3</definedName>
    <definedName name="solver_rel0" localSheetId="4" hidden="1">3</definedName>
    <definedName name="solver_rel0" localSheetId="6" hidden="1">3</definedName>
    <definedName name="solver_rel0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1" localSheetId="6" hidden="1">3</definedName>
    <definedName name="solver_rel1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6" hidden="1">3</definedName>
    <definedName name="solver_rel2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el3" localSheetId="6" hidden="1">3</definedName>
    <definedName name="solver_rel3" localSheetId="1" hidden="1">3</definedName>
    <definedName name="solver_rel4" localSheetId="2" hidden="1">3</definedName>
    <definedName name="solver_rel4" localSheetId="3" hidden="1">3</definedName>
    <definedName name="solver_rel4" localSheetId="4" hidden="1">3</definedName>
    <definedName name="solver_rel4" localSheetId="6" hidden="1">3</definedName>
    <definedName name="solver_rel4" localSheetId="1" hidden="1">3</definedName>
    <definedName name="solver_rel5" localSheetId="2" hidden="1">3</definedName>
    <definedName name="solver_rel5" localSheetId="3" hidden="1">3</definedName>
    <definedName name="solver_rel5" localSheetId="4" hidden="1">3</definedName>
    <definedName name="solver_rel5" localSheetId="6" hidden="1">3</definedName>
    <definedName name="solver_rel5" localSheetId="1" hidden="1">3</definedName>
    <definedName name="solver_rhs0" localSheetId="2" hidden="1">0.45</definedName>
    <definedName name="solver_rhs0" localSheetId="3" hidden="1">0.45</definedName>
    <definedName name="solver_rhs0" localSheetId="4" hidden="1">0.45</definedName>
    <definedName name="solver_rhs0" localSheetId="6" hidden="1">0.45</definedName>
    <definedName name="solver_rhs0" localSheetId="1" hidden="1">0.45</definedName>
    <definedName name="solver_rhs1" localSheetId="2" hidden="1">0</definedName>
    <definedName name="solver_rhs1" localSheetId="3" hidden="1">0</definedName>
    <definedName name="solver_rhs1" localSheetId="4" hidden="1">0</definedName>
    <definedName name="solver_rhs1" localSheetId="6" hidden="1">0</definedName>
    <definedName name="solver_rhs1" localSheetId="1" hidden="1">'TARIFA DE EQUILIBRIO'!$C$16</definedName>
    <definedName name="solver_rhs2" localSheetId="2" hidden="1">0</definedName>
    <definedName name="solver_rhs2" localSheetId="3" hidden="1">0</definedName>
    <definedName name="solver_rhs2" localSheetId="4" hidden="1">0</definedName>
    <definedName name="solver_rhs2" localSheetId="6" hidden="1">0</definedName>
    <definedName name="solver_rhs2" localSheetId="1" hidden="1">'TARIFA DE EQUILIBRIO'!$C$16</definedName>
    <definedName name="solver_rhs3" localSheetId="2" hidden="1">'ESCENARIO T4'!$C$16</definedName>
    <definedName name="solver_rhs3" localSheetId="3" hidden="1">'ESCENARIO T6'!$C$16</definedName>
    <definedName name="solver_rhs3" localSheetId="4" hidden="1">'ESCENARIO T8'!$C$16</definedName>
    <definedName name="solver_rhs3" localSheetId="6" hidden="1">'SOLO METRO'!$C$16</definedName>
    <definedName name="solver_rhs3" localSheetId="1" hidden="1">'TARIFA DE EQUILIBRIO'!$C$16</definedName>
    <definedName name="solver_rhs4" localSheetId="2" hidden="1">1</definedName>
    <definedName name="solver_rhs4" localSheetId="3" hidden="1">1</definedName>
    <definedName name="solver_rhs4" localSheetId="4" hidden="1">1</definedName>
    <definedName name="solver_rhs4" localSheetId="6" hidden="1">1</definedName>
    <definedName name="solver_rhs4" localSheetId="1" hidden="1">1</definedName>
    <definedName name="solver_rhs5" localSheetId="2" hidden="1">1</definedName>
    <definedName name="solver_rhs5" localSheetId="3" hidden="1">1</definedName>
    <definedName name="solver_rhs5" localSheetId="4" hidden="1">1</definedName>
    <definedName name="solver_rhs5" localSheetId="6" hidden="1">1</definedName>
    <definedName name="solver_rhs5" localSheetId="1" hidden="1">1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6" hidden="1">2</definedName>
    <definedName name="solver_rlx" localSheetId="1" hidden="1">2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6" hidden="1">0</definedName>
    <definedName name="solver_rsd" localSheetId="1" hidden="1">0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6" hidden="1">1</definedName>
    <definedName name="solver_scl" localSheetId="1" hidden="1">1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6" hidden="1">2</definedName>
    <definedName name="solver_sho" localSheetId="1" hidden="1">2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6" hidden="1">100</definedName>
    <definedName name="solver_ssz" localSheetId="1" hidden="1">100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6" hidden="1">2147483647</definedName>
    <definedName name="solver_tim" localSheetId="1" hidden="1">2147483647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6" hidden="1">0.01</definedName>
    <definedName name="solver_tol" localSheetId="1" hidden="1">0.01</definedName>
    <definedName name="solver_typ" localSheetId="2" hidden="1">3</definedName>
    <definedName name="solver_typ" localSheetId="3" hidden="1">3</definedName>
    <definedName name="solver_typ" localSheetId="4" hidden="1">3</definedName>
    <definedName name="solver_typ" localSheetId="6" hidden="1">3</definedName>
    <definedName name="solver_typ" localSheetId="1" hidden="1">3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6" hidden="1">0</definedName>
    <definedName name="solver_val" localSheetId="1" hidden="1">0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6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2" l="1"/>
  <c r="C6" i="12"/>
  <c r="C5" i="12"/>
  <c r="D70" i="11" l="1"/>
  <c r="D43" i="11"/>
  <c r="G47" i="11"/>
  <c r="F47" i="11"/>
  <c r="E47" i="11"/>
  <c r="D47" i="11"/>
  <c r="G46" i="11"/>
  <c r="F46" i="11"/>
  <c r="E46" i="11"/>
  <c r="D46" i="11"/>
  <c r="G45" i="11"/>
  <c r="F45" i="11"/>
  <c r="E45" i="11"/>
  <c r="D45" i="11"/>
  <c r="G44" i="11"/>
  <c r="F44" i="11"/>
  <c r="E44" i="11"/>
  <c r="D44" i="11"/>
  <c r="E43" i="11"/>
  <c r="G42" i="11"/>
  <c r="F42" i="11"/>
  <c r="E42" i="11"/>
  <c r="D42" i="11"/>
  <c r="F41" i="11"/>
  <c r="E41" i="11"/>
  <c r="D41" i="11"/>
  <c r="G40" i="11"/>
  <c r="D40" i="11"/>
  <c r="D23" i="11"/>
  <c r="D22" i="11"/>
  <c r="E9" i="12"/>
  <c r="D9" i="11"/>
  <c r="D70" i="10"/>
  <c r="G47" i="10"/>
  <c r="F47" i="10"/>
  <c r="E47" i="10"/>
  <c r="D47" i="10"/>
  <c r="G46" i="10"/>
  <c r="F46" i="10"/>
  <c r="E46" i="10"/>
  <c r="D46" i="10"/>
  <c r="G45" i="10"/>
  <c r="F45" i="10"/>
  <c r="E45" i="10"/>
  <c r="D45" i="10"/>
  <c r="G44" i="10"/>
  <c r="F44" i="10"/>
  <c r="E44" i="10"/>
  <c r="D44" i="10"/>
  <c r="E43" i="10"/>
  <c r="D43" i="10"/>
  <c r="G42" i="10"/>
  <c r="F42" i="10"/>
  <c r="E42" i="10"/>
  <c r="D42" i="10"/>
  <c r="G41" i="10"/>
  <c r="F41" i="10"/>
  <c r="E41" i="10"/>
  <c r="D41" i="10"/>
  <c r="G40" i="10"/>
  <c r="D23" i="10"/>
  <c r="D22" i="10"/>
  <c r="D9" i="10"/>
  <c r="E60" i="11" l="1"/>
  <c r="D17" i="11"/>
  <c r="G55" i="11" s="1"/>
  <c r="E6" i="12"/>
  <c r="D16" i="11"/>
  <c r="G53" i="11" s="1"/>
  <c r="E5" i="12"/>
  <c r="G60" i="10"/>
  <c r="F60" i="10"/>
  <c r="D60" i="10"/>
  <c r="E60" i="10"/>
  <c r="D16" i="10"/>
  <c r="G53" i="10" s="1"/>
  <c r="D5" i="12"/>
  <c r="D17" i="10"/>
  <c r="D56" i="10" s="1"/>
  <c r="D6" i="12"/>
  <c r="D9" i="12"/>
  <c r="E35" i="11"/>
  <c r="E7" i="12"/>
  <c r="D21" i="11"/>
  <c r="D60" i="11"/>
  <c r="F60" i="11"/>
  <c r="E11" i="11"/>
  <c r="G60" i="11"/>
  <c r="D59" i="11"/>
  <c r="G59" i="11"/>
  <c r="D11" i="11"/>
  <c r="E59" i="11"/>
  <c r="D18" i="11"/>
  <c r="F59" i="11"/>
  <c r="D48" i="11"/>
  <c r="E40" i="11"/>
  <c r="G41" i="11"/>
  <c r="D35" i="11"/>
  <c r="F40" i="11"/>
  <c r="D35" i="10"/>
  <c r="E35" i="10"/>
  <c r="E59" i="10"/>
  <c r="D59" i="10"/>
  <c r="D18" i="10"/>
  <c r="F59" i="10"/>
  <c r="D21" i="10"/>
  <c r="G59" i="10"/>
  <c r="D11" i="10"/>
  <c r="E11" i="10"/>
  <c r="D40" i="10"/>
  <c r="E40" i="10"/>
  <c r="F40" i="10"/>
  <c r="C19" i="9"/>
  <c r="C8" i="12" s="1"/>
  <c r="C18" i="9"/>
  <c r="C7" i="12" s="1"/>
  <c r="D70" i="9"/>
  <c r="G47" i="9"/>
  <c r="F47" i="9"/>
  <c r="E47" i="9"/>
  <c r="D47" i="9"/>
  <c r="G46" i="9"/>
  <c r="F46" i="9"/>
  <c r="E46" i="9"/>
  <c r="D46" i="9"/>
  <c r="G45" i="9"/>
  <c r="F45" i="9"/>
  <c r="E45" i="9"/>
  <c r="D45" i="9"/>
  <c r="G44" i="9"/>
  <c r="F44" i="9"/>
  <c r="E44" i="9"/>
  <c r="D44" i="9"/>
  <c r="E43" i="9"/>
  <c r="D43" i="9"/>
  <c r="G42" i="9"/>
  <c r="F42" i="9"/>
  <c r="E42" i="9"/>
  <c r="D42" i="9"/>
  <c r="G41" i="9"/>
  <c r="F41" i="9"/>
  <c r="E41" i="9"/>
  <c r="D41" i="9"/>
  <c r="E40" i="9"/>
  <c r="D23" i="9"/>
  <c r="D22" i="9"/>
  <c r="D17" i="9"/>
  <c r="D16" i="9"/>
  <c r="D9" i="9"/>
  <c r="E57" i="11" l="1"/>
  <c r="G57" i="11"/>
  <c r="E55" i="11"/>
  <c r="F55" i="11"/>
  <c r="F58" i="11"/>
  <c r="D58" i="10"/>
  <c r="G57" i="10"/>
  <c r="F57" i="10"/>
  <c r="D57" i="10"/>
  <c r="E55" i="10"/>
  <c r="E58" i="10"/>
  <c r="E60" i="9"/>
  <c r="D53" i="11"/>
  <c r="D55" i="11"/>
  <c r="D19" i="11"/>
  <c r="E8" i="12"/>
  <c r="E56" i="11"/>
  <c r="D56" i="11"/>
  <c r="E58" i="11"/>
  <c r="D57" i="11"/>
  <c r="D58" i="11"/>
  <c r="G58" i="11"/>
  <c r="F57" i="11"/>
  <c r="E57" i="10"/>
  <c r="F55" i="10"/>
  <c r="D55" i="10"/>
  <c r="G55" i="10"/>
  <c r="G58" i="10"/>
  <c r="E56" i="10"/>
  <c r="F60" i="9"/>
  <c r="G60" i="9"/>
  <c r="F58" i="10"/>
  <c r="D20" i="10"/>
  <c r="D7" i="12"/>
  <c r="D19" i="10"/>
  <c r="D8" i="12"/>
  <c r="G54" i="11"/>
  <c r="E54" i="11"/>
  <c r="D54" i="11"/>
  <c r="F54" i="11"/>
  <c r="F53" i="11"/>
  <c r="D20" i="11"/>
  <c r="E48" i="11"/>
  <c r="E53" i="11"/>
  <c r="E54" i="10"/>
  <c r="G54" i="10"/>
  <c r="F54" i="10"/>
  <c r="D54" i="10"/>
  <c r="F53" i="10"/>
  <c r="D48" i="10"/>
  <c r="D53" i="10"/>
  <c r="E48" i="10"/>
  <c r="E53" i="10"/>
  <c r="D35" i="9"/>
  <c r="E59" i="9"/>
  <c r="F59" i="9"/>
  <c r="G59" i="9"/>
  <c r="E35" i="9"/>
  <c r="E58" i="9"/>
  <c r="D56" i="9"/>
  <c r="F58" i="9"/>
  <c r="E56" i="9"/>
  <c r="G58" i="9"/>
  <c r="D59" i="9"/>
  <c r="D57" i="9"/>
  <c r="D18" i="9"/>
  <c r="D20" i="9"/>
  <c r="D11" i="9"/>
  <c r="D55" i="9"/>
  <c r="F57" i="9"/>
  <c r="D58" i="9"/>
  <c r="F55" i="9"/>
  <c r="G55" i="9"/>
  <c r="E57" i="9"/>
  <c r="E48" i="9"/>
  <c r="E11" i="9"/>
  <c r="E55" i="9"/>
  <c r="G57" i="9"/>
  <c r="D60" i="9"/>
  <c r="D19" i="9"/>
  <c r="D40" i="9"/>
  <c r="F40" i="9"/>
  <c r="G40" i="9"/>
  <c r="D21" i="9"/>
  <c r="G54" i="9" s="1"/>
  <c r="E53" i="9"/>
  <c r="D62" i="11" l="1"/>
  <c r="D78" i="11" s="1"/>
  <c r="E62" i="10"/>
  <c r="E78" i="10" s="1"/>
  <c r="E62" i="11"/>
  <c r="E78" i="11" s="1"/>
  <c r="D62" i="10"/>
  <c r="D78" i="10" s="1"/>
  <c r="E54" i="9"/>
  <c r="E62" i="9" s="1"/>
  <c r="E78" i="9" s="1"/>
  <c r="D54" i="9"/>
  <c r="G53" i="9"/>
  <c r="F53" i="9"/>
  <c r="F54" i="9"/>
  <c r="D48" i="9"/>
  <c r="D53" i="9"/>
  <c r="D62" i="9" l="1"/>
  <c r="D78" i="9" s="1"/>
  <c r="E47" i="5" l="1"/>
  <c r="F47" i="5"/>
  <c r="G47" i="5"/>
  <c r="E44" i="5"/>
  <c r="F44" i="5"/>
  <c r="E45" i="5"/>
  <c r="F45" i="5"/>
  <c r="E46" i="5"/>
  <c r="F46" i="5"/>
  <c r="D46" i="5"/>
  <c r="D45" i="5"/>
  <c r="D44" i="5"/>
  <c r="G45" i="5"/>
  <c r="G44" i="5"/>
  <c r="G46" i="5"/>
  <c r="D23" i="5"/>
  <c r="D90" i="3"/>
  <c r="D91" i="3" s="1"/>
  <c r="D92" i="3" s="1"/>
  <c r="E90" i="3"/>
  <c r="F90" i="3"/>
  <c r="F91" i="3" s="1"/>
  <c r="F92" i="3" s="1"/>
  <c r="C90" i="3"/>
  <c r="C95" i="3" s="1"/>
  <c r="E49" i="3"/>
  <c r="C73" i="3"/>
  <c r="D40" i="7"/>
  <c r="D41" i="7"/>
  <c r="E41" i="7"/>
  <c r="F40" i="7"/>
  <c r="F41" i="7"/>
  <c r="G41" i="7"/>
  <c r="H40" i="7"/>
  <c r="H31" i="7"/>
  <c r="H42" i="7" s="1"/>
  <c r="G31" i="7"/>
  <c r="G42" i="7" s="1"/>
  <c r="F31" i="7"/>
  <c r="F42" i="7" s="1"/>
  <c r="E31" i="7"/>
  <c r="E42" i="7" s="1"/>
  <c r="D31" i="7"/>
  <c r="D64" i="7"/>
  <c r="I43" i="7"/>
  <c r="H43" i="7"/>
  <c r="G43" i="7"/>
  <c r="F43" i="7"/>
  <c r="E43" i="7"/>
  <c r="D43" i="7"/>
  <c r="M42" i="7"/>
  <c r="L42" i="7"/>
  <c r="K42" i="7"/>
  <c r="J42" i="7"/>
  <c r="I42" i="7"/>
  <c r="M41" i="7"/>
  <c r="L41" i="7"/>
  <c r="K41" i="7"/>
  <c r="J41" i="7"/>
  <c r="I41" i="7"/>
  <c r="M40" i="7"/>
  <c r="L40" i="7"/>
  <c r="K40" i="7"/>
  <c r="J40" i="7"/>
  <c r="J44" i="7" s="1"/>
  <c r="I40" i="7"/>
  <c r="I44" i="7" s="1"/>
  <c r="M39" i="7"/>
  <c r="L39" i="7"/>
  <c r="K39" i="7"/>
  <c r="J39" i="7"/>
  <c r="I39" i="7"/>
  <c r="H39" i="7"/>
  <c r="M38" i="7"/>
  <c r="M44" i="7" s="1"/>
  <c r="L38" i="7"/>
  <c r="L44" i="7" s="1"/>
  <c r="K38" i="7"/>
  <c r="K44" i="7" s="1"/>
  <c r="J38" i="7"/>
  <c r="I38" i="7"/>
  <c r="M33" i="7"/>
  <c r="L33" i="7"/>
  <c r="K33" i="7"/>
  <c r="J33" i="7"/>
  <c r="I33" i="7"/>
  <c r="H41" i="7"/>
  <c r="G40" i="7"/>
  <c r="E40" i="7"/>
  <c r="H28" i="7"/>
  <c r="G28" i="7"/>
  <c r="G39" i="7" s="1"/>
  <c r="F28" i="7"/>
  <c r="F39" i="7" s="1"/>
  <c r="E28" i="7"/>
  <c r="E39" i="7" s="1"/>
  <c r="D28" i="7"/>
  <c r="D39" i="7" s="1"/>
  <c r="H27" i="7"/>
  <c r="G27" i="7"/>
  <c r="F27" i="7"/>
  <c r="F38" i="7" s="1"/>
  <c r="E27" i="7"/>
  <c r="D27" i="7"/>
  <c r="D38" i="7" s="1"/>
  <c r="C22" i="7"/>
  <c r="D22" i="7" s="1"/>
  <c r="M52" i="7" s="1"/>
  <c r="C21" i="7"/>
  <c r="D21" i="7" s="1"/>
  <c r="C17" i="7"/>
  <c r="D17" i="7" s="1"/>
  <c r="M51" i="7" s="1"/>
  <c r="C16" i="7"/>
  <c r="D16" i="7" s="1"/>
  <c r="J49" i="7" s="1"/>
  <c r="D9" i="7"/>
  <c r="D93" i="3"/>
  <c r="D95" i="3" s="1"/>
  <c r="E91" i="3"/>
  <c r="E92" i="3" s="1"/>
  <c r="H52" i="7" l="1"/>
  <c r="F60" i="5"/>
  <c r="G60" i="5"/>
  <c r="E60" i="5"/>
  <c r="H33" i="7"/>
  <c r="D47" i="5"/>
  <c r="D60" i="5" s="1"/>
  <c r="C91" i="3"/>
  <c r="C92" i="3" s="1"/>
  <c r="C94" i="3" s="1"/>
  <c r="H54" i="7"/>
  <c r="D50" i="7"/>
  <c r="E53" i="7"/>
  <c r="E50" i="7"/>
  <c r="F53" i="7"/>
  <c r="H53" i="7"/>
  <c r="H51" i="7"/>
  <c r="G50" i="7"/>
  <c r="E51" i="7"/>
  <c r="G52" i="7"/>
  <c r="G51" i="7"/>
  <c r="F52" i="7"/>
  <c r="D54" i="7"/>
  <c r="F51" i="7"/>
  <c r="G53" i="7"/>
  <c r="E54" i="7"/>
  <c r="E52" i="7"/>
  <c r="F54" i="7"/>
  <c r="D52" i="7"/>
  <c r="G54" i="7"/>
  <c r="D51" i="7"/>
  <c r="D33" i="7"/>
  <c r="E33" i="7"/>
  <c r="G33" i="7"/>
  <c r="F33" i="7"/>
  <c r="D42" i="7"/>
  <c r="D53" i="7" s="1"/>
  <c r="D44" i="7"/>
  <c r="F44" i="7"/>
  <c r="F50" i="7"/>
  <c r="H50" i="7"/>
  <c r="I54" i="7"/>
  <c r="L52" i="7"/>
  <c r="I49" i="7"/>
  <c r="E38" i="7"/>
  <c r="K49" i="7"/>
  <c r="J54" i="7"/>
  <c r="L49" i="7"/>
  <c r="I53" i="7"/>
  <c r="C18" i="7"/>
  <c r="G38" i="7"/>
  <c r="M49" i="7"/>
  <c r="J53" i="7"/>
  <c r="L54" i="7"/>
  <c r="K54" i="7"/>
  <c r="H38" i="7"/>
  <c r="I52" i="7"/>
  <c r="K53" i="7"/>
  <c r="M54" i="7"/>
  <c r="C19" i="7"/>
  <c r="D19" i="7" s="1"/>
  <c r="J52" i="7"/>
  <c r="L53" i="7"/>
  <c r="D49" i="7"/>
  <c r="K52" i="7"/>
  <c r="M53" i="7"/>
  <c r="F49" i="7"/>
  <c r="K51" i="7"/>
  <c r="L51" i="7"/>
  <c r="J51" i="7"/>
  <c r="D94" i="3"/>
  <c r="E72" i="11" l="1"/>
  <c r="E72" i="10"/>
  <c r="E72" i="9"/>
  <c r="F43" i="9"/>
  <c r="F35" i="9"/>
  <c r="F43" i="11"/>
  <c r="F35" i="11"/>
  <c r="F43" i="10"/>
  <c r="F35" i="10"/>
  <c r="D72" i="5"/>
  <c r="D72" i="10"/>
  <c r="D72" i="11"/>
  <c r="D72" i="9"/>
  <c r="D66" i="7"/>
  <c r="E66" i="7"/>
  <c r="E72" i="5"/>
  <c r="F56" i="7"/>
  <c r="F72" i="7" s="1"/>
  <c r="D56" i="7"/>
  <c r="D72" i="7" s="1"/>
  <c r="E44" i="7"/>
  <c r="E49" i="7"/>
  <c r="E56" i="7" s="1"/>
  <c r="E72" i="7" s="1"/>
  <c r="H49" i="7"/>
  <c r="H56" i="7" s="1"/>
  <c r="H72" i="7" s="1"/>
  <c r="H44" i="7"/>
  <c r="G49" i="7"/>
  <c r="G56" i="7" s="1"/>
  <c r="G72" i="7" s="1"/>
  <c r="G44" i="7"/>
  <c r="C20" i="7"/>
  <c r="D20" i="7" s="1"/>
  <c r="D18" i="7"/>
  <c r="C45" i="3"/>
  <c r="D70" i="5"/>
  <c r="E42" i="5"/>
  <c r="E43" i="5"/>
  <c r="F43" i="5"/>
  <c r="F42" i="5"/>
  <c r="F11" i="5" s="1"/>
  <c r="G42" i="5"/>
  <c r="E11" i="5" l="1"/>
  <c r="F11" i="10"/>
  <c r="F56" i="10"/>
  <c r="F62" i="10" s="1"/>
  <c r="F78" i="10" s="1"/>
  <c r="F48" i="10"/>
  <c r="F11" i="11"/>
  <c r="F56" i="11"/>
  <c r="F62" i="11" s="1"/>
  <c r="F78" i="11" s="1"/>
  <c r="F48" i="11"/>
  <c r="F11" i="9"/>
  <c r="F56" i="9"/>
  <c r="F62" i="9" s="1"/>
  <c r="F78" i="9" s="1"/>
  <c r="F48" i="9"/>
  <c r="J50" i="7"/>
  <c r="J56" i="7" s="1"/>
  <c r="J72" i="7" s="1"/>
  <c r="I50" i="7"/>
  <c r="I56" i="7" s="1"/>
  <c r="I72" i="7" s="1"/>
  <c r="M50" i="7"/>
  <c r="M56" i="7" s="1"/>
  <c r="M72" i="7" s="1"/>
  <c r="K50" i="7"/>
  <c r="K56" i="7" s="1"/>
  <c r="K72" i="7" s="1"/>
  <c r="L50" i="7"/>
  <c r="L56" i="7" s="1"/>
  <c r="L72" i="7" s="1"/>
  <c r="F49" i="3"/>
  <c r="D43" i="5"/>
  <c r="D42" i="5"/>
  <c r="D11" i="5" l="1"/>
  <c r="G43" i="5"/>
  <c r="G11" i="5" s="1"/>
  <c r="F9" i="12"/>
  <c r="F6" i="12"/>
  <c r="F5" i="12"/>
  <c r="G41" i="5"/>
  <c r="F41" i="5"/>
  <c r="E41" i="5"/>
  <c r="D41" i="5"/>
  <c r="G43" i="10" l="1"/>
  <c r="G35" i="10"/>
  <c r="G43" i="9"/>
  <c r="G35" i="9"/>
  <c r="G43" i="11"/>
  <c r="G35" i="11"/>
  <c r="E40" i="5"/>
  <c r="E35" i="5"/>
  <c r="F40" i="5"/>
  <c r="F48" i="5" s="1"/>
  <c r="F35" i="5"/>
  <c r="G40" i="5"/>
  <c r="G35" i="5"/>
  <c r="D40" i="5"/>
  <c r="D48" i="5" s="1"/>
  <c r="D35" i="5"/>
  <c r="D22" i="5"/>
  <c r="D21" i="5"/>
  <c r="E54" i="5" s="1"/>
  <c r="D17" i="5"/>
  <c r="D16" i="5"/>
  <c r="D9" i="5"/>
  <c r="C55" i="3"/>
  <c r="C75" i="3"/>
  <c r="D73" i="3"/>
  <c r="F71" i="3"/>
  <c r="F72" i="3" s="1"/>
  <c r="E71" i="3"/>
  <c r="E72" i="3" s="1"/>
  <c r="D71" i="3"/>
  <c r="D72" i="3" s="1"/>
  <c r="C71" i="3"/>
  <c r="C72" i="3" s="1"/>
  <c r="D18" i="5" l="1"/>
  <c r="F7" i="12"/>
  <c r="D19" i="5"/>
  <c r="F8" i="12"/>
  <c r="G56" i="9"/>
  <c r="G62" i="9" s="1"/>
  <c r="G78" i="9" s="1"/>
  <c r="C13" i="12" s="1"/>
  <c r="G11" i="9"/>
  <c r="G48" i="9"/>
  <c r="G56" i="11"/>
  <c r="G62" i="11" s="1"/>
  <c r="G78" i="11" s="1"/>
  <c r="E13" i="12" s="1"/>
  <c r="G11" i="11"/>
  <c r="G48" i="11"/>
  <c r="G11" i="10"/>
  <c r="G56" i="10"/>
  <c r="G62" i="10" s="1"/>
  <c r="G78" i="10" s="1"/>
  <c r="D13" i="12" s="1"/>
  <c r="G48" i="10"/>
  <c r="E48" i="5"/>
  <c r="G48" i="5"/>
  <c r="D55" i="5"/>
  <c r="F57" i="5"/>
  <c r="E58" i="5"/>
  <c r="D57" i="5"/>
  <c r="G58" i="5"/>
  <c r="D58" i="5"/>
  <c r="F58" i="5"/>
  <c r="G57" i="5"/>
  <c r="E57" i="5"/>
  <c r="E59" i="5"/>
  <c r="F59" i="5"/>
  <c r="D59" i="5"/>
  <c r="G59" i="5"/>
  <c r="G54" i="5"/>
  <c r="F54" i="5"/>
  <c r="D54" i="5"/>
  <c r="E56" i="5"/>
  <c r="E55" i="5"/>
  <c r="G55" i="5"/>
  <c r="G56" i="5"/>
  <c r="F56" i="5"/>
  <c r="F55" i="5"/>
  <c r="D56" i="5"/>
  <c r="G53" i="5"/>
  <c r="F53" i="5"/>
  <c r="D53" i="5"/>
  <c r="E53" i="5"/>
  <c r="D20" i="5"/>
  <c r="D74" i="3"/>
  <c r="D75" i="3"/>
  <c r="E70" i="10" l="1"/>
  <c r="E9" i="10"/>
  <c r="E70" i="11"/>
  <c r="E9" i="11"/>
  <c r="E70" i="9"/>
  <c r="E9" i="9"/>
  <c r="E62" i="5"/>
  <c r="E78" i="5" s="1"/>
  <c r="F62" i="5"/>
  <c r="F78" i="5" s="1"/>
  <c r="G62" i="5"/>
  <c r="G78" i="5" s="1"/>
  <c r="E9" i="7"/>
  <c r="E64" i="7"/>
  <c r="E70" i="5"/>
  <c r="E9" i="5"/>
  <c r="D62" i="5"/>
  <c r="D78" i="5" s="1"/>
  <c r="F13" i="12" l="1"/>
  <c r="C85" i="3"/>
  <c r="D83" i="3"/>
  <c r="D85" i="3" s="1"/>
  <c r="F81" i="3"/>
  <c r="F82" i="3" s="1"/>
  <c r="E81" i="3"/>
  <c r="E82" i="3" s="1"/>
  <c r="D81" i="3"/>
  <c r="D82" i="3" s="1"/>
  <c r="C81" i="3"/>
  <c r="C82" i="3" s="1"/>
  <c r="C84" i="3" s="1"/>
  <c r="C65" i="3"/>
  <c r="D63" i="3"/>
  <c r="F61" i="3"/>
  <c r="F62" i="3" s="1"/>
  <c r="E61" i="3"/>
  <c r="E62" i="3" s="1"/>
  <c r="D61" i="3"/>
  <c r="D62" i="3" s="1"/>
  <c r="C61" i="3"/>
  <c r="C62" i="3" s="1"/>
  <c r="C64" i="3" s="1"/>
  <c r="D43" i="3"/>
  <c r="D45" i="3" s="1"/>
  <c r="F41" i="3"/>
  <c r="F42" i="3" s="1"/>
  <c r="E41" i="3"/>
  <c r="E42" i="3" s="1"/>
  <c r="D41" i="3"/>
  <c r="D42" i="3" s="1"/>
  <c r="C41" i="3"/>
  <c r="C42" i="3" s="1"/>
  <c r="C44" i="3" s="1"/>
  <c r="D53" i="3"/>
  <c r="D51" i="3"/>
  <c r="D52" i="3" s="1"/>
  <c r="E51" i="3"/>
  <c r="E52" i="3" s="1"/>
  <c r="F51" i="3"/>
  <c r="F52" i="3" s="1"/>
  <c r="C51" i="3"/>
  <c r="C52" i="3" s="1"/>
  <c r="C54" i="3" s="1"/>
  <c r="D68" i="10" l="1"/>
  <c r="D7" i="10"/>
  <c r="D68" i="11"/>
  <c r="D7" i="11"/>
  <c r="D71" i="10"/>
  <c r="D10" i="10"/>
  <c r="D71" i="11"/>
  <c r="D10" i="11"/>
  <c r="D71" i="9"/>
  <c r="D10" i="9"/>
  <c r="D67" i="11"/>
  <c r="D6" i="11"/>
  <c r="D67" i="10"/>
  <c r="D6" i="10"/>
  <c r="D6" i="9"/>
  <c r="D67" i="9"/>
  <c r="D6" i="7"/>
  <c r="D61" i="7"/>
  <c r="D55" i="3"/>
  <c r="D69" i="10"/>
  <c r="D8" i="10"/>
  <c r="D69" i="11"/>
  <c r="D8" i="11"/>
  <c r="D69" i="9"/>
  <c r="D8" i="9"/>
  <c r="D68" i="9"/>
  <c r="D7" i="9"/>
  <c r="D7" i="7"/>
  <c r="D62" i="7"/>
  <c r="D8" i="7"/>
  <c r="D63" i="7"/>
  <c r="D65" i="7"/>
  <c r="D10" i="7"/>
  <c r="D69" i="5"/>
  <c r="D8" i="5"/>
  <c r="D67" i="5"/>
  <c r="D68" i="5"/>
  <c r="D71" i="5"/>
  <c r="D10" i="5"/>
  <c r="D7" i="5"/>
  <c r="D6" i="5"/>
  <c r="D84" i="3"/>
  <c r="D65" i="3"/>
  <c r="D64" i="3"/>
  <c r="D44" i="3"/>
  <c r="D54" i="3"/>
  <c r="E69" i="10" l="1"/>
  <c r="E8" i="10"/>
  <c r="E69" i="11"/>
  <c r="E8" i="11"/>
  <c r="E69" i="9"/>
  <c r="E8" i="9"/>
  <c r="E7" i="10"/>
  <c r="E68" i="11"/>
  <c r="E7" i="11"/>
  <c r="E68" i="10"/>
  <c r="E67" i="11"/>
  <c r="E6" i="11"/>
  <c r="E67" i="10"/>
  <c r="E6" i="10"/>
  <c r="E6" i="9"/>
  <c r="E67" i="9"/>
  <c r="E71" i="10"/>
  <c r="E10" i="11"/>
  <c r="E10" i="10"/>
  <c r="E71" i="11"/>
  <c r="E10" i="9"/>
  <c r="E71" i="9"/>
  <c r="E68" i="9"/>
  <c r="E7" i="9"/>
  <c r="E7" i="7"/>
  <c r="E62" i="7"/>
  <c r="E6" i="7"/>
  <c r="E61" i="7"/>
  <c r="E8" i="7"/>
  <c r="E63" i="7"/>
  <c r="E65" i="7"/>
  <c r="E10" i="7"/>
  <c r="E68" i="5"/>
  <c r="E69" i="5"/>
  <c r="E8" i="5"/>
  <c r="E67" i="5"/>
  <c r="E71" i="5"/>
  <c r="E10" i="5"/>
  <c r="E6" i="5"/>
  <c r="E7" i="5"/>
  <c r="C32" i="3" l="1"/>
  <c r="C33" i="3" s="1"/>
  <c r="D66" i="11" l="1"/>
  <c r="D5" i="11"/>
  <c r="D12" i="11" s="1"/>
  <c r="D66" i="10"/>
  <c r="D5" i="10"/>
  <c r="D12" i="10" s="1"/>
  <c r="D66" i="9"/>
  <c r="D5" i="9"/>
  <c r="D12" i="9" s="1"/>
  <c r="D60" i="7"/>
  <c r="D5" i="7"/>
  <c r="D11" i="7" s="1"/>
  <c r="D66" i="5"/>
  <c r="D73" i="5" s="1"/>
  <c r="D5" i="5"/>
  <c r="D12" i="5" s="1"/>
  <c r="C34" i="3"/>
  <c r="D77" i="7" l="1"/>
  <c r="D67" i="7"/>
  <c r="D83" i="9"/>
  <c r="D73" i="9"/>
  <c r="D83" i="10"/>
  <c r="D73" i="10"/>
  <c r="D83" i="11"/>
  <c r="D73" i="11"/>
  <c r="D83" i="5"/>
  <c r="D14" i="3"/>
  <c r="D25" i="3" s="1"/>
  <c r="E9" i="3"/>
  <c r="E53" i="3" s="1"/>
  <c r="D77" i="11" l="1"/>
  <c r="D79" i="11" s="1"/>
  <c r="D84" i="11"/>
  <c r="D71" i="7"/>
  <c r="D73" i="7"/>
  <c r="D78" i="7"/>
  <c r="D77" i="10"/>
  <c r="D79" i="10" s="1"/>
  <c r="D84" i="10"/>
  <c r="D77" i="9"/>
  <c r="D79" i="9" s="1"/>
  <c r="D84" i="9"/>
  <c r="F53" i="3"/>
  <c r="E73" i="3"/>
  <c r="E74" i="3" s="1"/>
  <c r="E93" i="3"/>
  <c r="D77" i="5"/>
  <c r="D79" i="5" s="1"/>
  <c r="D84" i="5"/>
  <c r="E55" i="3"/>
  <c r="E83" i="3"/>
  <c r="E63" i="3"/>
  <c r="E43" i="3"/>
  <c r="E45" i="3" s="1"/>
  <c r="D26" i="3"/>
  <c r="D23" i="3"/>
  <c r="D16" i="3"/>
  <c r="D21" i="3"/>
  <c r="E14" i="3"/>
  <c r="D22" i="3"/>
  <c r="D24" i="3"/>
  <c r="D31" i="3"/>
  <c r="D32" i="3"/>
  <c r="D30" i="3"/>
  <c r="F9" i="3"/>
  <c r="D20" i="3"/>
  <c r="D29" i="3"/>
  <c r="D19" i="3"/>
  <c r="D28" i="3"/>
  <c r="D18" i="3"/>
  <c r="D27" i="3"/>
  <c r="D17" i="3"/>
  <c r="F70" i="10" l="1"/>
  <c r="F9" i="10"/>
  <c r="F70" i="11"/>
  <c r="F9" i="11"/>
  <c r="F9" i="9"/>
  <c r="F70" i="9"/>
  <c r="F9" i="7"/>
  <c r="F64" i="7"/>
  <c r="E75" i="3"/>
  <c r="E26" i="3"/>
  <c r="F73" i="3"/>
  <c r="E94" i="3"/>
  <c r="E95" i="3"/>
  <c r="F93" i="3"/>
  <c r="F75" i="3"/>
  <c r="F74" i="3"/>
  <c r="F70" i="5"/>
  <c r="F9" i="5"/>
  <c r="E22" i="3"/>
  <c r="E16" i="3"/>
  <c r="E85" i="3"/>
  <c r="F83" i="3"/>
  <c r="E84" i="3"/>
  <c r="F55" i="3"/>
  <c r="E54" i="3"/>
  <c r="F63" i="3"/>
  <c r="E65" i="3"/>
  <c r="E64" i="3"/>
  <c r="F43" i="3"/>
  <c r="F45" i="3" s="1"/>
  <c r="E44" i="3"/>
  <c r="E25" i="3"/>
  <c r="E23" i="3"/>
  <c r="E21" i="3"/>
  <c r="F14" i="3"/>
  <c r="E30" i="3"/>
  <c r="E31" i="3"/>
  <c r="E24" i="3"/>
  <c r="E28" i="3"/>
  <c r="E19" i="3"/>
  <c r="E32" i="3"/>
  <c r="E27" i="3"/>
  <c r="E17" i="3"/>
  <c r="E18" i="3"/>
  <c r="E29" i="3"/>
  <c r="E20" i="3"/>
  <c r="D33" i="3"/>
  <c r="F67" i="11" l="1"/>
  <c r="F6" i="11"/>
  <c r="F67" i="10"/>
  <c r="F6" i="10"/>
  <c r="F6" i="9"/>
  <c r="F67" i="9"/>
  <c r="G70" i="10"/>
  <c r="G9" i="10"/>
  <c r="G70" i="11"/>
  <c r="G9" i="11"/>
  <c r="G9" i="9"/>
  <c r="G70" i="9"/>
  <c r="F72" i="11"/>
  <c r="F72" i="10"/>
  <c r="F72" i="9"/>
  <c r="F69" i="10"/>
  <c r="F8" i="10"/>
  <c r="F69" i="11"/>
  <c r="F8" i="11"/>
  <c r="F69" i="9"/>
  <c r="F8" i="9"/>
  <c r="F68" i="10"/>
  <c r="F7" i="10"/>
  <c r="F68" i="11"/>
  <c r="F7" i="11"/>
  <c r="E66" i="11"/>
  <c r="E5" i="11"/>
  <c r="E12" i="11" s="1"/>
  <c r="E66" i="10"/>
  <c r="E5" i="10"/>
  <c r="E12" i="10" s="1"/>
  <c r="E66" i="9"/>
  <c r="E5" i="9"/>
  <c r="E12" i="9" s="1"/>
  <c r="F10" i="10"/>
  <c r="F10" i="11"/>
  <c r="F71" i="11"/>
  <c r="F71" i="10"/>
  <c r="F10" i="9"/>
  <c r="F71" i="9"/>
  <c r="F68" i="9"/>
  <c r="F7" i="9"/>
  <c r="F7" i="7"/>
  <c r="F62" i="7"/>
  <c r="F6" i="7"/>
  <c r="F61" i="7"/>
  <c r="E5" i="7"/>
  <c r="E11" i="7" s="1"/>
  <c r="E60" i="7"/>
  <c r="F66" i="7"/>
  <c r="F72" i="5"/>
  <c r="G9" i="7"/>
  <c r="G64" i="7"/>
  <c r="F65" i="7"/>
  <c r="F10" i="7"/>
  <c r="F8" i="7"/>
  <c r="F63" i="7"/>
  <c r="F95" i="3"/>
  <c r="F94" i="3"/>
  <c r="F69" i="5"/>
  <c r="F8" i="5"/>
  <c r="F67" i="5"/>
  <c r="E66" i="5"/>
  <c r="E5" i="5"/>
  <c r="E12" i="5" s="1"/>
  <c r="D34" i="3"/>
  <c r="G70" i="5"/>
  <c r="G9" i="5"/>
  <c r="F68" i="5"/>
  <c r="F71" i="5"/>
  <c r="F10" i="5"/>
  <c r="F6" i="5"/>
  <c r="F7" i="5"/>
  <c r="F16" i="3"/>
  <c r="F44" i="3"/>
  <c r="F84" i="3"/>
  <c r="F85" i="3"/>
  <c r="F64" i="3"/>
  <c r="F65" i="3"/>
  <c r="F54" i="3"/>
  <c r="F21" i="3"/>
  <c r="F26" i="3"/>
  <c r="F25" i="3"/>
  <c r="F23" i="3"/>
  <c r="F22" i="3"/>
  <c r="F32" i="3"/>
  <c r="F24" i="3"/>
  <c r="F31" i="3"/>
  <c r="F18" i="3"/>
  <c r="F28" i="3"/>
  <c r="E33" i="3"/>
  <c r="F19" i="3"/>
  <c r="F27" i="3"/>
  <c r="F17" i="3"/>
  <c r="F20" i="3"/>
  <c r="F29" i="3"/>
  <c r="F30" i="3"/>
  <c r="G72" i="11" l="1"/>
  <c r="G72" i="10"/>
  <c r="G72" i="9"/>
  <c r="E83" i="10"/>
  <c r="E73" i="10"/>
  <c r="F12" i="9"/>
  <c r="F12" i="11"/>
  <c r="E83" i="9"/>
  <c r="E73" i="9"/>
  <c r="F66" i="11"/>
  <c r="F83" i="11" s="1"/>
  <c r="F66" i="10"/>
  <c r="F83" i="10" s="1"/>
  <c r="F5" i="10"/>
  <c r="F12" i="10" s="1"/>
  <c r="F5" i="11"/>
  <c r="F5" i="9"/>
  <c r="F66" i="9"/>
  <c r="F83" i="9" s="1"/>
  <c r="F73" i="9"/>
  <c r="F77" i="9" s="1"/>
  <c r="E83" i="11"/>
  <c r="E73" i="11"/>
  <c r="G67" i="11"/>
  <c r="G6" i="11"/>
  <c r="G67" i="10"/>
  <c r="G6" i="10"/>
  <c r="G6" i="9"/>
  <c r="G67" i="9"/>
  <c r="G69" i="10"/>
  <c r="G8" i="11"/>
  <c r="G69" i="11"/>
  <c r="G8" i="10"/>
  <c r="G69" i="9"/>
  <c r="G8" i="9"/>
  <c r="G68" i="11"/>
  <c r="G7" i="11"/>
  <c r="G68" i="10"/>
  <c r="G7" i="10"/>
  <c r="G71" i="10"/>
  <c r="G71" i="11"/>
  <c r="G10" i="10"/>
  <c r="G10" i="11"/>
  <c r="G71" i="9"/>
  <c r="G10" i="9"/>
  <c r="G68" i="9"/>
  <c r="G7" i="9"/>
  <c r="E73" i="5"/>
  <c r="E83" i="5"/>
  <c r="G63" i="7"/>
  <c r="G8" i="7"/>
  <c r="G66" i="7"/>
  <c r="G72" i="5"/>
  <c r="G6" i="7"/>
  <c r="G61" i="7"/>
  <c r="H9" i="7"/>
  <c r="H64" i="7"/>
  <c r="F60" i="7"/>
  <c r="F5" i="7"/>
  <c r="F11" i="7" s="1"/>
  <c r="G62" i="7"/>
  <c r="G7" i="7"/>
  <c r="G65" i="7"/>
  <c r="G10" i="7"/>
  <c r="E67" i="7"/>
  <c r="E77" i="7"/>
  <c r="G68" i="5"/>
  <c r="G67" i="5"/>
  <c r="G69" i="5"/>
  <c r="G8" i="5"/>
  <c r="F66" i="5"/>
  <c r="F5" i="5"/>
  <c r="F12" i="5" s="1"/>
  <c r="E34" i="3"/>
  <c r="G71" i="5"/>
  <c r="G10" i="5"/>
  <c r="G6" i="5"/>
  <c r="G7" i="5"/>
  <c r="F33" i="3"/>
  <c r="E77" i="10" l="1"/>
  <c r="E79" i="10" s="1"/>
  <c r="E84" i="10"/>
  <c r="F84" i="9"/>
  <c r="G73" i="9"/>
  <c r="G84" i="9" s="1"/>
  <c r="F73" i="10"/>
  <c r="E77" i="9"/>
  <c r="E79" i="9" s="1"/>
  <c r="E84" i="9"/>
  <c r="E77" i="11"/>
  <c r="E79" i="11" s="1"/>
  <c r="E84" i="11"/>
  <c r="G66" i="10"/>
  <c r="G83" i="10" s="1"/>
  <c r="G5" i="10"/>
  <c r="G12" i="10" s="1"/>
  <c r="G66" i="11"/>
  <c r="G83" i="11" s="1"/>
  <c r="G5" i="11"/>
  <c r="G12" i="11" s="1"/>
  <c r="G5" i="9"/>
  <c r="G12" i="9" s="1"/>
  <c r="G66" i="9"/>
  <c r="G83" i="9" s="1"/>
  <c r="F73" i="11"/>
  <c r="F79" i="9"/>
  <c r="F73" i="5"/>
  <c r="F83" i="5"/>
  <c r="E77" i="5"/>
  <c r="E84" i="5"/>
  <c r="H7" i="7"/>
  <c r="H62" i="7"/>
  <c r="F67" i="7"/>
  <c r="F77" i="7"/>
  <c r="H66" i="7"/>
  <c r="E78" i="7"/>
  <c r="E73" i="7"/>
  <c r="H6" i="7"/>
  <c r="H61" i="7"/>
  <c r="I9" i="7"/>
  <c r="I64" i="7"/>
  <c r="H63" i="7"/>
  <c r="H8" i="7"/>
  <c r="G5" i="7"/>
  <c r="G11" i="7" s="1"/>
  <c r="G60" i="7"/>
  <c r="H10" i="7"/>
  <c r="H65" i="7"/>
  <c r="G66" i="5"/>
  <c r="G5" i="5"/>
  <c r="G12" i="5" s="1"/>
  <c r="F34" i="3"/>
  <c r="G77" i="9" l="1"/>
  <c r="G73" i="11"/>
  <c r="G73" i="10"/>
  <c r="F77" i="11"/>
  <c r="F84" i="11"/>
  <c r="F84" i="10"/>
  <c r="F77" i="10"/>
  <c r="E79" i="5"/>
  <c r="G73" i="5"/>
  <c r="G83" i="5"/>
  <c r="F77" i="5"/>
  <c r="F79" i="5" s="1"/>
  <c r="F84" i="5"/>
  <c r="I61" i="7"/>
  <c r="I6" i="7"/>
  <c r="F78" i="7"/>
  <c r="F73" i="7"/>
  <c r="H60" i="7"/>
  <c r="H5" i="7"/>
  <c r="H11" i="7" s="1"/>
  <c r="G77" i="7"/>
  <c r="G67" i="7"/>
  <c r="I8" i="7"/>
  <c r="I63" i="7"/>
  <c r="J9" i="7"/>
  <c r="J64" i="7"/>
  <c r="I66" i="7"/>
  <c r="I7" i="7"/>
  <c r="I62" i="7"/>
  <c r="I10" i="7"/>
  <c r="I65" i="7"/>
  <c r="G77" i="10" l="1"/>
  <c r="G79" i="10" s="1"/>
  <c r="G84" i="10"/>
  <c r="F79" i="10"/>
  <c r="D81" i="10" s="1"/>
  <c r="D12" i="12"/>
  <c r="D14" i="12" s="1"/>
  <c r="G84" i="11"/>
  <c r="G77" i="11"/>
  <c r="G79" i="11" s="1"/>
  <c r="F79" i="11"/>
  <c r="D81" i="11" s="1"/>
  <c r="E12" i="12"/>
  <c r="E14" i="12" s="1"/>
  <c r="G79" i="9"/>
  <c r="D81" i="9" s="1"/>
  <c r="C12" i="12"/>
  <c r="C14" i="12" s="1"/>
  <c r="G77" i="5"/>
  <c r="G79" i="5" s="1"/>
  <c r="D81" i="5" s="1"/>
  <c r="G84" i="5"/>
  <c r="J8" i="7"/>
  <c r="J63" i="7"/>
  <c r="J66" i="7"/>
  <c r="J7" i="7"/>
  <c r="J62" i="7"/>
  <c r="G78" i="7"/>
  <c r="G73" i="7"/>
  <c r="I60" i="7"/>
  <c r="I5" i="7"/>
  <c r="I11" i="7" s="1"/>
  <c r="H77" i="7"/>
  <c r="H67" i="7"/>
  <c r="K9" i="7"/>
  <c r="K64" i="7"/>
  <c r="J10" i="7"/>
  <c r="J65" i="7"/>
  <c r="J61" i="7"/>
  <c r="J6" i="7"/>
  <c r="F12" i="12" l="1"/>
  <c r="F14" i="12" s="1"/>
  <c r="L9" i="7"/>
  <c r="L64" i="7"/>
  <c r="H78" i="7"/>
  <c r="H73" i="7"/>
  <c r="D75" i="7" s="1"/>
  <c r="K10" i="7"/>
  <c r="K65" i="7"/>
  <c r="J5" i="7"/>
  <c r="J11" i="7" s="1"/>
  <c r="J60" i="7"/>
  <c r="K61" i="7"/>
  <c r="K6" i="7"/>
  <c r="K62" i="7"/>
  <c r="K7" i="7"/>
  <c r="I67" i="7"/>
  <c r="I77" i="7"/>
  <c r="K66" i="7"/>
  <c r="K8" i="7"/>
  <c r="K63" i="7"/>
  <c r="L63" i="7" l="1"/>
  <c r="L8" i="7"/>
  <c r="L66" i="7"/>
  <c r="L61" i="7"/>
  <c r="L6" i="7"/>
  <c r="L7" i="7"/>
  <c r="L62" i="7"/>
  <c r="I78" i="7"/>
  <c r="I73" i="7"/>
  <c r="M9" i="7"/>
  <c r="M64" i="7"/>
  <c r="J67" i="7"/>
  <c r="J77" i="7"/>
  <c r="L10" i="7"/>
  <c r="L65" i="7"/>
  <c r="K5" i="7"/>
  <c r="K11" i="7" s="1"/>
  <c r="K60" i="7"/>
  <c r="M8" i="7" l="1"/>
  <c r="M63" i="7"/>
  <c r="K67" i="7"/>
  <c r="K77" i="7"/>
  <c r="M6" i="7"/>
  <c r="M61" i="7"/>
  <c r="M10" i="7"/>
  <c r="M65" i="7"/>
  <c r="M7" i="7"/>
  <c r="M62" i="7"/>
  <c r="M66" i="7"/>
  <c r="J78" i="7"/>
  <c r="J73" i="7"/>
  <c r="L5" i="7"/>
  <c r="L11" i="7" s="1"/>
  <c r="L60" i="7"/>
  <c r="M5" i="7" l="1"/>
  <c r="M11" i="7" s="1"/>
  <c r="M60" i="7"/>
  <c r="K78" i="7"/>
  <c r="K73" i="7"/>
  <c r="L67" i="7"/>
  <c r="L77" i="7"/>
  <c r="L78" i="7" l="1"/>
  <c r="L73" i="7"/>
  <c r="M67" i="7"/>
  <c r="M77" i="7"/>
  <c r="M78" i="7" l="1"/>
  <c r="M73" i="7"/>
</calcChain>
</file>

<file path=xl/sharedStrings.xml><?xml version="1.0" encoding="utf-8"?>
<sst xmlns="http://schemas.openxmlformats.org/spreadsheetml/2006/main" count="482" uniqueCount="132">
  <si>
    <t>T7</t>
  </si>
  <si>
    <t>FLUJO FINANCIERO PARA EL SISTEMA INTEGRADO DE SUPERFICIE CON LA PRIMERA LÍNEA DEL METRO</t>
  </si>
  <si>
    <t>Supuestos Costos Operacionales</t>
  </si>
  <si>
    <t>Incremento costo (Inflación)</t>
  </si>
  <si>
    <t xml:space="preserve">Incremento flota buses </t>
  </si>
  <si>
    <t>Alimentadores</t>
  </si>
  <si>
    <t>Distancia (km)</t>
  </si>
  <si>
    <t>Personal Operador</t>
  </si>
  <si>
    <t>Software y licenciamiento</t>
  </si>
  <si>
    <t xml:space="preserve">Energía de tracción </t>
  </si>
  <si>
    <t>Energía auxiliar</t>
  </si>
  <si>
    <t>Mtto Material Rodante</t>
  </si>
  <si>
    <t>Mtto Infraestructura</t>
  </si>
  <si>
    <t>Mtto Estaciones</t>
  </si>
  <si>
    <t>Limpieza</t>
  </si>
  <si>
    <t>Recaudo</t>
  </si>
  <si>
    <t>Seguros</t>
  </si>
  <si>
    <t xml:space="preserve">Seguros Empresa Metro </t>
  </si>
  <si>
    <t>Aranceles</t>
  </si>
  <si>
    <t>Seguridad Civil</t>
  </si>
  <si>
    <t>Fiscalización y Gerencia Operacional</t>
  </si>
  <si>
    <t>Gastos Generales</t>
  </si>
  <si>
    <t>IVA</t>
  </si>
  <si>
    <t>COSTO MENSUAL POR TREN</t>
  </si>
  <si>
    <t>DATOS GENERALES</t>
  </si>
  <si>
    <t>Meses de Operación al año</t>
  </si>
  <si>
    <t>Tarifa Técnica</t>
  </si>
  <si>
    <t>Señalización Ferroviaria</t>
  </si>
  <si>
    <t>COSTOS DE OPERACIÓN METRO DE QUITO</t>
  </si>
  <si>
    <t>Preoperación</t>
  </si>
  <si>
    <t>Rubro</t>
  </si>
  <si>
    <t>Tarifa MetrobusQ</t>
  </si>
  <si>
    <t>Tarifa Convencional</t>
  </si>
  <si>
    <t>Tarifa Total Integrada</t>
  </si>
  <si>
    <t>Flota</t>
  </si>
  <si>
    <t>Kilómetros de Operación Día Unidad</t>
  </si>
  <si>
    <t>Kilómetros de Operación Anual Unidad</t>
  </si>
  <si>
    <t>Kilómetros de Operación Total Anual</t>
  </si>
  <si>
    <t>Costo de Kilómetro de Operación</t>
  </si>
  <si>
    <t>COSTOS DE OPERACIÓN TRONCAL</t>
  </si>
  <si>
    <t>Descripción</t>
  </si>
  <si>
    <t>COSTOS DE OPERACIÓN TRONCAL ELÉCTRICOS</t>
  </si>
  <si>
    <t>COSTOS DE OPERACIÓN SISTEMA CONVENCIONAL</t>
  </si>
  <si>
    <t>Costo Total Anual</t>
  </si>
  <si>
    <t>Costo Mensual por Unidad</t>
  </si>
  <si>
    <t>SERVICIOS</t>
  </si>
  <si>
    <t>Costo de Operación Metro</t>
  </si>
  <si>
    <t>Costo de Operación Troncales</t>
  </si>
  <si>
    <t>Costo de Operación Alimentadores</t>
  </si>
  <si>
    <t>Costo de Operación Troncales Eléctricos</t>
  </si>
  <si>
    <t>Costo de Operación Alimentadores Eléctricos</t>
  </si>
  <si>
    <t>Costo de Operación Convencional</t>
  </si>
  <si>
    <t>Costo Total</t>
  </si>
  <si>
    <t>COSTOS DE OPEREACIÓN ANUAL DE SERVICIOS DE TRANSPORTE PÚBLICO</t>
  </si>
  <si>
    <t>COSTO TOTAL ANUAL</t>
  </si>
  <si>
    <t>TARIFAS</t>
  </si>
  <si>
    <t>Tarifa Metro de Quito</t>
  </si>
  <si>
    <t>Tarifa Integración Metro - MetrobusQ</t>
  </si>
  <si>
    <t>Tarifa Integración MetrobusQ - Metro</t>
  </si>
  <si>
    <t>Tarifa Usuario</t>
  </si>
  <si>
    <t>Demanda Metro de Quito</t>
  </si>
  <si>
    <t>Demanda Integración Metro de Quito</t>
  </si>
  <si>
    <t>Demanda Sistema Convencional</t>
  </si>
  <si>
    <t>Demanda Total del Sistema</t>
  </si>
  <si>
    <t>DEMANDAS DIARIAS</t>
  </si>
  <si>
    <t>INGRESOS ESTIMADOS</t>
  </si>
  <si>
    <t>Metro de Quito</t>
  </si>
  <si>
    <t>Integración Metro de Quito</t>
  </si>
  <si>
    <t>MetrobusQ</t>
  </si>
  <si>
    <t>Convencional</t>
  </si>
  <si>
    <t>Demanda Sistema Troncal MetroBusQ</t>
  </si>
  <si>
    <t>Demanda Alimentadores MetroBusQ</t>
  </si>
  <si>
    <t>TOTAL INGRESOS</t>
  </si>
  <si>
    <t>Ingresos No Comerciales</t>
  </si>
  <si>
    <t>COSTOS OPERACIÓN SITP</t>
  </si>
  <si>
    <t>INGRESOS SITP</t>
  </si>
  <si>
    <t>FLUJO ESTIMADO</t>
  </si>
  <si>
    <t>DÉFICIT</t>
  </si>
  <si>
    <t>FLUJO DE CAJA</t>
  </si>
  <si>
    <t>SUBSIDIO PROMEDIO 5 AÑOS</t>
  </si>
  <si>
    <t xml:space="preserve">Trenes </t>
  </si>
  <si>
    <t>Tarifa Promedio de Integración</t>
  </si>
  <si>
    <t/>
  </si>
  <si>
    <t>ESCENARIO DE TARIFA</t>
  </si>
  <si>
    <t>Costo Metro de Quito</t>
  </si>
  <si>
    <t>Costo Troncales</t>
  </si>
  <si>
    <t>Costo Alimentación</t>
  </si>
  <si>
    <t>Costo Troncal Eléctrica</t>
  </si>
  <si>
    <t>Costo Alimentación Eléctrica</t>
  </si>
  <si>
    <t>Costo Convencional</t>
  </si>
  <si>
    <t>DEMANDAS ANUALES</t>
  </si>
  <si>
    <t>FACTOR DEMANDA ANUAL</t>
  </si>
  <si>
    <t>INGRESOS ESTIMADOS ANUALES</t>
  </si>
  <si>
    <t>Días de Operación al año para KM</t>
  </si>
  <si>
    <t>COSTOS DEL SITP</t>
  </si>
  <si>
    <t>COSTOS ESTIMADOS</t>
  </si>
  <si>
    <t>ANÁLISIS DÉFICIT</t>
  </si>
  <si>
    <t>TARIFA TÉCNICA</t>
  </si>
  <si>
    <t>COSTOS DE OPERACIÓN COMBINADOS</t>
  </si>
  <si>
    <t>Demanda Sistema Combinado</t>
  </si>
  <si>
    <t>Combinados</t>
  </si>
  <si>
    <t>Costo Combinado</t>
  </si>
  <si>
    <t>Tarifa Combinado</t>
  </si>
  <si>
    <t>Demanda Sistema Troncal Eléctrico</t>
  </si>
  <si>
    <t>Demanda Alimentadores Eléctrico</t>
  </si>
  <si>
    <t>Troncal Eléctrico</t>
  </si>
  <si>
    <t>Alimentador Eléctrico</t>
  </si>
  <si>
    <t>Tarifa Ponderada</t>
  </si>
  <si>
    <t>TARIFA TÉCNICA METRO</t>
  </si>
  <si>
    <t>TARIFA TÉCNICA SITP</t>
  </si>
  <si>
    <t>Costo del Sistema de Recaudo</t>
  </si>
  <si>
    <t>SUBSISTEMA</t>
  </si>
  <si>
    <t>EQUILIBRIO</t>
  </si>
  <si>
    <t>ESCENARIO T04</t>
  </si>
  <si>
    <t>ESCENARIO T07</t>
  </si>
  <si>
    <t>TARIFA</t>
  </si>
  <si>
    <t xml:space="preserve">METRO </t>
  </si>
  <si>
    <t>INTEGRACION METRO - METROBÚS Q</t>
  </si>
  <si>
    <t>INTEGRACION METROBUSQ - METRO</t>
  </si>
  <si>
    <t>TARIFA INTEGRADA TOTAL</t>
  </si>
  <si>
    <t>COSTOS</t>
  </si>
  <si>
    <t>INGRESOS</t>
  </si>
  <si>
    <t>COMPENSACIÓN ANUAL</t>
  </si>
  <si>
    <t>METROBÚSQ</t>
  </si>
  <si>
    <t>ESCENARIO T06</t>
  </si>
  <si>
    <t>ESCENARIO T08</t>
  </si>
  <si>
    <t>COSTOS DE OPERACIÓN ALIMENTADORES/OTROS SERVICIOS INTEGRADOS</t>
  </si>
  <si>
    <t>COSTOS DE OPERACIÓN ALIMENTADORES ELÉCTRICOS/OTROS SERVICIOS INTEGRADOS</t>
  </si>
  <si>
    <t>Costo de Operación Alimentadores/Otros Servicios Integrados</t>
  </si>
  <si>
    <t>Costo de Operación Alimentadores Eléctricos/Otros Servicios Integrados</t>
  </si>
  <si>
    <t>SUBSIDIO PROMEDIO 4 AÑOS</t>
  </si>
  <si>
    <t>CUADRO RESUMEN
(PROMEDIOS 4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</si>
</sst>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* #,##0.00_);_(&quot;$&quot;* \(#,##0.00\);_(&quot;$&quot;* &quot;-&quot;??_);_(@_)"/>
    <numFmt numFmtId="166" formatCode="_ * #,##0_ ;_ * \-#,##0_ ;_ * &quot;-&quot;??_ ;_ @_ "/>
    <numFmt numFmtId="167" formatCode="_ &quot;$&quot;* #,##0_ ;_ &quot;$&quot;* \-#,##0_ ;_ &quot;$&quot;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CF1F9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/>
    <xf numFmtId="9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8" fillId="8" borderId="0"/>
    <xf numFmtId="3" fontId="8" fillId="0" borderId="0"/>
  </cellStyleXfs>
  <cellXfs count="107">
    <xf numFmtId="0" fontId="0" fillId="0" borderId="0" xfId="0"/>
    <xf numFmtId="0" fontId="0" fillId="0" borderId="0" xfId="0"/>
    <xf numFmtId="0" fontId="0" fillId="0" borderId="1" xfId="0" applyBorder="1"/>
    <xf numFmtId="43" fontId="1" fillId="3" borderId="1" xfId="1" applyFont="1" applyFill="1" applyBorder="1"/>
    <xf numFmtId="0" fontId="1" fillId="3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/>
    <xf numFmtId="10" fontId="5" fillId="2" borderId="1" xfId="1" applyNumberFormat="1" applyFont="1" applyFill="1" applyBorder="1"/>
    <xf numFmtId="9" fontId="2" fillId="0" borderId="1" xfId="5" applyFont="1" applyBorder="1"/>
    <xf numFmtId="0" fontId="3" fillId="5" borderId="1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166" fontId="2" fillId="0" borderId="1" xfId="1" applyNumberFormat="1" applyFont="1" applyFill="1" applyBorder="1"/>
    <xf numFmtId="166" fontId="2" fillId="0" borderId="0" xfId="1" applyNumberFormat="1" applyFont="1" applyFill="1" applyBorder="1"/>
    <xf numFmtId="43" fontId="9" fillId="5" borderId="1" xfId="1" applyFont="1" applyFill="1" applyBorder="1"/>
    <xf numFmtId="0" fontId="0" fillId="0" borderId="1" xfId="0" applyFill="1" applyBorder="1"/>
    <xf numFmtId="43" fontId="2" fillId="0" borderId="0" xfId="1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justify" vertical="center"/>
    </xf>
    <xf numFmtId="3" fontId="7" fillId="0" borderId="1" xfId="0" applyNumberFormat="1" applyFont="1" applyFill="1" applyBorder="1" applyAlignment="1">
      <alignment horizontal="center" vertical="center"/>
    </xf>
    <xf numFmtId="44" fontId="6" fillId="0" borderId="1" xfId="4" applyFont="1" applyFill="1" applyBorder="1"/>
    <xf numFmtId="166" fontId="6" fillId="0" borderId="1" xfId="1" applyNumberFormat="1" applyFont="1" applyFill="1" applyBorder="1"/>
    <xf numFmtId="167" fontId="6" fillId="0" borderId="1" xfId="4" applyNumberFormat="1" applyFont="1" applyFill="1" applyBorder="1"/>
    <xf numFmtId="0" fontId="0" fillId="0" borderId="1" xfId="0" applyBorder="1"/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10" borderId="1" xfId="0" applyFill="1" applyBorder="1"/>
    <xf numFmtId="0" fontId="1" fillId="10" borderId="1" xfId="0" applyFont="1" applyFill="1" applyBorder="1"/>
    <xf numFmtId="166" fontId="0" fillId="0" borderId="1" xfId="0" applyNumberFormat="1" applyBorder="1"/>
    <xf numFmtId="44" fontId="0" fillId="0" borderId="1" xfId="4" applyFont="1" applyBorder="1"/>
    <xf numFmtId="0" fontId="0" fillId="11" borderId="1" xfId="0" applyFill="1" applyBorder="1"/>
    <xf numFmtId="44" fontId="2" fillId="11" borderId="1" xfId="4" applyFont="1" applyFill="1" applyBorder="1" applyAlignment="1">
      <alignment horizontal="center"/>
    </xf>
    <xf numFmtId="44" fontId="1" fillId="10" borderId="1" xfId="4" applyFont="1" applyFill="1" applyBorder="1"/>
    <xf numFmtId="0" fontId="1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15" borderId="1" xfId="0" applyFont="1" applyFill="1" applyBorder="1" applyAlignment="1">
      <alignment horizontal="left"/>
    </xf>
    <xf numFmtId="0" fontId="4" fillId="15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justify" vertical="center"/>
    </xf>
    <xf numFmtId="3" fontId="13" fillId="10" borderId="1" xfId="0" applyNumberFormat="1" applyFont="1" applyFill="1" applyBorder="1"/>
    <xf numFmtId="43" fontId="2" fillId="4" borderId="1" xfId="1" applyFont="1" applyFill="1" applyBorder="1"/>
    <xf numFmtId="3" fontId="0" fillId="4" borderId="1" xfId="0" applyNumberFormat="1" applyFont="1" applyFill="1" applyBorder="1"/>
    <xf numFmtId="44" fontId="12" fillId="0" borderId="1" xfId="4" applyFont="1" applyBorder="1" applyAlignment="1">
      <alignment horizontal="center"/>
    </xf>
    <xf numFmtId="44" fontId="4" fillId="1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4" fontId="1" fillId="6" borderId="1" xfId="4" applyFont="1" applyFill="1" applyBorder="1"/>
    <xf numFmtId="2" fontId="4" fillId="15" borderId="1" xfId="0" applyNumberFormat="1" applyFont="1" applyFill="1" applyBorder="1" applyAlignment="1">
      <alignment horizontal="center"/>
    </xf>
    <xf numFmtId="44" fontId="4" fillId="15" borderId="1" xfId="4" applyFont="1" applyFill="1" applyBorder="1" applyAlignment="1">
      <alignment horizontal="center"/>
    </xf>
    <xf numFmtId="44" fontId="1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44" fontId="0" fillId="4" borderId="1" xfId="4" applyFont="1" applyFill="1" applyBorder="1"/>
    <xf numFmtId="4" fontId="0" fillId="0" borderId="1" xfId="0" applyNumberFormat="1" applyBorder="1"/>
    <xf numFmtId="44" fontId="1" fillId="10" borderId="1" xfId="4" quotePrefix="1" applyFont="1" applyFill="1" applyBorder="1"/>
    <xf numFmtId="44" fontId="1" fillId="0" borderId="1" xfId="4" applyFont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3" fontId="12" fillId="0" borderId="1" xfId="4" applyNumberFormat="1" applyFont="1" applyBorder="1" applyAlignment="1">
      <alignment horizontal="center"/>
    </xf>
    <xf numFmtId="4" fontId="4" fillId="15" borderId="1" xfId="0" applyNumberFormat="1" applyFont="1" applyFill="1" applyBorder="1" applyAlignment="1">
      <alignment horizontal="center"/>
    </xf>
    <xf numFmtId="44" fontId="0" fillId="0" borderId="0" xfId="0" applyNumberFormat="1"/>
    <xf numFmtId="3" fontId="4" fillId="0" borderId="0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1" xfId="4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4" fontId="2" fillId="0" borderId="0" xfId="4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/>
    </xf>
    <xf numFmtId="44" fontId="4" fillId="10" borderId="1" xfId="0" applyNumberFormat="1" applyFont="1" applyFill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center"/>
    </xf>
    <xf numFmtId="44" fontId="14" fillId="10" borderId="1" xfId="4" applyFont="1" applyFill="1" applyBorder="1"/>
    <xf numFmtId="3" fontId="14" fillId="10" borderId="1" xfId="0" applyNumberFormat="1" applyFont="1" applyFill="1" applyBorder="1"/>
    <xf numFmtId="10" fontId="0" fillId="0" borderId="0" xfId="0" applyNumberFormat="1"/>
    <xf numFmtId="44" fontId="0" fillId="0" borderId="1" xfId="0" applyNumberFormat="1" applyBorder="1"/>
    <xf numFmtId="0" fontId="11" fillId="19" borderId="1" xfId="0" applyFont="1" applyFill="1" applyBorder="1" applyAlignment="1">
      <alignment horizontal="center"/>
    </xf>
    <xf numFmtId="0" fontId="11" fillId="20" borderId="1" xfId="0" applyFont="1" applyFill="1" applyBorder="1" applyAlignment="1">
      <alignment horizontal="center"/>
    </xf>
    <xf numFmtId="0" fontId="11" fillId="21" borderId="1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44" fontId="12" fillId="0" borderId="1" xfId="4" applyFont="1" applyBorder="1" applyAlignment="1">
      <alignment wrapText="1"/>
    </xf>
    <xf numFmtId="0" fontId="12" fillId="0" borderId="1" xfId="0" applyFont="1" applyBorder="1"/>
    <xf numFmtId="0" fontId="12" fillId="0" borderId="0" xfId="0" applyFont="1" applyFill="1" applyBorder="1" applyAlignment="1">
      <alignment wrapText="1"/>
    </xf>
    <xf numFmtId="44" fontId="12" fillId="0" borderId="0" xfId="4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167" fontId="12" fillId="0" borderId="1" xfId="4" applyNumberFormat="1" applyFont="1" applyFill="1" applyBorder="1" applyAlignment="1">
      <alignment wrapText="1"/>
    </xf>
    <xf numFmtId="0" fontId="4" fillId="10" borderId="1" xfId="0" applyFont="1" applyFill="1" applyBorder="1" applyAlignment="1">
      <alignment horizontal="left" wrapText="1"/>
    </xf>
    <xf numFmtId="167" fontId="4" fillId="10" borderId="1" xfId="4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4" fontId="4" fillId="0" borderId="0" xfId="4" applyFont="1" applyBorder="1" applyAlignment="1">
      <alignment horizontal="center"/>
    </xf>
    <xf numFmtId="44" fontId="0" fillId="0" borderId="0" xfId="4" applyFont="1"/>
    <xf numFmtId="43" fontId="9" fillId="18" borderId="1" xfId="1" applyFont="1" applyFill="1" applyBorder="1" applyAlignment="1">
      <alignment horizontal="center"/>
    </xf>
    <xf numFmtId="43" fontId="9" fillId="13" borderId="1" xfId="1" applyFont="1" applyFill="1" applyBorder="1" applyAlignment="1">
      <alignment horizontal="center"/>
    </xf>
    <xf numFmtId="43" fontId="9" fillId="9" borderId="1" xfId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9" fillId="5" borderId="1" xfId="1" applyFont="1" applyFill="1" applyBorder="1" applyAlignment="1">
      <alignment horizontal="center"/>
    </xf>
    <xf numFmtId="0" fontId="11" fillId="17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1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</cellXfs>
  <cellStyles count="8">
    <cellStyle name="Millares" xfId="1" builtinId="3"/>
    <cellStyle name="Millares 2" xfId="2"/>
    <cellStyle name="Moneda" xfId="4" builtinId="4"/>
    <cellStyle name="Normal" xfId="0" builtinId="0"/>
    <cellStyle name="Normal 2" xfId="7"/>
    <cellStyle name="Porcentaje" xfId="5" builtinId="5"/>
    <cellStyle name="Porcentaje 2" xfId="3"/>
    <cellStyle name="titulo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zoomScale="102" zoomScaleNormal="85" workbookViewId="0">
      <selection activeCell="J68" sqref="J68"/>
    </sheetView>
  </sheetViews>
  <sheetFormatPr baseColWidth="10" defaultRowHeight="15" x14ac:dyDescent="0.25"/>
  <cols>
    <col min="1" max="1" width="40" customWidth="1"/>
    <col min="2" max="2" width="20.85546875" customWidth="1"/>
    <col min="3" max="6" width="17.7109375" customWidth="1"/>
    <col min="8" max="8" width="13.5703125" bestFit="1" customWidth="1"/>
  </cols>
  <sheetData>
    <row r="2" spans="1:6" s="1" customFormat="1" x14ac:dyDescent="0.25">
      <c r="A2" s="13" t="s">
        <v>24</v>
      </c>
      <c r="B2" s="8"/>
    </row>
    <row r="3" spans="1:6" s="1" customFormat="1" x14ac:dyDescent="0.25">
      <c r="A3" s="2" t="s">
        <v>25</v>
      </c>
      <c r="B3" s="11">
        <v>12</v>
      </c>
    </row>
    <row r="4" spans="1:6" s="1" customFormat="1" x14ac:dyDescent="0.25">
      <c r="A4" s="2" t="s">
        <v>93</v>
      </c>
      <c r="B4" s="11">
        <v>329</v>
      </c>
    </row>
    <row r="5" spans="1:6" s="1" customFormat="1" x14ac:dyDescent="0.25">
      <c r="F5" s="75"/>
    </row>
    <row r="6" spans="1:6" s="1" customFormat="1" x14ac:dyDescent="0.25"/>
    <row r="7" spans="1:6" ht="15.75" x14ac:dyDescent="0.25">
      <c r="A7" s="97" t="s">
        <v>1</v>
      </c>
      <c r="B7" s="97"/>
      <c r="C7" s="97"/>
      <c r="D7" s="97"/>
      <c r="E7" s="97"/>
      <c r="F7" s="97"/>
    </row>
    <row r="8" spans="1:6" x14ac:dyDescent="0.25">
      <c r="A8" s="3" t="s">
        <v>2</v>
      </c>
      <c r="B8" s="4">
        <v>2020</v>
      </c>
      <c r="C8" s="4">
        <v>2021</v>
      </c>
      <c r="D8" s="4">
        <v>2022</v>
      </c>
      <c r="E8" s="4">
        <v>2023</v>
      </c>
      <c r="F8" s="4">
        <v>2024</v>
      </c>
    </row>
    <row r="9" spans="1:6" x14ac:dyDescent="0.25">
      <c r="A9" s="2" t="s">
        <v>3</v>
      </c>
      <c r="B9" s="5"/>
      <c r="C9" s="5"/>
      <c r="D9" s="6">
        <v>1.0200000000000001E-2</v>
      </c>
      <c r="E9" s="6">
        <f>+D9</f>
        <v>1.0200000000000001E-2</v>
      </c>
      <c r="F9" s="6">
        <f t="shared" ref="F9" si="0">+E9</f>
        <v>1.0200000000000001E-2</v>
      </c>
    </row>
    <row r="10" spans="1:6" x14ac:dyDescent="0.25">
      <c r="A10" s="2" t="s">
        <v>4</v>
      </c>
      <c r="B10" s="5"/>
      <c r="C10" s="5"/>
      <c r="D10" s="6"/>
      <c r="E10" s="7"/>
      <c r="F10" s="7"/>
    </row>
    <row r="11" spans="1:6" s="1" customFormat="1" x14ac:dyDescent="0.25">
      <c r="A11" s="15"/>
      <c r="B11" s="15"/>
      <c r="C11" s="12"/>
      <c r="D11" s="12"/>
      <c r="E11" s="12"/>
      <c r="F11" s="12"/>
    </row>
    <row r="12" spans="1:6" s="1" customFormat="1" x14ac:dyDescent="0.25">
      <c r="A12" s="98" t="s">
        <v>28</v>
      </c>
      <c r="B12" s="98"/>
      <c r="C12" s="98"/>
      <c r="D12" s="98"/>
      <c r="E12" s="98"/>
      <c r="F12" s="98"/>
    </row>
    <row r="13" spans="1:6" s="1" customFormat="1" x14ac:dyDescent="0.25">
      <c r="A13" s="4" t="s">
        <v>30</v>
      </c>
      <c r="B13" s="4" t="s">
        <v>29</v>
      </c>
      <c r="C13" s="4">
        <v>2021</v>
      </c>
      <c r="D13" s="4">
        <v>2022</v>
      </c>
      <c r="E13" s="4">
        <v>2023</v>
      </c>
      <c r="F13" s="4">
        <v>2024</v>
      </c>
    </row>
    <row r="14" spans="1:6" x14ac:dyDescent="0.25">
      <c r="A14" s="16" t="s">
        <v>6</v>
      </c>
      <c r="B14" s="16"/>
      <c r="C14" s="16">
        <v>23</v>
      </c>
      <c r="D14" s="16">
        <f t="shared" ref="D14:F14" si="1">+C14</f>
        <v>23</v>
      </c>
      <c r="E14" s="16">
        <f t="shared" si="1"/>
        <v>23</v>
      </c>
      <c r="F14" s="16">
        <f t="shared" si="1"/>
        <v>23</v>
      </c>
    </row>
    <row r="15" spans="1:6" s="1" customFormat="1" x14ac:dyDescent="0.25">
      <c r="A15" s="16" t="s">
        <v>80</v>
      </c>
      <c r="B15" s="16"/>
      <c r="C15" s="16">
        <v>18</v>
      </c>
      <c r="D15" s="16">
        <v>18</v>
      </c>
      <c r="E15" s="16">
        <v>18</v>
      </c>
      <c r="F15" s="16">
        <v>18</v>
      </c>
    </row>
    <row r="16" spans="1:6" x14ac:dyDescent="0.25">
      <c r="A16" s="17" t="s">
        <v>7</v>
      </c>
      <c r="B16" s="18"/>
      <c r="C16" s="19">
        <v>12375344.569999998</v>
      </c>
      <c r="D16" s="20">
        <f t="shared" ref="D16:F16" si="2">+C16*D$14/C$14*(1+D$9)</f>
        <v>12501573.084613997</v>
      </c>
      <c r="E16" s="20">
        <f t="shared" si="2"/>
        <v>12629089.13007706</v>
      </c>
      <c r="F16" s="20">
        <f t="shared" si="2"/>
        <v>12757905.839203848</v>
      </c>
    </row>
    <row r="17" spans="1:6" x14ac:dyDescent="0.25">
      <c r="A17" s="17" t="s">
        <v>8</v>
      </c>
      <c r="B17" s="18"/>
      <c r="C17" s="19">
        <v>416067</v>
      </c>
      <c r="D17" s="20">
        <f t="shared" ref="D17:F17" si="3">+C17*D$14/C$14*(1+D$9)</f>
        <v>420310.88339999999</v>
      </c>
      <c r="E17" s="20">
        <f t="shared" si="3"/>
        <v>424598.05441067996</v>
      </c>
      <c r="F17" s="20">
        <f t="shared" si="3"/>
        <v>428928.95456566894</v>
      </c>
    </row>
    <row r="18" spans="1:6" x14ac:dyDescent="0.25">
      <c r="A18" s="17" t="s">
        <v>9</v>
      </c>
      <c r="B18" s="18"/>
      <c r="C18" s="19">
        <v>2909693.2134779994</v>
      </c>
      <c r="D18" s="20">
        <f t="shared" ref="D18:F18" si="4">+C18*D$14/C$14*(1+D$9)</f>
        <v>2939372.0842554751</v>
      </c>
      <c r="E18" s="20">
        <f t="shared" si="4"/>
        <v>2969353.6795148808</v>
      </c>
      <c r="F18" s="20">
        <f t="shared" si="4"/>
        <v>2999641.0870459331</v>
      </c>
    </row>
    <row r="19" spans="1:6" x14ac:dyDescent="0.25">
      <c r="A19" s="17" t="s">
        <v>10</v>
      </c>
      <c r="B19" s="18"/>
      <c r="C19" s="19">
        <v>1018392.6247172997</v>
      </c>
      <c r="D19" s="20">
        <f t="shared" ref="D19:F19" si="5">+C19*D$14/C$14*(1+D$9)</f>
        <v>1028780.2294894161</v>
      </c>
      <c r="E19" s="20">
        <f t="shared" si="5"/>
        <v>1039273.7878302081</v>
      </c>
      <c r="F19" s="20">
        <f t="shared" si="5"/>
        <v>1049874.3804660763</v>
      </c>
    </row>
    <row r="20" spans="1:6" x14ac:dyDescent="0.25">
      <c r="A20" s="17" t="s">
        <v>11</v>
      </c>
      <c r="B20" s="18"/>
      <c r="C20" s="19">
        <v>2333311.1070000003</v>
      </c>
      <c r="D20" s="20">
        <f t="shared" ref="D20:F20" si="6">+C20*D$14/C$14*(1+D$9)</f>
        <v>2357110.8802914005</v>
      </c>
      <c r="E20" s="20">
        <f t="shared" si="6"/>
        <v>2381153.4112703726</v>
      </c>
      <c r="F20" s="20">
        <f t="shared" si="6"/>
        <v>2405441.1760653304</v>
      </c>
    </row>
    <row r="21" spans="1:6" x14ac:dyDescent="0.25">
      <c r="A21" s="17" t="s">
        <v>12</v>
      </c>
      <c r="B21" s="18"/>
      <c r="C21" s="19">
        <v>4774407.6750000007</v>
      </c>
      <c r="D21" s="20">
        <f t="shared" ref="D21:F21" si="7">+C21*D$14/C$14*(1+D$9)</f>
        <v>4823106.6332850009</v>
      </c>
      <c r="E21" s="20">
        <f t="shared" si="7"/>
        <v>4872302.3209445076</v>
      </c>
      <c r="F21" s="20">
        <f t="shared" si="7"/>
        <v>4921999.8046181416</v>
      </c>
    </row>
    <row r="22" spans="1:6" x14ac:dyDescent="0.25">
      <c r="A22" s="17" t="s">
        <v>13</v>
      </c>
      <c r="B22" s="18"/>
      <c r="C22" s="19">
        <v>4069728.6750000003</v>
      </c>
      <c r="D22" s="20">
        <f t="shared" ref="D22:F22" si="8">+C22*D$14/C$14*(1+D$9)</f>
        <v>4111239.9074850003</v>
      </c>
      <c r="E22" s="20">
        <f t="shared" si="8"/>
        <v>4153174.5545413471</v>
      </c>
      <c r="F22" s="20">
        <f t="shared" si="8"/>
        <v>4195536.9349976685</v>
      </c>
    </row>
    <row r="23" spans="1:6" s="1" customFormat="1" x14ac:dyDescent="0.25">
      <c r="A23" s="17" t="s">
        <v>27</v>
      </c>
      <c r="B23" s="18"/>
      <c r="C23" s="19">
        <v>1711344</v>
      </c>
      <c r="D23" s="20">
        <f t="shared" ref="D23:F23" si="9">+C23*D$14/C$14*(1+D$9)</f>
        <v>1728799.7087999999</v>
      </c>
      <c r="E23" s="20">
        <f t="shared" si="9"/>
        <v>1746433.4658297598</v>
      </c>
      <c r="F23" s="20">
        <f t="shared" si="9"/>
        <v>1764247.0871812233</v>
      </c>
    </row>
    <row r="24" spans="1:6" x14ac:dyDescent="0.25">
      <c r="A24" s="17" t="s">
        <v>14</v>
      </c>
      <c r="B24" s="18"/>
      <c r="C24" s="19">
        <v>1574322.7916000003</v>
      </c>
      <c r="D24" s="20">
        <f t="shared" ref="D24:F24" si="10">+C24*D$14/C$14*(1+D$9)</f>
        <v>1590380.8840743203</v>
      </c>
      <c r="E24" s="20">
        <f t="shared" si="10"/>
        <v>1606602.7690918783</v>
      </c>
      <c r="F24" s="20">
        <f t="shared" si="10"/>
        <v>1622990.1173366155</v>
      </c>
    </row>
    <row r="25" spans="1:6" x14ac:dyDescent="0.25">
      <c r="A25" s="17" t="s">
        <v>15</v>
      </c>
      <c r="B25" s="18"/>
      <c r="C25" s="19">
        <v>426394.72</v>
      </c>
      <c r="D25" s="20">
        <f t="shared" ref="D25:F25" si="11">+C25*D$14/C$14*(1+D$9)</f>
        <v>430743.94614399993</v>
      </c>
      <c r="E25" s="20">
        <f t="shared" si="11"/>
        <v>435137.53439466871</v>
      </c>
      <c r="F25" s="20">
        <f t="shared" si="11"/>
        <v>439575.9372454944</v>
      </c>
    </row>
    <row r="26" spans="1:6" x14ac:dyDescent="0.25">
      <c r="A26" s="17" t="s">
        <v>16</v>
      </c>
      <c r="B26" s="18"/>
      <c r="C26" s="19">
        <v>3792732</v>
      </c>
      <c r="D26" s="20">
        <f t="shared" ref="D26:F26" si="12">+C26*D$14/C$14*(1+D$9)</f>
        <v>3831417.8664000002</v>
      </c>
      <c r="E26" s="20">
        <f t="shared" si="12"/>
        <v>3870498.32863728</v>
      </c>
      <c r="F26" s="20">
        <f t="shared" si="12"/>
        <v>3909977.4115893804</v>
      </c>
    </row>
    <row r="27" spans="1:6" x14ac:dyDescent="0.25">
      <c r="A27" s="17" t="s">
        <v>17</v>
      </c>
      <c r="B27" s="18"/>
      <c r="C27" s="19">
        <v>2919240</v>
      </c>
      <c r="D27" s="20">
        <f t="shared" ref="D27:F27" si="13">+C27*D$14/C$14*(1+D$9)</f>
        <v>2949016.2480000001</v>
      </c>
      <c r="E27" s="20">
        <f t="shared" si="13"/>
        <v>2979096.2137295995</v>
      </c>
      <c r="F27" s="20">
        <f t="shared" si="13"/>
        <v>3009482.995109641</v>
      </c>
    </row>
    <row r="28" spans="1:6" x14ac:dyDescent="0.25">
      <c r="A28" s="17" t="s">
        <v>18</v>
      </c>
      <c r="B28" s="18"/>
      <c r="C28" s="19">
        <v>998228.6399999999</v>
      </c>
      <c r="D28" s="20">
        <f t="shared" ref="D28:F28" si="14">+C28*D$14/C$14*(1+D$9)</f>
        <v>1008410.5721279999</v>
      </c>
      <c r="E28" s="20">
        <f t="shared" si="14"/>
        <v>1018696.3599637054</v>
      </c>
      <c r="F28" s="20">
        <f t="shared" si="14"/>
        <v>1029087.0628353351</v>
      </c>
    </row>
    <row r="29" spans="1:6" x14ac:dyDescent="0.25">
      <c r="A29" s="17" t="s">
        <v>19</v>
      </c>
      <c r="B29" s="18"/>
      <c r="C29" s="19">
        <v>699946.7247892</v>
      </c>
      <c r="D29" s="20">
        <f t="shared" ref="D29:F29" si="15">+C29*D$14/C$14*(1+D$9)</f>
        <v>707086.18138204981</v>
      </c>
      <c r="E29" s="20">
        <f t="shared" si="15"/>
        <v>714298.46043214668</v>
      </c>
      <c r="F29" s="20">
        <f t="shared" si="15"/>
        <v>721584.30472855456</v>
      </c>
    </row>
    <row r="30" spans="1:6" x14ac:dyDescent="0.25">
      <c r="A30" s="17" t="s">
        <v>20</v>
      </c>
      <c r="B30" s="18"/>
      <c r="C30" s="19">
        <v>100000</v>
      </c>
      <c r="D30" s="20">
        <f t="shared" ref="D30:F30" si="16">+C30*D$14/C$14*(1+D$9)</f>
        <v>101020</v>
      </c>
      <c r="E30" s="20">
        <f t="shared" si="16"/>
        <v>102050.40399999999</v>
      </c>
      <c r="F30" s="20">
        <f t="shared" si="16"/>
        <v>103091.31812079999</v>
      </c>
    </row>
    <row r="31" spans="1:6" x14ac:dyDescent="0.25">
      <c r="A31" s="17" t="s">
        <v>21</v>
      </c>
      <c r="B31" s="18"/>
      <c r="C31" s="21">
        <v>878729.98</v>
      </c>
      <c r="D31" s="20">
        <f t="shared" ref="D31:F31" si="17">+C31*D$14/C$14*(1+D$9)</f>
        <v>887693.02579599991</v>
      </c>
      <c r="E31" s="20">
        <f t="shared" si="17"/>
        <v>896747.49465911905</v>
      </c>
      <c r="F31" s="20">
        <f t="shared" si="17"/>
        <v>905894.31910464203</v>
      </c>
    </row>
    <row r="32" spans="1:6" x14ac:dyDescent="0.25">
      <c r="A32" s="17" t="s">
        <v>22</v>
      </c>
      <c r="B32" s="18"/>
      <c r="C32" s="19">
        <f>(SUM(C17:C31))*0.12</f>
        <v>3434704.6981901396</v>
      </c>
      <c r="D32" s="20">
        <f t="shared" ref="D32:F32" si="18">+C32*D$14/C$14*(1+D$9)</f>
        <v>3469738.6861116788</v>
      </c>
      <c r="E32" s="20">
        <f t="shared" si="18"/>
        <v>3505130.020710018</v>
      </c>
      <c r="F32" s="20">
        <f t="shared" si="18"/>
        <v>3540882.34692126</v>
      </c>
    </row>
    <row r="33" spans="1:6" x14ac:dyDescent="0.25">
      <c r="A33" s="36" t="s">
        <v>54</v>
      </c>
      <c r="B33" s="37"/>
      <c r="C33" s="73">
        <f>SUM(C16:C32)</f>
        <v>44432588.419774629</v>
      </c>
      <c r="D33" s="74">
        <f t="shared" ref="D33:F33" si="19">+SUM(D16:D32)</f>
        <v>44885800.821656354</v>
      </c>
      <c r="E33" s="74">
        <f t="shared" si="19"/>
        <v>45343635.99003724</v>
      </c>
      <c r="F33" s="74">
        <f t="shared" si="19"/>
        <v>45806141.077135608</v>
      </c>
    </row>
    <row r="34" spans="1:6" x14ac:dyDescent="0.25">
      <c r="A34" s="38" t="s">
        <v>23</v>
      </c>
      <c r="B34" s="39"/>
      <c r="C34" s="51">
        <f>+C33/C15</f>
        <v>2468477.1344319237</v>
      </c>
      <c r="D34" s="51">
        <f t="shared" ref="D34:F34" si="20">+D33/D15</f>
        <v>2493655.6012031306</v>
      </c>
      <c r="E34" s="51">
        <f t="shared" si="20"/>
        <v>2519090.8883354021</v>
      </c>
      <c r="F34" s="51">
        <f t="shared" si="20"/>
        <v>2544785.6153964228</v>
      </c>
    </row>
    <row r="35" spans="1:6" x14ac:dyDescent="0.25">
      <c r="C35" s="93"/>
    </row>
    <row r="36" spans="1:6" s="1" customFormat="1" x14ac:dyDescent="0.25"/>
    <row r="37" spans="1:6" s="1" customFormat="1" x14ac:dyDescent="0.25">
      <c r="A37" s="98" t="s">
        <v>39</v>
      </c>
      <c r="B37" s="98"/>
      <c r="C37" s="98"/>
      <c r="D37" s="98"/>
      <c r="E37" s="98"/>
      <c r="F37" s="98"/>
    </row>
    <row r="38" spans="1:6" s="1" customFormat="1" x14ac:dyDescent="0.25">
      <c r="A38" s="4" t="s">
        <v>40</v>
      </c>
      <c r="B38" s="4" t="s">
        <v>29</v>
      </c>
      <c r="C38" s="4">
        <v>2021</v>
      </c>
      <c r="D38" s="4">
        <v>2022</v>
      </c>
      <c r="E38" s="4">
        <v>2023</v>
      </c>
      <c r="F38" s="4">
        <v>2024</v>
      </c>
    </row>
    <row r="39" spans="1:6" s="1" customFormat="1" x14ac:dyDescent="0.25">
      <c r="A39" s="22" t="s">
        <v>34</v>
      </c>
      <c r="B39" s="22"/>
      <c r="C39" s="22">
        <v>200</v>
      </c>
      <c r="D39" s="22">
        <v>200</v>
      </c>
      <c r="E39" s="22">
        <v>200</v>
      </c>
      <c r="F39" s="22">
        <v>100</v>
      </c>
    </row>
    <row r="40" spans="1:6" s="1" customFormat="1" x14ac:dyDescent="0.25">
      <c r="A40" s="22" t="s">
        <v>35</v>
      </c>
      <c r="B40" s="22"/>
      <c r="C40" s="22">
        <v>248.15</v>
      </c>
      <c r="D40" s="23">
        <v>248.15</v>
      </c>
      <c r="E40" s="23">
        <v>248.15</v>
      </c>
      <c r="F40" s="23">
        <v>248.15</v>
      </c>
    </row>
    <row r="41" spans="1:6" s="1" customFormat="1" x14ac:dyDescent="0.25">
      <c r="A41" s="14" t="s">
        <v>36</v>
      </c>
      <c r="B41" s="22"/>
      <c r="C41" s="27">
        <f>+C40*$B$4</f>
        <v>81641.350000000006</v>
      </c>
      <c r="D41" s="27">
        <f t="shared" ref="D41" si="21">+D40*$B$4</f>
        <v>81641.350000000006</v>
      </c>
      <c r="E41" s="27">
        <f t="shared" ref="E41" si="22">+E40*$B$4</f>
        <v>81641.350000000006</v>
      </c>
      <c r="F41" s="27">
        <f t="shared" ref="F41" si="23">+F40*$B$4</f>
        <v>81641.350000000006</v>
      </c>
    </row>
    <row r="42" spans="1:6" s="1" customFormat="1" x14ac:dyDescent="0.25">
      <c r="A42" s="14" t="s">
        <v>37</v>
      </c>
      <c r="B42" s="22"/>
      <c r="C42" s="52">
        <f>+C41*C39</f>
        <v>16328270.000000002</v>
      </c>
      <c r="D42" s="52">
        <f t="shared" ref="D42" si="24">+D41*D39</f>
        <v>16328270.000000002</v>
      </c>
      <c r="E42" s="52">
        <f t="shared" ref="E42" si="25">+E41*E39</f>
        <v>16328270.000000002</v>
      </c>
      <c r="F42" s="52">
        <f t="shared" ref="F42" si="26">+F41*F39</f>
        <v>8164135.0000000009</v>
      </c>
    </row>
    <row r="43" spans="1:6" s="1" customFormat="1" x14ac:dyDescent="0.25">
      <c r="A43" s="14" t="s">
        <v>38</v>
      </c>
      <c r="B43" s="28"/>
      <c r="C43" s="28">
        <v>3.26</v>
      </c>
      <c r="D43" s="28">
        <f>+C43*(1+D$9)</f>
        <v>3.2932519999999998</v>
      </c>
      <c r="E43" s="28">
        <f t="shared" ref="E43:F43" si="27">+D43*(1+E$9)</f>
        <v>3.3268431703999997</v>
      </c>
      <c r="F43" s="28">
        <f t="shared" si="27"/>
        <v>3.3607769707380797</v>
      </c>
    </row>
    <row r="44" spans="1:6" s="1" customFormat="1" x14ac:dyDescent="0.25">
      <c r="A44" s="26" t="s">
        <v>43</v>
      </c>
      <c r="B44" s="25"/>
      <c r="C44" s="31">
        <f>+C43*C42</f>
        <v>53230160.200000003</v>
      </c>
      <c r="D44" s="31">
        <f t="shared" ref="D44" si="28">+D43*D42</f>
        <v>53773107.834040001</v>
      </c>
      <c r="E44" s="31">
        <f t="shared" ref="E44" si="29">+E43*E42</f>
        <v>54321593.533947207</v>
      </c>
      <c r="F44" s="31">
        <f t="shared" ref="F44" si="30">+F43*F42</f>
        <v>27437836.893996734</v>
      </c>
    </row>
    <row r="45" spans="1:6" s="1" customFormat="1" x14ac:dyDescent="0.25">
      <c r="A45" s="29" t="s">
        <v>44</v>
      </c>
      <c r="B45" s="29"/>
      <c r="C45" s="30">
        <f>+C43*C40*27.42</f>
        <v>22181.929980000001</v>
      </c>
      <c r="D45" s="30">
        <f t="shared" ref="D45:F45" si="31">+D43*D40*27.42</f>
        <v>22408.185665796002</v>
      </c>
      <c r="E45" s="30">
        <f t="shared" si="31"/>
        <v>22636.749159587118</v>
      </c>
      <c r="F45" s="30">
        <f t="shared" si="31"/>
        <v>22867.644001014909</v>
      </c>
    </row>
    <row r="46" spans="1:6" s="1" customFormat="1" x14ac:dyDescent="0.25"/>
    <row r="47" spans="1:6" s="1" customFormat="1" x14ac:dyDescent="0.25">
      <c r="A47" s="98" t="s">
        <v>126</v>
      </c>
      <c r="B47" s="98"/>
      <c r="C47" s="98"/>
      <c r="D47" s="98"/>
      <c r="E47" s="98"/>
      <c r="F47" s="98"/>
    </row>
    <row r="48" spans="1:6" s="1" customFormat="1" x14ac:dyDescent="0.25">
      <c r="A48" s="4" t="s">
        <v>40</v>
      </c>
      <c r="B48" s="4" t="s">
        <v>29</v>
      </c>
      <c r="C48" s="4">
        <v>2021</v>
      </c>
      <c r="D48" s="4">
        <v>2022</v>
      </c>
      <c r="E48" s="4">
        <v>2023</v>
      </c>
      <c r="F48" s="4">
        <v>2024</v>
      </c>
    </row>
    <row r="49" spans="1:8" s="1" customFormat="1" x14ac:dyDescent="0.25">
      <c r="A49" s="22" t="s">
        <v>34</v>
      </c>
      <c r="B49" s="22"/>
      <c r="C49" s="22">
        <v>440</v>
      </c>
      <c r="D49" s="22">
        <v>440</v>
      </c>
      <c r="E49" s="22">
        <f>+D49+264-150-166</f>
        <v>388</v>
      </c>
      <c r="F49" s="22">
        <f>+E49</f>
        <v>388</v>
      </c>
    </row>
    <row r="50" spans="1:8" s="1" customFormat="1" x14ac:dyDescent="0.25">
      <c r="A50" s="22" t="s">
        <v>35</v>
      </c>
      <c r="B50" s="22"/>
      <c r="C50" s="22">
        <v>230</v>
      </c>
      <c r="D50" s="23">
        <v>230</v>
      </c>
      <c r="E50" s="23">
        <v>230</v>
      </c>
      <c r="F50" s="23">
        <v>230</v>
      </c>
    </row>
    <row r="51" spans="1:8" s="1" customFormat="1" x14ac:dyDescent="0.25">
      <c r="A51" s="14" t="s">
        <v>36</v>
      </c>
      <c r="B51" s="22"/>
      <c r="C51" s="27">
        <f>+C50*$B$4</f>
        <v>75670</v>
      </c>
      <c r="D51" s="27">
        <f t="shared" ref="D51:F51" si="32">+D50*$B$4</f>
        <v>75670</v>
      </c>
      <c r="E51" s="27">
        <f t="shared" si="32"/>
        <v>75670</v>
      </c>
      <c r="F51" s="27">
        <f t="shared" si="32"/>
        <v>75670</v>
      </c>
    </row>
    <row r="52" spans="1:8" s="1" customFormat="1" x14ac:dyDescent="0.25">
      <c r="A52" s="14" t="s">
        <v>37</v>
      </c>
      <c r="B52" s="22"/>
      <c r="C52" s="52">
        <f>+C51*C49</f>
        <v>33294800</v>
      </c>
      <c r="D52" s="52">
        <f t="shared" ref="D52:F52" si="33">+D51*D49</f>
        <v>33294800</v>
      </c>
      <c r="E52" s="52">
        <f t="shared" si="33"/>
        <v>29359960</v>
      </c>
      <c r="F52" s="52">
        <f t="shared" si="33"/>
        <v>29359960</v>
      </c>
    </row>
    <row r="53" spans="1:8" s="1" customFormat="1" x14ac:dyDescent="0.25">
      <c r="A53" s="14" t="s">
        <v>38</v>
      </c>
      <c r="B53" s="28"/>
      <c r="C53" s="28">
        <v>1.5</v>
      </c>
      <c r="D53" s="28">
        <f>+C53*(1+D$9)</f>
        <v>1.5152999999999999</v>
      </c>
      <c r="E53" s="28">
        <f t="shared" ref="E53:F53" si="34">+D53*(1+E$9)</f>
        <v>1.5307560599999999</v>
      </c>
      <c r="F53" s="28">
        <f t="shared" si="34"/>
        <v>1.5463697718119997</v>
      </c>
    </row>
    <row r="54" spans="1:8" s="1" customFormat="1" x14ac:dyDescent="0.25">
      <c r="A54" s="26" t="s">
        <v>43</v>
      </c>
      <c r="B54" s="25"/>
      <c r="C54" s="31">
        <f>+C53*C52</f>
        <v>49942200</v>
      </c>
      <c r="D54" s="31">
        <f t="shared" ref="D54:F54" si="35">+D53*D52</f>
        <v>50451610.439999998</v>
      </c>
      <c r="E54" s="31">
        <f t="shared" si="35"/>
        <v>44942936.691357598</v>
      </c>
      <c r="F54" s="31">
        <f t="shared" si="35"/>
        <v>45401354.645609438</v>
      </c>
    </row>
    <row r="55" spans="1:8" x14ac:dyDescent="0.25">
      <c r="A55" s="29" t="s">
        <v>44</v>
      </c>
      <c r="B55" s="29"/>
      <c r="C55" s="30">
        <f>+C53*C50*27.42</f>
        <v>9459.9000000000015</v>
      </c>
      <c r="D55" s="30">
        <f t="shared" ref="D55:F55" si="36">+D53*D50*27.42</f>
        <v>9556.3909799999983</v>
      </c>
      <c r="E55" s="30">
        <f t="shared" si="36"/>
        <v>9653.8661679959987</v>
      </c>
      <c r="F55" s="30">
        <f t="shared" si="36"/>
        <v>9752.3356029095594</v>
      </c>
      <c r="H55" s="59"/>
    </row>
    <row r="56" spans="1:8" s="1" customFormat="1" x14ac:dyDescent="0.25">
      <c r="C56" s="9"/>
      <c r="D56" s="10"/>
    </row>
    <row r="57" spans="1:8" s="1" customFormat="1" x14ac:dyDescent="0.25">
      <c r="A57" s="95" t="s">
        <v>41</v>
      </c>
      <c r="B57" s="95"/>
      <c r="C57" s="95"/>
      <c r="D57" s="95"/>
      <c r="E57" s="95"/>
      <c r="F57" s="95"/>
    </row>
    <row r="58" spans="1:8" s="1" customFormat="1" x14ac:dyDescent="0.25">
      <c r="A58" s="4" t="s">
        <v>40</v>
      </c>
      <c r="B58" s="4" t="s">
        <v>29</v>
      </c>
      <c r="C58" s="4">
        <v>2021</v>
      </c>
      <c r="D58" s="4">
        <v>2022</v>
      </c>
      <c r="E58" s="4">
        <v>2023</v>
      </c>
      <c r="F58" s="4">
        <v>2024</v>
      </c>
    </row>
    <row r="59" spans="1:8" s="1" customFormat="1" x14ac:dyDescent="0.25">
      <c r="A59" s="22" t="s">
        <v>34</v>
      </c>
      <c r="B59" s="22"/>
      <c r="C59" s="22"/>
      <c r="D59" s="22"/>
      <c r="E59" s="22">
        <v>81</v>
      </c>
      <c r="F59" s="69">
        <v>181</v>
      </c>
    </row>
    <row r="60" spans="1:8" s="1" customFormat="1" x14ac:dyDescent="0.25">
      <c r="A60" s="22" t="s">
        <v>35</v>
      </c>
      <c r="B60" s="22"/>
      <c r="C60" s="22">
        <v>248.15</v>
      </c>
      <c r="D60" s="69">
        <v>248.15</v>
      </c>
      <c r="E60" s="69">
        <v>248.15</v>
      </c>
      <c r="F60" s="69">
        <v>248.15</v>
      </c>
    </row>
    <row r="61" spans="1:8" s="1" customFormat="1" x14ac:dyDescent="0.25">
      <c r="A61" s="14" t="s">
        <v>36</v>
      </c>
      <c r="B61" s="22"/>
      <c r="C61" s="27">
        <f>+C60*$B$4</f>
        <v>81641.350000000006</v>
      </c>
      <c r="D61" s="27">
        <f t="shared" ref="D61" si="37">+D60*$B$4</f>
        <v>81641.350000000006</v>
      </c>
      <c r="E61" s="27">
        <f t="shared" ref="E61" si="38">+E60*$B$4</f>
        <v>81641.350000000006</v>
      </c>
      <c r="F61" s="27">
        <f t="shared" ref="F61" si="39">+F60*$B$4</f>
        <v>81641.350000000006</v>
      </c>
    </row>
    <row r="62" spans="1:8" s="1" customFormat="1" x14ac:dyDescent="0.25">
      <c r="A62" s="14" t="s">
        <v>37</v>
      </c>
      <c r="B62" s="22"/>
      <c r="C62" s="22">
        <f>+C61*C59</f>
        <v>0</v>
      </c>
      <c r="D62" s="22">
        <f t="shared" ref="D62" si="40">+D61*D59</f>
        <v>0</v>
      </c>
      <c r="E62" s="22">
        <f t="shared" ref="E62" si="41">+E61*E59</f>
        <v>6612949.3500000006</v>
      </c>
      <c r="F62" s="22">
        <f t="shared" ref="F62" si="42">+F61*F59</f>
        <v>14777084.350000001</v>
      </c>
    </row>
    <row r="63" spans="1:8" s="1" customFormat="1" x14ac:dyDescent="0.25">
      <c r="A63" s="14" t="s">
        <v>38</v>
      </c>
      <c r="B63" s="28"/>
      <c r="C63" s="28">
        <v>3.26</v>
      </c>
      <c r="D63" s="28">
        <f>+C63*(1+D$9)</f>
        <v>3.2932519999999998</v>
      </c>
      <c r="E63" s="28">
        <f t="shared" ref="E63:F63" si="43">+D63*(1+E$9)</f>
        <v>3.3268431703999997</v>
      </c>
      <c r="F63" s="28">
        <f t="shared" si="43"/>
        <v>3.3607769707380797</v>
      </c>
    </row>
    <row r="64" spans="1:8" s="1" customFormat="1" x14ac:dyDescent="0.25">
      <c r="A64" s="26" t="s">
        <v>43</v>
      </c>
      <c r="B64" s="25"/>
      <c r="C64" s="31">
        <f>+C63*C62</f>
        <v>0</v>
      </c>
      <c r="D64" s="31">
        <f t="shared" ref="D64" si="44">+D63*D62</f>
        <v>0</v>
      </c>
      <c r="E64" s="31">
        <f t="shared" ref="E64" si="45">+E63*E62</f>
        <v>22000245.381248619</v>
      </c>
      <c r="F64" s="31">
        <f t="shared" ref="F64" si="46">+F63*F62</f>
        <v>49662484.778134093</v>
      </c>
    </row>
    <row r="65" spans="1:6" s="1" customFormat="1" x14ac:dyDescent="0.25">
      <c r="A65" s="29" t="s">
        <v>44</v>
      </c>
      <c r="B65" s="29"/>
      <c r="C65" s="30">
        <f>+C63*C60*28</f>
        <v>22651.131999999998</v>
      </c>
      <c r="D65" s="30">
        <f t="shared" ref="D65:F65" si="47">+D63*D60*28</f>
        <v>22882.173546400001</v>
      </c>
      <c r="E65" s="30">
        <f t="shared" si="47"/>
        <v>23115.571716573279</v>
      </c>
      <c r="F65" s="30">
        <f t="shared" si="47"/>
        <v>23351.350548082326</v>
      </c>
    </row>
    <row r="66" spans="1:6" s="1" customFormat="1" x14ac:dyDescent="0.25"/>
    <row r="67" spans="1:6" s="1" customFormat="1" x14ac:dyDescent="0.25">
      <c r="A67" s="95" t="s">
        <v>127</v>
      </c>
      <c r="B67" s="95"/>
      <c r="C67" s="95"/>
      <c r="D67" s="95"/>
      <c r="E67" s="95"/>
      <c r="F67" s="95"/>
    </row>
    <row r="68" spans="1:6" s="1" customFormat="1" x14ac:dyDescent="0.25">
      <c r="A68" s="4" t="s">
        <v>40</v>
      </c>
      <c r="B68" s="4" t="s">
        <v>29</v>
      </c>
      <c r="C68" s="4">
        <v>2021</v>
      </c>
      <c r="D68" s="4">
        <v>2022</v>
      </c>
      <c r="E68" s="4">
        <v>2023</v>
      </c>
      <c r="F68" s="4">
        <v>2024</v>
      </c>
    </row>
    <row r="69" spans="1:6" s="1" customFormat="1" x14ac:dyDescent="0.25">
      <c r="A69" s="22" t="s">
        <v>34</v>
      </c>
      <c r="B69" s="22"/>
      <c r="C69" s="22"/>
      <c r="D69" s="22"/>
      <c r="E69" s="22">
        <v>166</v>
      </c>
      <c r="F69" s="22">
        <v>166</v>
      </c>
    </row>
    <row r="70" spans="1:6" s="1" customFormat="1" x14ac:dyDescent="0.25">
      <c r="A70" s="22" t="s">
        <v>35</v>
      </c>
      <c r="B70" s="22"/>
      <c r="C70" s="22">
        <v>230</v>
      </c>
      <c r="D70" s="69">
        <v>230</v>
      </c>
      <c r="E70" s="69">
        <v>230</v>
      </c>
      <c r="F70" s="69">
        <v>230</v>
      </c>
    </row>
    <row r="71" spans="1:6" s="1" customFormat="1" x14ac:dyDescent="0.25">
      <c r="A71" s="14" t="s">
        <v>36</v>
      </c>
      <c r="B71" s="22"/>
      <c r="C71" s="27">
        <f>+C70*$B$4</f>
        <v>75670</v>
      </c>
      <c r="D71" s="27">
        <f t="shared" ref="D71" si="48">+D70*$B$4</f>
        <v>75670</v>
      </c>
      <c r="E71" s="27">
        <f t="shared" ref="E71" si="49">+E70*$B$4</f>
        <v>75670</v>
      </c>
      <c r="F71" s="27">
        <f t="shared" ref="F71" si="50">+F70*$B$4</f>
        <v>75670</v>
      </c>
    </row>
    <row r="72" spans="1:6" s="1" customFormat="1" x14ac:dyDescent="0.25">
      <c r="A72" s="14" t="s">
        <v>37</v>
      </c>
      <c r="B72" s="22"/>
      <c r="C72" s="22">
        <f>+C71*C69</f>
        <v>0</v>
      </c>
      <c r="D72" s="22">
        <f t="shared" ref="D72" si="51">+D71*D69</f>
        <v>0</v>
      </c>
      <c r="E72" s="22">
        <f t="shared" ref="E72" si="52">+E71*E69</f>
        <v>12561220</v>
      </c>
      <c r="F72" s="22">
        <f t="shared" ref="F72" si="53">+F71*F69</f>
        <v>12561220</v>
      </c>
    </row>
    <row r="73" spans="1:6" s="1" customFormat="1" x14ac:dyDescent="0.25">
      <c r="A73" s="14" t="s">
        <v>38</v>
      </c>
      <c r="B73" s="28"/>
      <c r="C73" s="28">
        <f>+C63*0.7</f>
        <v>2.2819999999999996</v>
      </c>
      <c r="D73" s="28">
        <f>+C73*(1+D$9)</f>
        <v>2.3052763999999994</v>
      </c>
      <c r="E73" s="28">
        <f t="shared" ref="E73:F73" si="54">+D73*(1+E$9)</f>
        <v>2.3287902192799996</v>
      </c>
      <c r="F73" s="28">
        <f t="shared" si="54"/>
        <v>2.3525438795166558</v>
      </c>
    </row>
    <row r="74" spans="1:6" s="1" customFormat="1" x14ac:dyDescent="0.25">
      <c r="A74" s="26" t="s">
        <v>43</v>
      </c>
      <c r="B74" s="25"/>
      <c r="C74" s="53" t="s">
        <v>82</v>
      </c>
      <c r="D74" s="31">
        <f t="shared" ref="D74" si="55">+D73*D72</f>
        <v>0</v>
      </c>
      <c r="E74" s="31">
        <f t="shared" ref="E74" si="56">+E73*E72</f>
        <v>29252446.278224315</v>
      </c>
      <c r="F74" s="31">
        <f t="shared" ref="F74" si="57">+F73*F72</f>
        <v>29550821.230262209</v>
      </c>
    </row>
    <row r="75" spans="1:6" s="1" customFormat="1" x14ac:dyDescent="0.25">
      <c r="A75" s="29" t="s">
        <v>44</v>
      </c>
      <c r="B75" s="29"/>
      <c r="C75" s="30">
        <f>+C73*C70*28</f>
        <v>14696.079999999998</v>
      </c>
      <c r="D75" s="30">
        <f t="shared" ref="D75:F75" si="58">+D73*D70*28</f>
        <v>14845.980015999998</v>
      </c>
      <c r="E75" s="30">
        <f t="shared" si="58"/>
        <v>14997.409012163198</v>
      </c>
      <c r="F75" s="30">
        <f t="shared" si="58"/>
        <v>15150.382584087265</v>
      </c>
    </row>
    <row r="76" spans="1:6" s="1" customFormat="1" x14ac:dyDescent="0.25">
      <c r="C76" s="9"/>
      <c r="D76" s="10"/>
    </row>
    <row r="77" spans="1:6" s="1" customFormat="1" x14ac:dyDescent="0.25">
      <c r="A77" s="96" t="s">
        <v>42</v>
      </c>
      <c r="B77" s="96"/>
      <c r="C77" s="96"/>
      <c r="D77" s="96"/>
      <c r="E77" s="96"/>
      <c r="F77" s="96"/>
    </row>
    <row r="78" spans="1:6" s="1" customFormat="1" x14ac:dyDescent="0.25">
      <c r="A78" s="4" t="s">
        <v>40</v>
      </c>
      <c r="B78" s="4" t="s">
        <v>29</v>
      </c>
      <c r="C78" s="4">
        <v>2021</v>
      </c>
      <c r="D78" s="4">
        <v>2022</v>
      </c>
      <c r="E78" s="4">
        <v>2023</v>
      </c>
      <c r="F78" s="4">
        <v>2024</v>
      </c>
    </row>
    <row r="79" spans="1:6" s="1" customFormat="1" x14ac:dyDescent="0.25">
      <c r="A79" s="22" t="s">
        <v>34</v>
      </c>
      <c r="B79" s="22"/>
      <c r="C79" s="22"/>
      <c r="D79" s="23"/>
      <c r="E79" s="23"/>
      <c r="F79" s="23"/>
    </row>
    <row r="80" spans="1:6" s="1" customFormat="1" x14ac:dyDescent="0.25">
      <c r="A80" s="22" t="s">
        <v>35</v>
      </c>
      <c r="B80" s="22"/>
      <c r="C80" s="22">
        <v>230</v>
      </c>
      <c r="D80" s="23">
        <v>230</v>
      </c>
      <c r="E80" s="23">
        <v>230</v>
      </c>
      <c r="F80" s="23">
        <v>230</v>
      </c>
    </row>
    <row r="81" spans="1:6" s="1" customFormat="1" x14ac:dyDescent="0.25">
      <c r="A81" s="14" t="s">
        <v>36</v>
      </c>
      <c r="B81" s="22"/>
      <c r="C81" s="27">
        <f>+C80*$B$4</f>
        <v>75670</v>
      </c>
      <c r="D81" s="27">
        <f t="shared" ref="D81" si="59">+D80*$B$4</f>
        <v>75670</v>
      </c>
      <c r="E81" s="27">
        <f t="shared" ref="E81" si="60">+E80*$B$4</f>
        <v>75670</v>
      </c>
      <c r="F81" s="27">
        <f t="shared" ref="F81" si="61">+F80*$B$4</f>
        <v>75670</v>
      </c>
    </row>
    <row r="82" spans="1:6" s="1" customFormat="1" x14ac:dyDescent="0.25">
      <c r="A82" s="14" t="s">
        <v>37</v>
      </c>
      <c r="B82" s="22"/>
      <c r="C82" s="22">
        <f>+C81*C79</f>
        <v>0</v>
      </c>
      <c r="D82" s="22">
        <f t="shared" ref="D82" si="62">+D81*D79</f>
        <v>0</v>
      </c>
      <c r="E82" s="22">
        <f t="shared" ref="E82" si="63">+E81*E79</f>
        <v>0</v>
      </c>
      <c r="F82" s="22">
        <f t="shared" ref="F82" si="64">+F81*F79</f>
        <v>0</v>
      </c>
    </row>
    <row r="83" spans="1:6" s="1" customFormat="1" x14ac:dyDescent="0.25">
      <c r="A83" s="14" t="s">
        <v>38</v>
      </c>
      <c r="B83" s="28"/>
      <c r="C83" s="28">
        <v>1.5</v>
      </c>
      <c r="D83" s="28">
        <f>+C83*(1+D$9)</f>
        <v>1.5152999999999999</v>
      </c>
      <c r="E83" s="28">
        <f t="shared" ref="E83:F83" si="65">+D83*(1+E$9)</f>
        <v>1.5307560599999999</v>
      </c>
      <c r="F83" s="28">
        <f t="shared" si="65"/>
        <v>1.5463697718119997</v>
      </c>
    </row>
    <row r="84" spans="1:6" s="1" customFormat="1" x14ac:dyDescent="0.25">
      <c r="A84" s="26" t="s">
        <v>43</v>
      </c>
      <c r="B84" s="25"/>
      <c r="C84" s="31">
        <f>+C83*C82</f>
        <v>0</v>
      </c>
      <c r="D84" s="31">
        <f t="shared" ref="D84" si="66">+D83*D82</f>
        <v>0</v>
      </c>
      <c r="E84" s="31">
        <f t="shared" ref="E84" si="67">+E83*E82</f>
        <v>0</v>
      </c>
      <c r="F84" s="31">
        <f t="shared" ref="F84" si="68">+F83*F82</f>
        <v>0</v>
      </c>
    </row>
    <row r="85" spans="1:6" s="1" customFormat="1" x14ac:dyDescent="0.25">
      <c r="A85" s="29" t="s">
        <v>44</v>
      </c>
      <c r="B85" s="29"/>
      <c r="C85" s="30">
        <f>+C83*C80*28</f>
        <v>9660</v>
      </c>
      <c r="D85" s="30">
        <f t="shared" ref="D85:F85" si="69">+D83*D80*28</f>
        <v>9758.5319999999992</v>
      </c>
      <c r="E85" s="30">
        <f t="shared" si="69"/>
        <v>9858.0690263999986</v>
      </c>
      <c r="F85" s="30">
        <f t="shared" si="69"/>
        <v>9958.6213304692792</v>
      </c>
    </row>
    <row r="86" spans="1:6" x14ac:dyDescent="0.25">
      <c r="C86" s="12"/>
      <c r="D86" s="12"/>
    </row>
    <row r="87" spans="1:6" s="1" customFormat="1" x14ac:dyDescent="0.25">
      <c r="A87" s="94" t="s">
        <v>98</v>
      </c>
      <c r="B87" s="94"/>
      <c r="C87" s="94"/>
      <c r="D87" s="94"/>
      <c r="E87" s="94"/>
      <c r="F87" s="94"/>
    </row>
    <row r="88" spans="1:6" s="1" customFormat="1" x14ac:dyDescent="0.25">
      <c r="A88" s="4" t="s">
        <v>40</v>
      </c>
      <c r="B88" s="4" t="s">
        <v>29</v>
      </c>
      <c r="C88" s="4">
        <v>2021</v>
      </c>
      <c r="D88" s="4">
        <v>2022</v>
      </c>
      <c r="E88" s="4">
        <v>2023</v>
      </c>
      <c r="F88" s="4">
        <v>2024</v>
      </c>
    </row>
    <row r="89" spans="1:6" s="1" customFormat="1" x14ac:dyDescent="0.25">
      <c r="A89" s="69" t="s">
        <v>34</v>
      </c>
      <c r="B89" s="69"/>
      <c r="C89" s="69">
        <v>200</v>
      </c>
      <c r="D89" s="69">
        <v>200</v>
      </c>
      <c r="E89" s="69">
        <v>230</v>
      </c>
      <c r="F89" s="69">
        <v>250</v>
      </c>
    </row>
    <row r="90" spans="1:6" s="1" customFormat="1" x14ac:dyDescent="0.25">
      <c r="A90" s="69" t="s">
        <v>35</v>
      </c>
      <c r="B90" s="69"/>
      <c r="C90" s="69">
        <f>248*1.2</f>
        <v>297.59999999999997</v>
      </c>
      <c r="D90" s="69">
        <f t="shared" ref="D90:F90" si="70">248*1.2</f>
        <v>297.59999999999997</v>
      </c>
      <c r="E90" s="69">
        <f t="shared" si="70"/>
        <v>297.59999999999997</v>
      </c>
      <c r="F90" s="69">
        <f t="shared" si="70"/>
        <v>297.59999999999997</v>
      </c>
    </row>
    <row r="91" spans="1:6" s="1" customFormat="1" x14ac:dyDescent="0.25">
      <c r="A91" s="14" t="s">
        <v>36</v>
      </c>
      <c r="B91" s="69"/>
      <c r="C91" s="27">
        <f>+C90*$B$4</f>
        <v>97910.399999999994</v>
      </c>
      <c r="D91" s="27">
        <f t="shared" ref="D91:F91" si="71">+D90*$B$4</f>
        <v>97910.399999999994</v>
      </c>
      <c r="E91" s="27">
        <f t="shared" si="71"/>
        <v>97910.399999999994</v>
      </c>
      <c r="F91" s="27">
        <f t="shared" si="71"/>
        <v>97910.399999999994</v>
      </c>
    </row>
    <row r="92" spans="1:6" s="1" customFormat="1" x14ac:dyDescent="0.25">
      <c r="A92" s="14" t="s">
        <v>37</v>
      </c>
      <c r="B92" s="69"/>
      <c r="C92" s="69">
        <f>+C91*C89</f>
        <v>19582080</v>
      </c>
      <c r="D92" s="69">
        <f t="shared" ref="D92:F92" si="72">+D91*D89</f>
        <v>19582080</v>
      </c>
      <c r="E92" s="69">
        <f t="shared" si="72"/>
        <v>22519392</v>
      </c>
      <c r="F92" s="69">
        <f t="shared" si="72"/>
        <v>24477600</v>
      </c>
    </row>
    <row r="93" spans="1:6" s="1" customFormat="1" x14ac:dyDescent="0.25">
      <c r="A93" s="14" t="s">
        <v>38</v>
      </c>
      <c r="B93" s="28"/>
      <c r="C93" s="28">
        <v>1.5</v>
      </c>
      <c r="D93" s="28">
        <f>+C93*(1+D$9)</f>
        <v>1.5152999999999999</v>
      </c>
      <c r="E93" s="28">
        <f t="shared" ref="E93" si="73">+D93*(1+E$9)</f>
        <v>1.5307560599999999</v>
      </c>
      <c r="F93" s="28">
        <f t="shared" ref="F93" si="74">+E93*(1+F$9)</f>
        <v>1.5463697718119997</v>
      </c>
    </row>
    <row r="94" spans="1:6" s="1" customFormat="1" x14ac:dyDescent="0.25">
      <c r="A94" s="26" t="s">
        <v>43</v>
      </c>
      <c r="B94" s="25"/>
      <c r="C94" s="31">
        <f>+C93*C92</f>
        <v>29373120</v>
      </c>
      <c r="D94" s="31">
        <f t="shared" ref="D94:F94" si="75">+D93*D92</f>
        <v>29672725.823999997</v>
      </c>
      <c r="E94" s="31">
        <f t="shared" si="75"/>
        <v>34471695.771515518</v>
      </c>
      <c r="F94" s="31">
        <f t="shared" si="75"/>
        <v>37851420.726505406</v>
      </c>
    </row>
    <row r="95" spans="1:6" s="1" customFormat="1" x14ac:dyDescent="0.25">
      <c r="A95" s="29" t="s">
        <v>44</v>
      </c>
      <c r="B95" s="29"/>
      <c r="C95" s="30">
        <f>+C93*C90*28</f>
        <v>12499.199999999999</v>
      </c>
      <c r="D95" s="30">
        <f t="shared" ref="D95:F95" si="76">+D93*D90*28</f>
        <v>12626.691839999998</v>
      </c>
      <c r="E95" s="30">
        <f t="shared" si="76"/>
        <v>12755.484096767997</v>
      </c>
      <c r="F95" s="30">
        <f t="shared" si="76"/>
        <v>12885.590034555029</v>
      </c>
    </row>
  </sheetData>
  <mergeCells count="8">
    <mergeCell ref="A87:F87"/>
    <mergeCell ref="A67:F67"/>
    <mergeCell ref="A77:F77"/>
    <mergeCell ref="A7:F7"/>
    <mergeCell ref="A12:F12"/>
    <mergeCell ref="A37:F37"/>
    <mergeCell ref="A47:F47"/>
    <mergeCell ref="A57:F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zoomScale="85" zoomScaleNormal="85" workbookViewId="0">
      <selection activeCell="I33" sqref="I33"/>
    </sheetView>
  </sheetViews>
  <sheetFormatPr baseColWidth="10" defaultRowHeight="15" x14ac:dyDescent="0.25"/>
  <cols>
    <col min="1" max="1" width="7.5703125" style="1" customWidth="1"/>
    <col min="2" max="2" width="45.42578125" style="1" customWidth="1"/>
    <col min="3" max="3" width="15.5703125" style="1" customWidth="1"/>
    <col min="4" max="7" width="20.85546875" style="1" customWidth="1"/>
    <col min="8" max="16384" width="11.42578125" style="1"/>
  </cols>
  <sheetData>
    <row r="1" spans="2:7" ht="15.75" x14ac:dyDescent="0.25">
      <c r="B1" s="102" t="s">
        <v>1</v>
      </c>
      <c r="C1" s="102"/>
      <c r="D1" s="102"/>
      <c r="E1" s="102"/>
      <c r="F1" s="102"/>
      <c r="G1" s="102"/>
    </row>
    <row r="2" spans="2:7" ht="15.75" x14ac:dyDescent="0.25">
      <c r="B2" s="70"/>
      <c r="C2" s="70"/>
      <c r="D2" s="70"/>
      <c r="E2" s="70"/>
      <c r="F2" s="70"/>
      <c r="G2" s="70"/>
    </row>
    <row r="3" spans="2:7" ht="15.75" x14ac:dyDescent="0.25">
      <c r="B3" s="103" t="s">
        <v>53</v>
      </c>
      <c r="C3" s="103"/>
      <c r="D3" s="103"/>
      <c r="E3" s="103"/>
      <c r="F3" s="103"/>
      <c r="G3" s="103"/>
    </row>
    <row r="4" spans="2:7" x14ac:dyDescent="0.25">
      <c r="B4" s="3" t="s">
        <v>45</v>
      </c>
      <c r="C4" s="4">
        <v>2020</v>
      </c>
      <c r="D4" s="4">
        <v>2021</v>
      </c>
      <c r="E4" s="4">
        <v>2022</v>
      </c>
      <c r="F4" s="4">
        <v>2023</v>
      </c>
      <c r="G4" s="4">
        <v>2024</v>
      </c>
    </row>
    <row r="5" spans="2:7" ht="15.75" x14ac:dyDescent="0.25">
      <c r="B5" s="32" t="s">
        <v>46</v>
      </c>
      <c r="C5" s="33"/>
      <c r="D5" s="40">
        <f>+'Datos Generales'!C33</f>
        <v>44432588.419774629</v>
      </c>
      <c r="E5" s="40">
        <f>+'Datos Generales'!D33</f>
        <v>44885800.821656354</v>
      </c>
      <c r="F5" s="40">
        <f>+'Datos Generales'!E33</f>
        <v>45343635.99003724</v>
      </c>
      <c r="G5" s="40">
        <f>+'Datos Generales'!F33</f>
        <v>45806141.077135608</v>
      </c>
    </row>
    <row r="6" spans="2:7" ht="15.75" x14ac:dyDescent="0.25">
      <c r="B6" s="32" t="s">
        <v>47</v>
      </c>
      <c r="C6" s="33"/>
      <c r="D6" s="40">
        <f>+'Datos Generales'!C44</f>
        <v>53230160.200000003</v>
      </c>
      <c r="E6" s="40">
        <f>+'Datos Generales'!D44</f>
        <v>53773107.834040001</v>
      </c>
      <c r="F6" s="40">
        <f>+'Datos Generales'!E44</f>
        <v>54321593.533947207</v>
      </c>
      <c r="G6" s="40">
        <f>+'Datos Generales'!F44</f>
        <v>27437836.893996734</v>
      </c>
    </row>
    <row r="7" spans="2:7" ht="31.5" x14ac:dyDescent="0.25">
      <c r="B7" s="90" t="s">
        <v>128</v>
      </c>
      <c r="C7" s="33"/>
      <c r="D7" s="40">
        <f>+'Datos Generales'!C54</f>
        <v>49942200</v>
      </c>
      <c r="E7" s="40">
        <f>+'Datos Generales'!D54</f>
        <v>50451610.439999998</v>
      </c>
      <c r="F7" s="40">
        <f>+'Datos Generales'!E54</f>
        <v>44942936.691357598</v>
      </c>
      <c r="G7" s="40">
        <f>+'Datos Generales'!F54</f>
        <v>45401354.645609438</v>
      </c>
    </row>
    <row r="8" spans="2:7" ht="15.75" x14ac:dyDescent="0.25">
      <c r="B8" s="32" t="s">
        <v>49</v>
      </c>
      <c r="C8" s="33"/>
      <c r="D8" s="40">
        <f>+'Datos Generales'!C64</f>
        <v>0</v>
      </c>
      <c r="E8" s="40">
        <f>+'Datos Generales'!D64</f>
        <v>0</v>
      </c>
      <c r="F8" s="40">
        <f>+'Datos Generales'!E64</f>
        <v>22000245.381248619</v>
      </c>
      <c r="G8" s="40">
        <f>+'Datos Generales'!F64</f>
        <v>49662484.778134093</v>
      </c>
    </row>
    <row r="9" spans="2:7" ht="31.5" x14ac:dyDescent="0.25">
      <c r="B9" s="90" t="s">
        <v>129</v>
      </c>
      <c r="C9" s="33"/>
      <c r="D9" s="40" t="str">
        <f>+'Datos Generales'!C74</f>
        <v/>
      </c>
      <c r="E9" s="40">
        <f>+'Datos Generales'!D74</f>
        <v>0</v>
      </c>
      <c r="F9" s="40">
        <f>+'Datos Generales'!E74</f>
        <v>29252446.278224315</v>
      </c>
      <c r="G9" s="40">
        <f>+'Datos Generales'!F74</f>
        <v>29550821.230262209</v>
      </c>
    </row>
    <row r="10" spans="2:7" ht="15.75" x14ac:dyDescent="0.25">
      <c r="B10" s="32" t="s">
        <v>51</v>
      </c>
      <c r="C10" s="33"/>
      <c r="D10" s="40">
        <f>+'Datos Generales'!C84</f>
        <v>0</v>
      </c>
      <c r="E10" s="40">
        <f>+'Datos Generales'!D84</f>
        <v>0</v>
      </c>
      <c r="F10" s="40">
        <f>+'Datos Generales'!E84</f>
        <v>0</v>
      </c>
      <c r="G10" s="40">
        <f>+'Datos Generales'!F84</f>
        <v>0</v>
      </c>
    </row>
    <row r="11" spans="2:7" ht="15.75" x14ac:dyDescent="0.25">
      <c r="B11" s="32" t="s">
        <v>110</v>
      </c>
      <c r="C11" s="33"/>
      <c r="D11" s="40">
        <f>+SUM(D42:D47)*0.02</f>
        <v>5673944.96</v>
      </c>
      <c r="E11" s="40">
        <f t="shared" ref="E11:G11" si="0">+SUM(E42:E47)*0.02</f>
        <v>5673944.96</v>
      </c>
      <c r="F11" s="40">
        <f t="shared" si="0"/>
        <v>7343916.176</v>
      </c>
      <c r="G11" s="40">
        <f t="shared" si="0"/>
        <v>7960400.0240000002</v>
      </c>
    </row>
    <row r="12" spans="2:7" ht="15.75" x14ac:dyDescent="0.25">
      <c r="B12" s="34" t="s">
        <v>52</v>
      </c>
      <c r="C12" s="35"/>
      <c r="D12" s="41">
        <f>SUM(D5:D11)</f>
        <v>153278893.57977465</v>
      </c>
      <c r="E12" s="41">
        <f t="shared" ref="E12:G12" si="1">SUM(E5:E11)</f>
        <v>154784464.05569637</v>
      </c>
      <c r="F12" s="41">
        <f t="shared" si="1"/>
        <v>203204774.05081499</v>
      </c>
      <c r="G12" s="41">
        <f t="shared" si="1"/>
        <v>205819038.64913809</v>
      </c>
    </row>
    <row r="13" spans="2:7" ht="15.75" x14ac:dyDescent="0.25">
      <c r="B13" s="70"/>
      <c r="C13" s="70"/>
      <c r="D13" s="70"/>
      <c r="E13" s="70"/>
      <c r="F13" s="70"/>
      <c r="G13" s="70"/>
    </row>
    <row r="14" spans="2:7" ht="15.75" x14ac:dyDescent="0.25">
      <c r="B14" s="70"/>
      <c r="C14" s="70"/>
      <c r="D14" s="70"/>
      <c r="E14" s="70"/>
      <c r="F14" s="70"/>
      <c r="G14" s="70"/>
    </row>
    <row r="15" spans="2:7" ht="15.75" x14ac:dyDescent="0.25">
      <c r="B15" s="42" t="s">
        <v>55</v>
      </c>
      <c r="C15" s="42" t="s">
        <v>59</v>
      </c>
      <c r="D15" s="42" t="s">
        <v>107</v>
      </c>
      <c r="E15" s="70"/>
      <c r="G15" s="70"/>
    </row>
    <row r="16" spans="2:7" ht="15.75" x14ac:dyDescent="0.25">
      <c r="B16" s="32" t="s">
        <v>56</v>
      </c>
      <c r="C16" s="43">
        <v>0.94439563186950648</v>
      </c>
      <c r="D16" s="54">
        <f>+C16*0.9</f>
        <v>0.8499560686825558</v>
      </c>
      <c r="E16" s="70"/>
      <c r="F16" s="70"/>
      <c r="G16" s="70"/>
    </row>
    <row r="17" spans="2:7" ht="15.75" x14ac:dyDescent="0.25">
      <c r="B17" s="32" t="s">
        <v>31</v>
      </c>
      <c r="C17" s="43">
        <v>0.35</v>
      </c>
      <c r="D17" s="54">
        <f t="shared" ref="D17:D23" si="2">+C17*0.9</f>
        <v>0.315</v>
      </c>
      <c r="E17" s="70"/>
      <c r="F17" s="70"/>
      <c r="G17" s="70"/>
    </row>
    <row r="18" spans="2:7" ht="15.75" x14ac:dyDescent="0.25">
      <c r="B18" s="32" t="s">
        <v>57</v>
      </c>
      <c r="C18" s="43">
        <f>+C21-C16</f>
        <v>0.31525392392187823</v>
      </c>
      <c r="D18" s="54">
        <f t="shared" si="2"/>
        <v>0.28372853152969041</v>
      </c>
      <c r="E18" s="70"/>
      <c r="F18" s="70"/>
      <c r="G18" s="70"/>
    </row>
    <row r="19" spans="2:7" ht="15.75" x14ac:dyDescent="0.25">
      <c r="B19" s="32" t="s">
        <v>58</v>
      </c>
      <c r="C19" s="43">
        <f>+C21-C17</f>
        <v>0.90964955579138473</v>
      </c>
      <c r="D19" s="54">
        <f t="shared" si="2"/>
        <v>0.81868460021224632</v>
      </c>
      <c r="E19" s="70"/>
      <c r="F19" s="70"/>
      <c r="G19" s="60"/>
    </row>
    <row r="20" spans="2:7" ht="15.75" x14ac:dyDescent="0.25">
      <c r="B20" s="32" t="s">
        <v>81</v>
      </c>
      <c r="C20" s="43">
        <v>0.27499999999999997</v>
      </c>
      <c r="D20" s="54">
        <f t="shared" si="2"/>
        <v>0.24749999999999997</v>
      </c>
      <c r="E20" s="70"/>
      <c r="F20" s="70"/>
      <c r="G20" s="70"/>
    </row>
    <row r="21" spans="2:7" ht="15.75" x14ac:dyDescent="0.25">
      <c r="B21" s="91" t="s">
        <v>33</v>
      </c>
      <c r="C21" s="43">
        <v>1.2596495557913847</v>
      </c>
      <c r="D21" s="54">
        <f t="shared" si="2"/>
        <v>1.1336846002122463</v>
      </c>
      <c r="E21" s="70"/>
      <c r="F21" s="70"/>
      <c r="G21" s="70"/>
    </row>
    <row r="22" spans="2:7" ht="15.75" x14ac:dyDescent="0.25">
      <c r="B22" s="32" t="s">
        <v>32</v>
      </c>
      <c r="C22" s="43">
        <v>0.35</v>
      </c>
      <c r="D22" s="54">
        <f t="shared" si="2"/>
        <v>0.315</v>
      </c>
      <c r="E22" s="70"/>
      <c r="F22" s="70"/>
      <c r="G22" s="70"/>
    </row>
    <row r="23" spans="2:7" ht="15.75" x14ac:dyDescent="0.25">
      <c r="B23" s="32" t="s">
        <v>102</v>
      </c>
      <c r="C23" s="43">
        <v>0.50749999999999995</v>
      </c>
      <c r="D23" s="54">
        <f t="shared" si="2"/>
        <v>0.45674999999999999</v>
      </c>
      <c r="E23" s="70"/>
      <c r="F23" s="70"/>
      <c r="G23" s="70"/>
    </row>
    <row r="24" spans="2:7" ht="15.75" x14ac:dyDescent="0.25">
      <c r="B24" s="70"/>
      <c r="C24" s="70"/>
      <c r="D24" s="70"/>
      <c r="E24" s="70"/>
      <c r="F24" s="70"/>
      <c r="G24" s="70"/>
    </row>
    <row r="25" spans="2:7" ht="15.75" x14ac:dyDescent="0.25">
      <c r="B25" s="104" t="s">
        <v>64</v>
      </c>
      <c r="C25" s="104"/>
      <c r="D25" s="104"/>
      <c r="E25" s="104"/>
      <c r="F25" s="104"/>
      <c r="G25" s="104"/>
    </row>
    <row r="26" spans="2:7" x14ac:dyDescent="0.25">
      <c r="B26" s="3" t="s">
        <v>64</v>
      </c>
      <c r="C26" s="4">
        <v>2020</v>
      </c>
      <c r="D26" s="4">
        <v>2021</v>
      </c>
      <c r="E26" s="4">
        <v>2022</v>
      </c>
      <c r="F26" s="4">
        <v>2023</v>
      </c>
      <c r="G26" s="4">
        <v>2024</v>
      </c>
    </row>
    <row r="27" spans="2:7" ht="15.75" x14ac:dyDescent="0.25">
      <c r="B27" s="32" t="s">
        <v>60</v>
      </c>
      <c r="C27" s="56"/>
      <c r="D27" s="57">
        <v>161416</v>
      </c>
      <c r="E27" s="57">
        <v>163293</v>
      </c>
      <c r="F27" s="57">
        <v>190878</v>
      </c>
      <c r="G27" s="57">
        <v>194217</v>
      </c>
    </row>
    <row r="28" spans="2:7" ht="15.75" x14ac:dyDescent="0.25">
      <c r="B28" s="32" t="s">
        <v>61</v>
      </c>
      <c r="C28" s="56"/>
      <c r="D28" s="57">
        <v>90992</v>
      </c>
      <c r="E28" s="57">
        <v>91061</v>
      </c>
      <c r="F28" s="57">
        <v>125611</v>
      </c>
      <c r="G28" s="57">
        <v>124120</v>
      </c>
    </row>
    <row r="29" spans="2:7" ht="15.75" x14ac:dyDescent="0.25">
      <c r="B29" s="32" t="s">
        <v>70</v>
      </c>
      <c r="C29" s="56"/>
      <c r="D29" s="57">
        <v>343200</v>
      </c>
      <c r="E29" s="57">
        <v>343200</v>
      </c>
      <c r="F29" s="57">
        <v>343200</v>
      </c>
      <c r="G29" s="57">
        <v>185900</v>
      </c>
    </row>
    <row r="30" spans="2:7" ht="15.75" x14ac:dyDescent="0.25">
      <c r="B30" s="32" t="s">
        <v>71</v>
      </c>
      <c r="C30" s="56"/>
      <c r="D30" s="57">
        <v>381744</v>
      </c>
      <c r="E30" s="57">
        <v>381744</v>
      </c>
      <c r="F30" s="57">
        <v>336628.8</v>
      </c>
      <c r="G30" s="57">
        <v>364681.2</v>
      </c>
    </row>
    <row r="31" spans="2:7" ht="15.75" x14ac:dyDescent="0.25">
      <c r="B31" s="32" t="s">
        <v>103</v>
      </c>
      <c r="C31" s="56"/>
      <c r="D31" s="57">
        <v>0</v>
      </c>
      <c r="E31" s="57">
        <v>0</v>
      </c>
      <c r="F31" s="57">
        <v>138996</v>
      </c>
      <c r="G31" s="57">
        <v>336479</v>
      </c>
    </row>
    <row r="32" spans="2:7" ht="15.75" x14ac:dyDescent="0.25">
      <c r="B32" s="32" t="s">
        <v>104</v>
      </c>
      <c r="C32" s="56"/>
      <c r="D32" s="57">
        <v>0</v>
      </c>
      <c r="E32" s="57">
        <v>0</v>
      </c>
      <c r="F32" s="57">
        <v>144021.6</v>
      </c>
      <c r="G32" s="57">
        <v>156023.4</v>
      </c>
    </row>
    <row r="33" spans="2:7" ht="15.75" x14ac:dyDescent="0.25">
      <c r="B33" s="32" t="s">
        <v>62</v>
      </c>
      <c r="C33" s="56"/>
      <c r="D33" s="57">
        <v>0</v>
      </c>
      <c r="E33" s="57">
        <v>0</v>
      </c>
      <c r="F33" s="57">
        <v>0</v>
      </c>
      <c r="G33" s="57">
        <v>0</v>
      </c>
    </row>
    <row r="34" spans="2:7" ht="15.75" x14ac:dyDescent="0.25">
      <c r="B34" s="32" t="s">
        <v>99</v>
      </c>
      <c r="C34" s="56"/>
      <c r="D34" s="57">
        <v>170000</v>
      </c>
      <c r="E34" s="57">
        <v>170000</v>
      </c>
      <c r="F34" s="57">
        <v>195500</v>
      </c>
      <c r="G34" s="57">
        <v>212500</v>
      </c>
    </row>
    <row r="35" spans="2:7" ht="15.75" x14ac:dyDescent="0.25">
      <c r="B35" s="34" t="s">
        <v>63</v>
      </c>
      <c r="C35" s="35"/>
      <c r="D35" s="58">
        <f>SUM(D27:D34)</f>
        <v>1147352</v>
      </c>
      <c r="E35" s="58">
        <f t="shared" ref="E35:G35" si="3">SUM(E27:E34)</f>
        <v>1149298</v>
      </c>
      <c r="F35" s="58">
        <f t="shared" si="3"/>
        <v>1474835.4000000001</v>
      </c>
      <c r="G35" s="58">
        <f t="shared" si="3"/>
        <v>1573920.5999999999</v>
      </c>
    </row>
    <row r="36" spans="2:7" ht="15.75" x14ac:dyDescent="0.25">
      <c r="B36" s="70"/>
      <c r="C36" s="70"/>
      <c r="D36" s="70"/>
      <c r="E36" s="70"/>
      <c r="F36" s="70"/>
      <c r="G36" s="70"/>
    </row>
    <row r="37" spans="2:7" ht="15.75" x14ac:dyDescent="0.25">
      <c r="B37" s="33" t="s">
        <v>91</v>
      </c>
      <c r="C37" s="33">
        <v>317</v>
      </c>
      <c r="D37" s="70"/>
      <c r="E37" s="70"/>
      <c r="F37" s="70"/>
      <c r="G37" s="70"/>
    </row>
    <row r="38" spans="2:7" ht="15.75" x14ac:dyDescent="0.25">
      <c r="B38" s="104" t="s">
        <v>90</v>
      </c>
      <c r="C38" s="104"/>
      <c r="D38" s="104"/>
      <c r="E38" s="104"/>
      <c r="F38" s="104"/>
      <c r="G38" s="104"/>
    </row>
    <row r="39" spans="2:7" x14ac:dyDescent="0.25">
      <c r="B39" s="3" t="s">
        <v>64</v>
      </c>
      <c r="C39" s="4">
        <v>2020</v>
      </c>
      <c r="D39" s="4">
        <v>2021</v>
      </c>
      <c r="E39" s="4">
        <v>2022</v>
      </c>
      <c r="F39" s="4">
        <v>2023</v>
      </c>
      <c r="G39" s="4">
        <v>2024</v>
      </c>
    </row>
    <row r="40" spans="2:7" ht="15.75" x14ac:dyDescent="0.25">
      <c r="B40" s="32" t="s">
        <v>60</v>
      </c>
      <c r="C40" s="56"/>
      <c r="D40" s="57">
        <f>+D27*$C$37</f>
        <v>51168872</v>
      </c>
      <c r="E40" s="57">
        <f t="shared" ref="E40:G40" si="4">+E27*$C$37</f>
        <v>51763881</v>
      </c>
      <c r="F40" s="57">
        <f t="shared" si="4"/>
        <v>60508326</v>
      </c>
      <c r="G40" s="57">
        <f t="shared" si="4"/>
        <v>61566789</v>
      </c>
    </row>
    <row r="41" spans="2:7" ht="15.75" x14ac:dyDescent="0.25">
      <c r="B41" s="32" t="s">
        <v>61</v>
      </c>
      <c r="C41" s="56"/>
      <c r="D41" s="57">
        <f t="shared" ref="D41:G43" si="5">+D28*$C$37</f>
        <v>28844464</v>
      </c>
      <c r="E41" s="57">
        <f t="shared" si="5"/>
        <v>28866337</v>
      </c>
      <c r="F41" s="57">
        <f t="shared" si="5"/>
        <v>39818687</v>
      </c>
      <c r="G41" s="57">
        <f t="shared" si="5"/>
        <v>39346040</v>
      </c>
    </row>
    <row r="42" spans="2:7" ht="15.75" x14ac:dyDescent="0.25">
      <c r="B42" s="32" t="s">
        <v>70</v>
      </c>
      <c r="C42" s="56"/>
      <c r="D42" s="57">
        <f t="shared" si="5"/>
        <v>108794400</v>
      </c>
      <c r="E42" s="57">
        <f t="shared" si="5"/>
        <v>108794400</v>
      </c>
      <c r="F42" s="57">
        <f t="shared" si="5"/>
        <v>108794400</v>
      </c>
      <c r="G42" s="57">
        <f t="shared" si="5"/>
        <v>58930300</v>
      </c>
    </row>
    <row r="43" spans="2:7" ht="15.75" x14ac:dyDescent="0.25">
      <c r="B43" s="32" t="s">
        <v>71</v>
      </c>
      <c r="C43" s="56"/>
      <c r="D43" s="57">
        <f>+D30*$C$37</f>
        <v>121012848</v>
      </c>
      <c r="E43" s="57">
        <f t="shared" si="5"/>
        <v>121012848</v>
      </c>
      <c r="F43" s="57">
        <f t="shared" si="5"/>
        <v>106711329.59999999</v>
      </c>
      <c r="G43" s="57">
        <f t="shared" si="5"/>
        <v>115603940.40000001</v>
      </c>
    </row>
    <row r="44" spans="2:7" ht="15.75" x14ac:dyDescent="0.25">
      <c r="B44" s="32" t="s">
        <v>103</v>
      </c>
      <c r="C44" s="56"/>
      <c r="D44" s="57">
        <f t="shared" ref="D44:G47" si="6">+D31*$C$37</f>
        <v>0</v>
      </c>
      <c r="E44" s="57">
        <f t="shared" si="6"/>
        <v>0</v>
      </c>
      <c r="F44" s="57">
        <f t="shared" si="6"/>
        <v>44061732</v>
      </c>
      <c r="G44" s="57">
        <f t="shared" si="6"/>
        <v>106663843</v>
      </c>
    </row>
    <row r="45" spans="2:7" ht="15.75" x14ac:dyDescent="0.25">
      <c r="B45" s="32" t="s">
        <v>104</v>
      </c>
      <c r="C45" s="56"/>
      <c r="D45" s="57">
        <f t="shared" si="6"/>
        <v>0</v>
      </c>
      <c r="E45" s="57">
        <f t="shared" si="6"/>
        <v>0</v>
      </c>
      <c r="F45" s="57">
        <f t="shared" si="6"/>
        <v>45654847.200000003</v>
      </c>
      <c r="G45" s="57">
        <f t="shared" si="6"/>
        <v>49459417.799999997</v>
      </c>
    </row>
    <row r="46" spans="2:7" ht="15.75" x14ac:dyDescent="0.25">
      <c r="B46" s="32" t="s">
        <v>62</v>
      </c>
      <c r="C46" s="56"/>
      <c r="D46" s="57">
        <f t="shared" si="6"/>
        <v>0</v>
      </c>
      <c r="E46" s="57">
        <f t="shared" si="6"/>
        <v>0</v>
      </c>
      <c r="F46" s="57">
        <f t="shared" si="6"/>
        <v>0</v>
      </c>
      <c r="G46" s="57">
        <f t="shared" si="6"/>
        <v>0</v>
      </c>
    </row>
    <row r="47" spans="2:7" ht="15.75" x14ac:dyDescent="0.25">
      <c r="B47" s="32" t="s">
        <v>99</v>
      </c>
      <c r="C47" s="56"/>
      <c r="D47" s="57">
        <f t="shared" si="6"/>
        <v>53890000</v>
      </c>
      <c r="E47" s="57">
        <f t="shared" si="6"/>
        <v>53890000</v>
      </c>
      <c r="F47" s="57">
        <f t="shared" si="6"/>
        <v>61973500</v>
      </c>
      <c r="G47" s="57">
        <f t="shared" si="6"/>
        <v>67362500</v>
      </c>
    </row>
    <row r="48" spans="2:7" ht="15.75" x14ac:dyDescent="0.25">
      <c r="B48" s="34" t="s">
        <v>63</v>
      </c>
      <c r="C48" s="35"/>
      <c r="D48" s="58">
        <f>SUM(D40:D47)</f>
        <v>363710584</v>
      </c>
      <c r="E48" s="58">
        <f t="shared" ref="E48:G48" si="7">SUM(E40:E47)</f>
        <v>364327466</v>
      </c>
      <c r="F48" s="58">
        <f t="shared" si="7"/>
        <v>467522821.80000001</v>
      </c>
      <c r="G48" s="58">
        <f t="shared" si="7"/>
        <v>498932830.19999999</v>
      </c>
    </row>
    <row r="49" spans="2:7" ht="15.75" x14ac:dyDescent="0.25">
      <c r="B49" s="70"/>
      <c r="C49" s="70"/>
      <c r="D49" s="70"/>
      <c r="E49" s="70"/>
      <c r="F49" s="70"/>
      <c r="G49" s="70"/>
    </row>
    <row r="50" spans="2:7" ht="15.75" x14ac:dyDescent="0.25">
      <c r="B50" s="70"/>
      <c r="C50" s="70"/>
      <c r="D50" s="70"/>
      <c r="E50" s="70"/>
      <c r="F50" s="70"/>
      <c r="G50" s="70"/>
    </row>
    <row r="51" spans="2:7" ht="15.75" x14ac:dyDescent="0.25">
      <c r="B51" s="104" t="s">
        <v>92</v>
      </c>
      <c r="C51" s="104"/>
      <c r="D51" s="104"/>
      <c r="E51" s="104"/>
      <c r="F51" s="104"/>
      <c r="G51" s="104"/>
    </row>
    <row r="52" spans="2:7" x14ac:dyDescent="0.25">
      <c r="B52" s="3" t="s">
        <v>65</v>
      </c>
      <c r="C52" s="4">
        <v>2020</v>
      </c>
      <c r="D52" s="4">
        <v>2021</v>
      </c>
      <c r="E52" s="4">
        <v>2022</v>
      </c>
      <c r="F52" s="4">
        <v>2023</v>
      </c>
      <c r="G52" s="4">
        <v>2024</v>
      </c>
    </row>
    <row r="53" spans="2:7" ht="15.75" x14ac:dyDescent="0.25">
      <c r="B53" s="32" t="s">
        <v>66</v>
      </c>
      <c r="C53" s="33"/>
      <c r="D53" s="40">
        <f>+D40*$D$16</f>
        <v>43491293.284040906</v>
      </c>
      <c r="E53" s="40">
        <f>+E40*$D$16</f>
        <v>43997024.794511646</v>
      </c>
      <c r="F53" s="40">
        <f>+F40*$D$16</f>
        <v>51429418.889522478</v>
      </c>
      <c r="G53" s="40">
        <f>+G40*$D$16</f>
        <v>52329065.939848423</v>
      </c>
    </row>
    <row r="54" spans="2:7" ht="15.75" x14ac:dyDescent="0.25">
      <c r="B54" s="32" t="s">
        <v>67</v>
      </c>
      <c r="C54" s="33"/>
      <c r="D54" s="40">
        <f>+D41*$D$21</f>
        <v>32700524.638176531</v>
      </c>
      <c r="E54" s="40">
        <f>+E41*$D$21</f>
        <v>32725321.721436974</v>
      </c>
      <c r="F54" s="40">
        <f>+F41*$D$21</f>
        <v>45141832.252571568</v>
      </c>
      <c r="G54" s="40">
        <f>+G41*$D$21</f>
        <v>44605999.627335049</v>
      </c>
    </row>
    <row r="55" spans="2:7" ht="15.75" x14ac:dyDescent="0.25">
      <c r="B55" s="32" t="s">
        <v>68</v>
      </c>
      <c r="C55" s="33"/>
      <c r="D55" s="40">
        <f>+D42*$D$17</f>
        <v>34270236</v>
      </c>
      <c r="E55" s="40">
        <f>+E42*$D$17</f>
        <v>34270236</v>
      </c>
      <c r="F55" s="40">
        <f>+F42*$D$17</f>
        <v>34270236</v>
      </c>
      <c r="G55" s="40">
        <f>+G42*$D$17</f>
        <v>18563044.5</v>
      </c>
    </row>
    <row r="56" spans="2:7" ht="15.75" x14ac:dyDescent="0.25">
      <c r="B56" s="32" t="s">
        <v>5</v>
      </c>
      <c r="C56" s="33"/>
      <c r="D56" s="40">
        <f>+D43*$D$17</f>
        <v>38119047.119999997</v>
      </c>
      <c r="E56" s="40">
        <f t="shared" ref="E56:G56" si="8">+E43*$D$17</f>
        <v>38119047.119999997</v>
      </c>
      <c r="F56" s="40">
        <f t="shared" si="8"/>
        <v>33614068.824000001</v>
      </c>
      <c r="G56" s="40">
        <f t="shared" si="8"/>
        <v>36415241.226000004</v>
      </c>
    </row>
    <row r="57" spans="2:7" ht="15.75" x14ac:dyDescent="0.25">
      <c r="B57" s="32" t="s">
        <v>105</v>
      </c>
      <c r="C57" s="33"/>
      <c r="D57" s="40">
        <f t="shared" ref="D57:G58" si="9">+D44*$D$17</f>
        <v>0</v>
      </c>
      <c r="E57" s="40">
        <f t="shared" si="9"/>
        <v>0</v>
      </c>
      <c r="F57" s="40">
        <f t="shared" si="9"/>
        <v>13879445.58</v>
      </c>
      <c r="G57" s="40">
        <f t="shared" si="9"/>
        <v>33599110.545000002</v>
      </c>
    </row>
    <row r="58" spans="2:7" ht="15.75" x14ac:dyDescent="0.25">
      <c r="B58" s="32" t="s">
        <v>106</v>
      </c>
      <c r="C58" s="33"/>
      <c r="D58" s="40">
        <f t="shared" si="9"/>
        <v>0</v>
      </c>
      <c r="E58" s="40">
        <f t="shared" si="9"/>
        <v>0</v>
      </c>
      <c r="F58" s="40">
        <f t="shared" si="9"/>
        <v>14381276.868000001</v>
      </c>
      <c r="G58" s="40">
        <f t="shared" si="9"/>
        <v>15579716.606999999</v>
      </c>
    </row>
    <row r="59" spans="2:7" ht="15.75" x14ac:dyDescent="0.25">
      <c r="B59" s="32" t="s">
        <v>69</v>
      </c>
      <c r="C59" s="33"/>
      <c r="D59" s="40">
        <f>+D46*$D$22</f>
        <v>0</v>
      </c>
      <c r="E59" s="40">
        <f t="shared" ref="E59:G59" si="10">+E46*$D$22</f>
        <v>0</v>
      </c>
      <c r="F59" s="40">
        <f t="shared" si="10"/>
        <v>0</v>
      </c>
      <c r="G59" s="40">
        <f t="shared" si="10"/>
        <v>0</v>
      </c>
    </row>
    <row r="60" spans="2:7" ht="15.75" x14ac:dyDescent="0.25">
      <c r="B60" s="32" t="s">
        <v>100</v>
      </c>
      <c r="C60" s="33"/>
      <c r="D60" s="40">
        <f>+D47*$D$23</f>
        <v>24614257.5</v>
      </c>
      <c r="E60" s="40">
        <f t="shared" ref="E60:G60" si="11">+E47*$D$23</f>
        <v>24614257.5</v>
      </c>
      <c r="F60" s="40">
        <f t="shared" si="11"/>
        <v>28306396.125</v>
      </c>
      <c r="G60" s="40">
        <f t="shared" si="11"/>
        <v>30767821.875</v>
      </c>
    </row>
    <row r="61" spans="2:7" ht="15.75" x14ac:dyDescent="0.25">
      <c r="B61" s="32" t="s">
        <v>73</v>
      </c>
      <c r="C61" s="33"/>
      <c r="D61" s="40">
        <v>5500000</v>
      </c>
      <c r="E61" s="40">
        <v>5500001</v>
      </c>
      <c r="F61" s="40">
        <v>5500002</v>
      </c>
      <c r="G61" s="40">
        <v>5500003</v>
      </c>
    </row>
    <row r="62" spans="2:7" ht="15.75" x14ac:dyDescent="0.25">
      <c r="B62" s="34" t="s">
        <v>72</v>
      </c>
      <c r="C62" s="35"/>
      <c r="D62" s="45">
        <f>SUM(D53:D61)</f>
        <v>178695358.54221743</v>
      </c>
      <c r="E62" s="45">
        <f t="shared" ref="E62:G62" si="12">SUM(E53:E61)</f>
        <v>179225888.13594863</v>
      </c>
      <c r="F62" s="45">
        <f t="shared" si="12"/>
        <v>226522676.53909406</v>
      </c>
      <c r="G62" s="45">
        <f t="shared" si="12"/>
        <v>237360003.32018346</v>
      </c>
    </row>
    <row r="63" spans="2:7" ht="15.75" x14ac:dyDescent="0.25">
      <c r="B63" s="70"/>
      <c r="C63" s="70"/>
      <c r="D63" s="70"/>
      <c r="E63" s="70"/>
      <c r="F63" s="70"/>
      <c r="G63" s="70"/>
    </row>
    <row r="64" spans="2:7" ht="15.75" x14ac:dyDescent="0.25">
      <c r="B64" s="105" t="s">
        <v>78</v>
      </c>
      <c r="C64" s="105"/>
      <c r="D64" s="105"/>
      <c r="E64" s="105"/>
      <c r="F64" s="105"/>
      <c r="G64" s="105"/>
    </row>
    <row r="65" spans="2:7" x14ac:dyDescent="0.25">
      <c r="B65" s="3" t="s">
        <v>95</v>
      </c>
      <c r="C65" s="4">
        <v>2020</v>
      </c>
      <c r="D65" s="4">
        <v>2021</v>
      </c>
      <c r="E65" s="4">
        <v>2022</v>
      </c>
      <c r="F65" s="4">
        <v>2023</v>
      </c>
      <c r="G65" s="4">
        <v>2024</v>
      </c>
    </row>
    <row r="66" spans="2:7" ht="15.75" x14ac:dyDescent="0.25">
      <c r="B66" s="32" t="s">
        <v>84</v>
      </c>
      <c r="C66" s="61"/>
      <c r="D66" s="62">
        <f>+'Datos Generales'!C33</f>
        <v>44432588.419774629</v>
      </c>
      <c r="E66" s="62">
        <f>+'Datos Generales'!D33</f>
        <v>44885800.821656354</v>
      </c>
      <c r="F66" s="62">
        <f>+'Datos Generales'!E33</f>
        <v>45343635.99003724</v>
      </c>
      <c r="G66" s="62">
        <f>+'Datos Generales'!F33</f>
        <v>45806141.077135608</v>
      </c>
    </row>
    <row r="67" spans="2:7" ht="15.75" x14ac:dyDescent="0.25">
      <c r="B67" s="32" t="s">
        <v>85</v>
      </c>
      <c r="C67" s="61"/>
      <c r="D67" s="62">
        <f>+'Datos Generales'!C44</f>
        <v>53230160.200000003</v>
      </c>
      <c r="E67" s="62">
        <f>+'Datos Generales'!D44</f>
        <v>53773107.834040001</v>
      </c>
      <c r="F67" s="62">
        <f>+'Datos Generales'!E44</f>
        <v>54321593.533947207</v>
      </c>
      <c r="G67" s="62">
        <f>+'Datos Generales'!F44</f>
        <v>27437836.893996734</v>
      </c>
    </row>
    <row r="68" spans="2:7" ht="15.75" x14ac:dyDescent="0.25">
      <c r="B68" s="32" t="s">
        <v>86</v>
      </c>
      <c r="C68" s="61"/>
      <c r="D68" s="63">
        <f>+'Datos Generales'!C54</f>
        <v>49942200</v>
      </c>
      <c r="E68" s="63">
        <f>+'Datos Generales'!D54</f>
        <v>50451610.439999998</v>
      </c>
      <c r="F68" s="63">
        <f>+'Datos Generales'!E54</f>
        <v>44942936.691357598</v>
      </c>
      <c r="G68" s="63">
        <f>+'Datos Generales'!F54</f>
        <v>45401354.645609438</v>
      </c>
    </row>
    <row r="69" spans="2:7" ht="15.75" x14ac:dyDescent="0.25">
      <c r="B69" s="32" t="s">
        <v>87</v>
      </c>
      <c r="C69" s="61"/>
      <c r="D69" s="63">
        <f>+'Datos Generales'!C64</f>
        <v>0</v>
      </c>
      <c r="E69" s="63">
        <f>+'Datos Generales'!D64</f>
        <v>0</v>
      </c>
      <c r="F69" s="63">
        <f>+'Datos Generales'!E64</f>
        <v>22000245.381248619</v>
      </c>
      <c r="G69" s="63">
        <f>+'Datos Generales'!F64</f>
        <v>49662484.778134093</v>
      </c>
    </row>
    <row r="70" spans="2:7" ht="15.75" x14ac:dyDescent="0.25">
      <c r="B70" s="32" t="s">
        <v>88</v>
      </c>
      <c r="C70" s="61"/>
      <c r="D70" s="63" t="str">
        <f>+'Datos Generales'!C74</f>
        <v/>
      </c>
      <c r="E70" s="63">
        <f>+'Datos Generales'!D74</f>
        <v>0</v>
      </c>
      <c r="F70" s="63">
        <f>+'Datos Generales'!E74</f>
        <v>29252446.278224315</v>
      </c>
      <c r="G70" s="63">
        <f>+'Datos Generales'!F74</f>
        <v>29550821.230262209</v>
      </c>
    </row>
    <row r="71" spans="2:7" ht="15.75" x14ac:dyDescent="0.25">
      <c r="B71" s="32" t="s">
        <v>89</v>
      </c>
      <c r="C71" s="61"/>
      <c r="D71" s="63">
        <f>+'Datos Generales'!C84</f>
        <v>0</v>
      </c>
      <c r="E71" s="63">
        <f>+'Datos Generales'!D84</f>
        <v>0</v>
      </c>
      <c r="F71" s="63">
        <f>+'Datos Generales'!E84</f>
        <v>0</v>
      </c>
      <c r="G71" s="63">
        <f>+'Datos Generales'!F84</f>
        <v>0</v>
      </c>
    </row>
    <row r="72" spans="2:7" ht="15.75" x14ac:dyDescent="0.25">
      <c r="B72" s="32" t="s">
        <v>101</v>
      </c>
      <c r="C72" s="61"/>
      <c r="D72" s="63">
        <f>+'Datos Generales'!C94</f>
        <v>29373120</v>
      </c>
      <c r="E72" s="63">
        <f>+'Datos Generales'!D94</f>
        <v>29672725.823999997</v>
      </c>
      <c r="F72" s="63">
        <f>+'Datos Generales'!E94</f>
        <v>34471695.771515518</v>
      </c>
      <c r="G72" s="63">
        <f>+'Datos Generales'!F94</f>
        <v>37851420.726505406</v>
      </c>
    </row>
    <row r="73" spans="2:7" ht="15.75" x14ac:dyDescent="0.25">
      <c r="B73" s="67" t="s">
        <v>74</v>
      </c>
      <c r="C73" s="66"/>
      <c r="D73" s="68">
        <f>SUM(D66:D72)</f>
        <v>176978068.61977464</v>
      </c>
      <c r="E73" s="68">
        <f t="shared" ref="E73:G73" si="13">SUM(E66:E72)</f>
        <v>178783244.91969636</v>
      </c>
      <c r="F73" s="68">
        <f t="shared" si="13"/>
        <v>230332553.64633051</v>
      </c>
      <c r="G73" s="68">
        <f t="shared" si="13"/>
        <v>235710059.3516435</v>
      </c>
    </row>
    <row r="74" spans="2:7" ht="15.75" x14ac:dyDescent="0.25">
      <c r="B74" s="64"/>
      <c r="C74" s="10"/>
      <c r="D74" s="65"/>
      <c r="E74" s="65"/>
      <c r="F74" s="65"/>
      <c r="G74" s="65"/>
    </row>
    <row r="75" spans="2:7" ht="15.75" x14ac:dyDescent="0.25">
      <c r="B75" s="99" t="s">
        <v>96</v>
      </c>
      <c r="C75" s="99"/>
      <c r="D75" s="99"/>
      <c r="E75" s="99"/>
      <c r="F75" s="99"/>
      <c r="G75" s="99"/>
    </row>
    <row r="76" spans="2:7" x14ac:dyDescent="0.25">
      <c r="B76" s="3" t="s">
        <v>76</v>
      </c>
      <c r="C76" s="4">
        <v>2020</v>
      </c>
      <c r="D76" s="4">
        <v>2021</v>
      </c>
      <c r="E76" s="4">
        <v>2022</v>
      </c>
      <c r="F76" s="4">
        <v>2023</v>
      </c>
      <c r="G76" s="4">
        <v>2024</v>
      </c>
    </row>
    <row r="77" spans="2:7" ht="15.75" x14ac:dyDescent="0.25">
      <c r="B77" s="32" t="s">
        <v>94</v>
      </c>
      <c r="C77" s="33"/>
      <c r="D77" s="46">
        <f>+D73</f>
        <v>176978068.61977464</v>
      </c>
      <c r="E77" s="46">
        <f t="shared" ref="E77:G77" si="14">+E73</f>
        <v>178783244.91969636</v>
      </c>
      <c r="F77" s="46">
        <f t="shared" si="14"/>
        <v>230332553.64633051</v>
      </c>
      <c r="G77" s="46">
        <f t="shared" si="14"/>
        <v>235710059.3516435</v>
      </c>
    </row>
    <row r="78" spans="2:7" ht="15.75" x14ac:dyDescent="0.25">
      <c r="B78" s="32" t="s">
        <v>75</v>
      </c>
      <c r="C78" s="33"/>
      <c r="D78" s="46">
        <f t="shared" ref="D78:G78" si="15">+D62</f>
        <v>178695358.54221743</v>
      </c>
      <c r="E78" s="46">
        <f t="shared" si="15"/>
        <v>179225888.13594863</v>
      </c>
      <c r="F78" s="46">
        <f t="shared" si="15"/>
        <v>226522676.53909406</v>
      </c>
      <c r="G78" s="46">
        <f t="shared" si="15"/>
        <v>237360003.32018346</v>
      </c>
    </row>
    <row r="79" spans="2:7" ht="15.75" x14ac:dyDescent="0.25">
      <c r="B79" s="48" t="s">
        <v>77</v>
      </c>
      <c r="C79" s="49"/>
      <c r="D79" s="50">
        <f>+D77-D78</f>
        <v>-1717289.9224427938</v>
      </c>
      <c r="E79" s="50">
        <f t="shared" ref="E79:G79" si="16">+E77-E78</f>
        <v>-442643.21625226736</v>
      </c>
      <c r="F79" s="50">
        <f t="shared" si="16"/>
        <v>3809877.107236445</v>
      </c>
      <c r="G79" s="50">
        <f t="shared" si="16"/>
        <v>-1649943.9685399532</v>
      </c>
    </row>
    <row r="80" spans="2:7" ht="15.75" x14ac:dyDescent="0.25">
      <c r="B80" s="70"/>
      <c r="C80" s="70"/>
      <c r="D80" s="70"/>
      <c r="E80" s="70"/>
      <c r="F80" s="70"/>
      <c r="G80" s="70"/>
    </row>
    <row r="81" spans="2:7" ht="15.75" x14ac:dyDescent="0.25">
      <c r="B81" s="100" t="s">
        <v>130</v>
      </c>
      <c r="C81" s="101"/>
      <c r="D81" s="47">
        <f>AVERAGE(D79:G79)</f>
        <v>3.5762786865234375E-7</v>
      </c>
      <c r="E81" s="70"/>
      <c r="F81" s="92"/>
      <c r="G81" s="70"/>
    </row>
    <row r="83" spans="2:7" x14ac:dyDescent="0.25">
      <c r="B83" s="69" t="s">
        <v>108</v>
      </c>
      <c r="C83" s="69"/>
      <c r="D83" s="76">
        <f>+D66/(D40+D41)</f>
        <v>0.55531478427264458</v>
      </c>
      <c r="E83" s="76">
        <f t="shared" ref="E83:G83" si="17">+E66/(E40+E41)</f>
        <v>0.55668708252353172</v>
      </c>
      <c r="F83" s="76">
        <f t="shared" si="17"/>
        <v>0.45195839718697933</v>
      </c>
      <c r="G83" s="76">
        <f t="shared" si="17"/>
        <v>0.45391791639431306</v>
      </c>
    </row>
    <row r="84" spans="2:7" x14ac:dyDescent="0.25">
      <c r="B84" s="69" t="s">
        <v>109</v>
      </c>
      <c r="C84" s="69"/>
      <c r="D84" s="28">
        <f>+D73/D48</f>
        <v>0.48659037268977207</v>
      </c>
      <c r="E84" s="28">
        <f t="shared" ref="E84:G84" si="18">+E73/E48</f>
        <v>0.4907212922555127</v>
      </c>
      <c r="F84" s="28">
        <f t="shared" si="18"/>
        <v>0.49266590400770571</v>
      </c>
      <c r="G84" s="28">
        <f t="shared" si="18"/>
        <v>0.47242844143400592</v>
      </c>
    </row>
  </sheetData>
  <mergeCells count="8">
    <mergeCell ref="B75:G75"/>
    <mergeCell ref="B81:C81"/>
    <mergeCell ref="B1:G1"/>
    <mergeCell ref="B3:G3"/>
    <mergeCell ref="B25:G25"/>
    <mergeCell ref="B38:G38"/>
    <mergeCell ref="B51:G51"/>
    <mergeCell ref="B64:G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zoomScale="85" zoomScaleNormal="85" workbookViewId="0">
      <selection activeCell="A14" sqref="A14:XFD14"/>
    </sheetView>
  </sheetViews>
  <sheetFormatPr baseColWidth="10" defaultRowHeight="15" x14ac:dyDescent="0.25"/>
  <cols>
    <col min="1" max="1" width="7.5703125" style="1" customWidth="1"/>
    <col min="2" max="2" width="45.42578125" style="1" customWidth="1"/>
    <col min="3" max="3" width="15.5703125" style="1" customWidth="1"/>
    <col min="4" max="7" width="20.85546875" style="1" customWidth="1"/>
    <col min="8" max="16384" width="11.42578125" style="1"/>
  </cols>
  <sheetData>
    <row r="1" spans="2:7" ht="15.75" x14ac:dyDescent="0.25">
      <c r="B1" s="102" t="s">
        <v>1</v>
      </c>
      <c r="C1" s="102"/>
      <c r="D1" s="102"/>
      <c r="E1" s="102"/>
      <c r="F1" s="102"/>
      <c r="G1" s="102"/>
    </row>
    <row r="2" spans="2:7" ht="15.75" x14ac:dyDescent="0.25">
      <c r="B2" s="72"/>
      <c r="C2" s="72"/>
      <c r="D2" s="72"/>
      <c r="E2" s="72"/>
      <c r="F2" s="72"/>
      <c r="G2" s="72"/>
    </row>
    <row r="3" spans="2:7" ht="15.75" x14ac:dyDescent="0.25">
      <c r="B3" s="103" t="s">
        <v>53</v>
      </c>
      <c r="C3" s="103"/>
      <c r="D3" s="103"/>
      <c r="E3" s="103"/>
      <c r="F3" s="103"/>
      <c r="G3" s="103"/>
    </row>
    <row r="4" spans="2:7" x14ac:dyDescent="0.25">
      <c r="B4" s="3" t="s">
        <v>45</v>
      </c>
      <c r="C4" s="4">
        <v>2020</v>
      </c>
      <c r="D4" s="4">
        <v>2021</v>
      </c>
      <c r="E4" s="4">
        <v>2022</v>
      </c>
      <c r="F4" s="4">
        <v>2023</v>
      </c>
      <c r="G4" s="4">
        <v>2024</v>
      </c>
    </row>
    <row r="5" spans="2:7" ht="15.75" x14ac:dyDescent="0.25">
      <c r="B5" s="32" t="s">
        <v>46</v>
      </c>
      <c r="C5" s="33"/>
      <c r="D5" s="40">
        <f>+'Datos Generales'!C33</f>
        <v>44432588.419774629</v>
      </c>
      <c r="E5" s="40">
        <f>+'Datos Generales'!D33</f>
        <v>44885800.821656354</v>
      </c>
      <c r="F5" s="40">
        <f>+'Datos Generales'!E33</f>
        <v>45343635.99003724</v>
      </c>
      <c r="G5" s="40">
        <f>+'Datos Generales'!F33</f>
        <v>45806141.077135608</v>
      </c>
    </row>
    <row r="6" spans="2:7" ht="15.75" x14ac:dyDescent="0.25">
      <c r="B6" s="32" t="s">
        <v>47</v>
      </c>
      <c r="C6" s="33"/>
      <c r="D6" s="40">
        <f>+'Datos Generales'!C44</f>
        <v>53230160.200000003</v>
      </c>
      <c r="E6" s="40">
        <f>+'Datos Generales'!D44</f>
        <v>53773107.834040001</v>
      </c>
      <c r="F6" s="40">
        <f>+'Datos Generales'!E44</f>
        <v>54321593.533947207</v>
      </c>
      <c r="G6" s="40">
        <f>+'Datos Generales'!F44</f>
        <v>27437836.893996734</v>
      </c>
    </row>
    <row r="7" spans="2:7" ht="15.75" x14ac:dyDescent="0.25">
      <c r="B7" s="32" t="s">
        <v>48</v>
      </c>
      <c r="C7" s="33"/>
      <c r="D7" s="40">
        <f>+'Datos Generales'!C54</f>
        <v>49942200</v>
      </c>
      <c r="E7" s="40">
        <f>+'Datos Generales'!D54</f>
        <v>50451610.439999998</v>
      </c>
      <c r="F7" s="40">
        <f>+'Datos Generales'!E54</f>
        <v>44942936.691357598</v>
      </c>
      <c r="G7" s="40">
        <f>+'Datos Generales'!F54</f>
        <v>45401354.645609438</v>
      </c>
    </row>
    <row r="8" spans="2:7" ht="15.75" x14ac:dyDescent="0.25">
      <c r="B8" s="32" t="s">
        <v>49</v>
      </c>
      <c r="C8" s="33"/>
      <c r="D8" s="40">
        <f>+'Datos Generales'!C64</f>
        <v>0</v>
      </c>
      <c r="E8" s="40">
        <f>+'Datos Generales'!D64</f>
        <v>0</v>
      </c>
      <c r="F8" s="40">
        <f>+'Datos Generales'!E64</f>
        <v>22000245.381248619</v>
      </c>
      <c r="G8" s="40">
        <f>+'Datos Generales'!F64</f>
        <v>49662484.778134093</v>
      </c>
    </row>
    <row r="9" spans="2:7" ht="15.75" x14ac:dyDescent="0.25">
      <c r="B9" s="32" t="s">
        <v>50</v>
      </c>
      <c r="C9" s="33"/>
      <c r="D9" s="40" t="str">
        <f>+'Datos Generales'!C74</f>
        <v/>
      </c>
      <c r="E9" s="40">
        <f>+'Datos Generales'!D74</f>
        <v>0</v>
      </c>
      <c r="F9" s="40">
        <f>+'Datos Generales'!E74</f>
        <v>29252446.278224315</v>
      </c>
      <c r="G9" s="40">
        <f>+'Datos Generales'!F74</f>
        <v>29550821.230262209</v>
      </c>
    </row>
    <row r="10" spans="2:7" ht="15.75" x14ac:dyDescent="0.25">
      <c r="B10" s="32" t="s">
        <v>51</v>
      </c>
      <c r="C10" s="33"/>
      <c r="D10" s="40">
        <f>+'Datos Generales'!C84</f>
        <v>0</v>
      </c>
      <c r="E10" s="40">
        <f>+'Datos Generales'!D84</f>
        <v>0</v>
      </c>
      <c r="F10" s="40">
        <f>+'Datos Generales'!E84</f>
        <v>0</v>
      </c>
      <c r="G10" s="40">
        <f>+'Datos Generales'!F84</f>
        <v>0</v>
      </c>
    </row>
    <row r="11" spans="2:7" ht="15.75" x14ac:dyDescent="0.25">
      <c r="B11" s="32" t="s">
        <v>110</v>
      </c>
      <c r="C11" s="33"/>
      <c r="D11" s="40">
        <f>+SUM(D42:D47)*0.02</f>
        <v>5673944.96</v>
      </c>
      <c r="E11" s="40">
        <f t="shared" ref="E11:G11" si="0">+SUM(E42:E47)*0.02</f>
        <v>5673944.96</v>
      </c>
      <c r="F11" s="40">
        <f t="shared" si="0"/>
        <v>7343916.176</v>
      </c>
      <c r="G11" s="40">
        <f t="shared" si="0"/>
        <v>7960400.0240000002</v>
      </c>
    </row>
    <row r="12" spans="2:7" ht="15.75" x14ac:dyDescent="0.25">
      <c r="B12" s="34" t="s">
        <v>52</v>
      </c>
      <c r="C12" s="35"/>
      <c r="D12" s="41">
        <f>SUM(D5:D11)</f>
        <v>153278893.57977465</v>
      </c>
      <c r="E12" s="41">
        <f t="shared" ref="E12:G12" si="1">SUM(E5:E11)</f>
        <v>154784464.05569637</v>
      </c>
      <c r="F12" s="41">
        <f t="shared" si="1"/>
        <v>203204774.05081499</v>
      </c>
      <c r="G12" s="41">
        <f t="shared" si="1"/>
        <v>205819038.64913809</v>
      </c>
    </row>
    <row r="13" spans="2:7" ht="15.75" x14ac:dyDescent="0.25">
      <c r="B13" s="72"/>
      <c r="C13" s="72"/>
      <c r="D13" s="72"/>
      <c r="E13" s="72"/>
      <c r="F13" s="72"/>
      <c r="G13" s="72"/>
    </row>
    <row r="14" spans="2:7" ht="15.75" x14ac:dyDescent="0.25">
      <c r="B14" s="72"/>
      <c r="C14" s="72"/>
      <c r="D14" s="72"/>
      <c r="E14" s="72"/>
      <c r="F14" s="72"/>
      <c r="G14" s="72"/>
    </row>
    <row r="15" spans="2:7" ht="15.75" x14ac:dyDescent="0.25">
      <c r="B15" s="42" t="s">
        <v>55</v>
      </c>
      <c r="C15" s="42" t="s">
        <v>59</v>
      </c>
      <c r="D15" s="42" t="s">
        <v>107</v>
      </c>
      <c r="E15" s="72"/>
      <c r="G15" s="72"/>
    </row>
    <row r="16" spans="2:7" ht="15.75" x14ac:dyDescent="0.25">
      <c r="B16" s="32" t="s">
        <v>56</v>
      </c>
      <c r="C16" s="43">
        <v>0.5</v>
      </c>
      <c r="D16" s="54">
        <f>+C16*0.9</f>
        <v>0.45</v>
      </c>
      <c r="E16" s="72"/>
      <c r="F16" s="72"/>
      <c r="G16" s="72"/>
    </row>
    <row r="17" spans="2:7" ht="15.75" x14ac:dyDescent="0.25">
      <c r="B17" s="32" t="s">
        <v>31</v>
      </c>
      <c r="C17" s="43">
        <v>0.35</v>
      </c>
      <c r="D17" s="54">
        <f t="shared" ref="D17:D23" si="2">+C17*0.9</f>
        <v>0.315</v>
      </c>
      <c r="E17" s="72"/>
      <c r="F17" s="72"/>
      <c r="G17" s="72"/>
    </row>
    <row r="18" spans="2:7" ht="15.75" x14ac:dyDescent="0.25">
      <c r="B18" s="32" t="s">
        <v>57</v>
      </c>
      <c r="C18" s="43">
        <v>0.19999999999999996</v>
      </c>
      <c r="D18" s="54">
        <f t="shared" si="2"/>
        <v>0.17999999999999997</v>
      </c>
      <c r="E18" s="72"/>
      <c r="F18" s="72"/>
      <c r="G18" s="72"/>
    </row>
    <row r="19" spans="2:7" ht="15.75" x14ac:dyDescent="0.25">
      <c r="B19" s="32" t="s">
        <v>58</v>
      </c>
      <c r="C19" s="43">
        <v>0.35</v>
      </c>
      <c r="D19" s="54">
        <f t="shared" si="2"/>
        <v>0.315</v>
      </c>
      <c r="E19" s="72"/>
      <c r="F19" s="72"/>
      <c r="G19" s="60"/>
    </row>
    <row r="20" spans="2:7" ht="15.75" x14ac:dyDescent="0.25">
      <c r="B20" s="32" t="s">
        <v>81</v>
      </c>
      <c r="C20" s="43">
        <v>0.27499999999999997</v>
      </c>
      <c r="D20" s="54">
        <f t="shared" si="2"/>
        <v>0.24749999999999997</v>
      </c>
      <c r="E20" s="72"/>
      <c r="F20" s="72"/>
      <c r="G20" s="72"/>
    </row>
    <row r="21" spans="2:7" ht="15.75" x14ac:dyDescent="0.25">
      <c r="B21" s="32" t="s">
        <v>33</v>
      </c>
      <c r="C21" s="43">
        <v>0.7</v>
      </c>
      <c r="D21" s="54">
        <f t="shared" si="2"/>
        <v>0.63</v>
      </c>
      <c r="E21" s="72"/>
      <c r="F21" s="72"/>
      <c r="G21" s="72"/>
    </row>
    <row r="22" spans="2:7" ht="15.75" x14ac:dyDescent="0.25">
      <c r="B22" s="32" t="s">
        <v>32</v>
      </c>
      <c r="C22" s="43">
        <v>0.35</v>
      </c>
      <c r="D22" s="54">
        <f t="shared" si="2"/>
        <v>0.315</v>
      </c>
      <c r="E22" s="72"/>
      <c r="F22" s="72"/>
      <c r="G22" s="72"/>
    </row>
    <row r="23" spans="2:7" ht="15.75" x14ac:dyDescent="0.25">
      <c r="B23" s="32" t="s">
        <v>102</v>
      </c>
      <c r="C23" s="43">
        <v>0.50749999999999995</v>
      </c>
      <c r="D23" s="54">
        <f t="shared" si="2"/>
        <v>0.45674999999999999</v>
      </c>
      <c r="E23" s="72"/>
      <c r="F23" s="72"/>
      <c r="G23" s="72"/>
    </row>
    <row r="24" spans="2:7" ht="15.75" x14ac:dyDescent="0.25">
      <c r="B24" s="72"/>
      <c r="C24" s="72"/>
      <c r="D24" s="72"/>
      <c r="E24" s="72"/>
      <c r="F24" s="72"/>
      <c r="G24" s="72"/>
    </row>
    <row r="25" spans="2:7" ht="15.75" x14ac:dyDescent="0.25">
      <c r="B25" s="104" t="s">
        <v>64</v>
      </c>
      <c r="C25" s="104"/>
      <c r="D25" s="104"/>
      <c r="E25" s="104"/>
      <c r="F25" s="104"/>
      <c r="G25" s="104"/>
    </row>
    <row r="26" spans="2:7" x14ac:dyDescent="0.25">
      <c r="B26" s="3" t="s">
        <v>64</v>
      </c>
      <c r="C26" s="4">
        <v>2020</v>
      </c>
      <c r="D26" s="4">
        <v>2021</v>
      </c>
      <c r="E26" s="4">
        <v>2022</v>
      </c>
      <c r="F26" s="4">
        <v>2023</v>
      </c>
      <c r="G26" s="4">
        <v>2024</v>
      </c>
    </row>
    <row r="27" spans="2:7" ht="15.75" x14ac:dyDescent="0.25">
      <c r="B27" s="32" t="s">
        <v>60</v>
      </c>
      <c r="C27" s="56"/>
      <c r="D27" s="57">
        <v>139382</v>
      </c>
      <c r="E27" s="57">
        <v>141192</v>
      </c>
      <c r="F27" s="57">
        <v>163340</v>
      </c>
      <c r="G27" s="57">
        <v>165052</v>
      </c>
    </row>
    <row r="28" spans="2:7" ht="15.75" x14ac:dyDescent="0.25">
      <c r="B28" s="32" t="s">
        <v>61</v>
      </c>
      <c r="C28" s="56"/>
      <c r="D28" s="57">
        <v>73344</v>
      </c>
      <c r="E28" s="57">
        <v>70660</v>
      </c>
      <c r="F28" s="57">
        <v>96592</v>
      </c>
      <c r="G28" s="57">
        <v>98584</v>
      </c>
    </row>
    <row r="29" spans="2:7" ht="15.75" x14ac:dyDescent="0.25">
      <c r="B29" s="32" t="s">
        <v>70</v>
      </c>
      <c r="C29" s="56"/>
      <c r="D29" s="57">
        <v>343200</v>
      </c>
      <c r="E29" s="57">
        <v>343200</v>
      </c>
      <c r="F29" s="57">
        <v>343200</v>
      </c>
      <c r="G29" s="57">
        <v>185900</v>
      </c>
    </row>
    <row r="30" spans="2:7" ht="15.75" x14ac:dyDescent="0.25">
      <c r="B30" s="32" t="s">
        <v>71</v>
      </c>
      <c r="C30" s="56"/>
      <c r="D30" s="57">
        <v>381744</v>
      </c>
      <c r="E30" s="57">
        <v>381744</v>
      </c>
      <c r="F30" s="57">
        <v>336628.8</v>
      </c>
      <c r="G30" s="57">
        <v>364681.2</v>
      </c>
    </row>
    <row r="31" spans="2:7" ht="15.75" x14ac:dyDescent="0.25">
      <c r="B31" s="32" t="s">
        <v>103</v>
      </c>
      <c r="C31" s="56"/>
      <c r="D31" s="57">
        <v>0</v>
      </c>
      <c r="E31" s="57">
        <v>0</v>
      </c>
      <c r="F31" s="57">
        <v>138996</v>
      </c>
      <c r="G31" s="57">
        <v>336479</v>
      </c>
    </row>
    <row r="32" spans="2:7" ht="15.75" x14ac:dyDescent="0.25">
      <c r="B32" s="32" t="s">
        <v>104</v>
      </c>
      <c r="C32" s="56"/>
      <c r="D32" s="57">
        <v>0</v>
      </c>
      <c r="E32" s="57">
        <v>0</v>
      </c>
      <c r="F32" s="57">
        <v>144021.6</v>
      </c>
      <c r="G32" s="57">
        <v>156023.4</v>
      </c>
    </row>
    <row r="33" spans="2:7" ht="15.75" x14ac:dyDescent="0.25">
      <c r="B33" s="32" t="s">
        <v>62</v>
      </c>
      <c r="C33" s="56"/>
      <c r="D33" s="57">
        <v>0</v>
      </c>
      <c r="E33" s="57">
        <v>0</v>
      </c>
      <c r="F33" s="57">
        <v>0</v>
      </c>
      <c r="G33" s="57">
        <v>0</v>
      </c>
    </row>
    <row r="34" spans="2:7" ht="15.75" x14ac:dyDescent="0.25">
      <c r="B34" s="32" t="s">
        <v>99</v>
      </c>
      <c r="C34" s="56"/>
      <c r="D34" s="57">
        <v>170000</v>
      </c>
      <c r="E34" s="57">
        <v>170000</v>
      </c>
      <c r="F34" s="57">
        <v>195500</v>
      </c>
      <c r="G34" s="57">
        <v>212500</v>
      </c>
    </row>
    <row r="35" spans="2:7" ht="15.75" x14ac:dyDescent="0.25">
      <c r="B35" s="34" t="s">
        <v>63</v>
      </c>
      <c r="C35" s="35"/>
      <c r="D35" s="58">
        <f>SUM(D27:D34)</f>
        <v>1107670</v>
      </c>
      <c r="E35" s="58">
        <f t="shared" ref="E35:G35" si="3">SUM(E27:E34)</f>
        <v>1106796</v>
      </c>
      <c r="F35" s="58">
        <f t="shared" si="3"/>
        <v>1418278.4000000001</v>
      </c>
      <c r="G35" s="58">
        <f t="shared" si="3"/>
        <v>1519219.5999999999</v>
      </c>
    </row>
    <row r="36" spans="2:7" ht="15.75" x14ac:dyDescent="0.25">
      <c r="B36" s="72"/>
      <c r="C36" s="72"/>
      <c r="D36" s="72"/>
      <c r="E36" s="72"/>
      <c r="F36" s="72"/>
      <c r="G36" s="72"/>
    </row>
    <row r="37" spans="2:7" ht="15.75" x14ac:dyDescent="0.25">
      <c r="B37" s="33" t="s">
        <v>91</v>
      </c>
      <c r="C37" s="33">
        <v>317</v>
      </c>
      <c r="D37" s="72"/>
      <c r="E37" s="72"/>
      <c r="F37" s="72"/>
      <c r="G37" s="72"/>
    </row>
    <row r="38" spans="2:7" ht="15.75" x14ac:dyDescent="0.25">
      <c r="B38" s="104" t="s">
        <v>90</v>
      </c>
      <c r="C38" s="104"/>
      <c r="D38" s="104"/>
      <c r="E38" s="104"/>
      <c r="F38" s="104"/>
      <c r="G38" s="104"/>
    </row>
    <row r="39" spans="2:7" x14ac:dyDescent="0.25">
      <c r="B39" s="3" t="s">
        <v>64</v>
      </c>
      <c r="C39" s="4">
        <v>2020</v>
      </c>
      <c r="D39" s="4">
        <v>2021</v>
      </c>
      <c r="E39" s="4">
        <v>2022</v>
      </c>
      <c r="F39" s="4">
        <v>2023</v>
      </c>
      <c r="G39" s="4">
        <v>2024</v>
      </c>
    </row>
    <row r="40" spans="2:7" ht="15.75" x14ac:dyDescent="0.25">
      <c r="B40" s="32" t="s">
        <v>60</v>
      </c>
      <c r="C40" s="56"/>
      <c r="D40" s="57">
        <f>+D27*$C$37</f>
        <v>44184094</v>
      </c>
      <c r="E40" s="57">
        <f t="shared" ref="E40:G40" si="4">+E27*$C$37</f>
        <v>44757864</v>
      </c>
      <c r="F40" s="57">
        <f t="shared" si="4"/>
        <v>51778780</v>
      </c>
      <c r="G40" s="57">
        <f t="shared" si="4"/>
        <v>52321484</v>
      </c>
    </row>
    <row r="41" spans="2:7" ht="15.75" x14ac:dyDescent="0.25">
      <c r="B41" s="32" t="s">
        <v>61</v>
      </c>
      <c r="C41" s="56"/>
      <c r="D41" s="57">
        <f t="shared" ref="D41:G43" si="5">+D28*$C$37</f>
        <v>23250048</v>
      </c>
      <c r="E41" s="57">
        <f t="shared" si="5"/>
        <v>22399220</v>
      </c>
      <c r="F41" s="57">
        <f t="shared" si="5"/>
        <v>30619664</v>
      </c>
      <c r="G41" s="57">
        <f t="shared" si="5"/>
        <v>31251128</v>
      </c>
    </row>
    <row r="42" spans="2:7" ht="15.75" x14ac:dyDescent="0.25">
      <c r="B42" s="32" t="s">
        <v>70</v>
      </c>
      <c r="C42" s="56"/>
      <c r="D42" s="57">
        <f t="shared" si="5"/>
        <v>108794400</v>
      </c>
      <c r="E42" s="57">
        <f t="shared" si="5"/>
        <v>108794400</v>
      </c>
      <c r="F42" s="57">
        <f t="shared" si="5"/>
        <v>108794400</v>
      </c>
      <c r="G42" s="57">
        <f t="shared" si="5"/>
        <v>58930300</v>
      </c>
    </row>
    <row r="43" spans="2:7" ht="15.75" x14ac:dyDescent="0.25">
      <c r="B43" s="32" t="s">
        <v>71</v>
      </c>
      <c r="C43" s="56"/>
      <c r="D43" s="57">
        <f>+D30*$C$37</f>
        <v>121012848</v>
      </c>
      <c r="E43" s="57">
        <f t="shared" si="5"/>
        <v>121012848</v>
      </c>
      <c r="F43" s="57">
        <f t="shared" si="5"/>
        <v>106711329.59999999</v>
      </c>
      <c r="G43" s="57">
        <f t="shared" si="5"/>
        <v>115603940.40000001</v>
      </c>
    </row>
    <row r="44" spans="2:7" ht="15.75" x14ac:dyDescent="0.25">
      <c r="B44" s="32" t="s">
        <v>103</v>
      </c>
      <c r="C44" s="56"/>
      <c r="D44" s="57">
        <f t="shared" ref="D44:G47" si="6">+D31*$C$37</f>
        <v>0</v>
      </c>
      <c r="E44" s="57">
        <f t="shared" si="6"/>
        <v>0</v>
      </c>
      <c r="F44" s="57">
        <f t="shared" si="6"/>
        <v>44061732</v>
      </c>
      <c r="G44" s="57">
        <f t="shared" si="6"/>
        <v>106663843</v>
      </c>
    </row>
    <row r="45" spans="2:7" ht="15.75" x14ac:dyDescent="0.25">
      <c r="B45" s="32" t="s">
        <v>104</v>
      </c>
      <c r="C45" s="56"/>
      <c r="D45" s="57">
        <f t="shared" si="6"/>
        <v>0</v>
      </c>
      <c r="E45" s="57">
        <f t="shared" si="6"/>
        <v>0</v>
      </c>
      <c r="F45" s="57">
        <f t="shared" si="6"/>
        <v>45654847.200000003</v>
      </c>
      <c r="G45" s="57">
        <f t="shared" si="6"/>
        <v>49459417.799999997</v>
      </c>
    </row>
    <row r="46" spans="2:7" ht="15.75" x14ac:dyDescent="0.25">
      <c r="B46" s="32" t="s">
        <v>62</v>
      </c>
      <c r="C46" s="56"/>
      <c r="D46" s="57">
        <f t="shared" si="6"/>
        <v>0</v>
      </c>
      <c r="E46" s="57">
        <f t="shared" si="6"/>
        <v>0</v>
      </c>
      <c r="F46" s="57">
        <f t="shared" si="6"/>
        <v>0</v>
      </c>
      <c r="G46" s="57">
        <f t="shared" si="6"/>
        <v>0</v>
      </c>
    </row>
    <row r="47" spans="2:7" ht="15.75" x14ac:dyDescent="0.25">
      <c r="B47" s="32" t="s">
        <v>99</v>
      </c>
      <c r="C47" s="56"/>
      <c r="D47" s="57">
        <f t="shared" si="6"/>
        <v>53890000</v>
      </c>
      <c r="E47" s="57">
        <f t="shared" si="6"/>
        <v>53890000</v>
      </c>
      <c r="F47" s="57">
        <f t="shared" si="6"/>
        <v>61973500</v>
      </c>
      <c r="G47" s="57">
        <f t="shared" si="6"/>
        <v>67362500</v>
      </c>
    </row>
    <row r="48" spans="2:7" ht="15.75" x14ac:dyDescent="0.25">
      <c r="B48" s="34" t="s">
        <v>63</v>
      </c>
      <c r="C48" s="35"/>
      <c r="D48" s="58">
        <f>SUM(D40:D47)</f>
        <v>351131390</v>
      </c>
      <c r="E48" s="58">
        <f t="shared" ref="E48:G48" si="7">SUM(E40:E47)</f>
        <v>350854332</v>
      </c>
      <c r="F48" s="58">
        <f t="shared" si="7"/>
        <v>449594252.80000001</v>
      </c>
      <c r="G48" s="58">
        <f t="shared" si="7"/>
        <v>481592613.19999999</v>
      </c>
    </row>
    <row r="49" spans="2:7" ht="15.75" x14ac:dyDescent="0.25">
      <c r="B49" s="72"/>
      <c r="C49" s="72"/>
      <c r="D49" s="72"/>
      <c r="E49" s="72"/>
      <c r="F49" s="72"/>
      <c r="G49" s="72"/>
    </row>
    <row r="50" spans="2:7" ht="15.75" x14ac:dyDescent="0.25">
      <c r="B50" s="72"/>
      <c r="C50" s="72"/>
      <c r="D50" s="72"/>
      <c r="E50" s="72"/>
      <c r="F50" s="72"/>
      <c r="G50" s="72"/>
    </row>
    <row r="51" spans="2:7" ht="15.75" x14ac:dyDescent="0.25">
      <c r="B51" s="104" t="s">
        <v>92</v>
      </c>
      <c r="C51" s="104"/>
      <c r="D51" s="104"/>
      <c r="E51" s="104"/>
      <c r="F51" s="104"/>
      <c r="G51" s="104"/>
    </row>
    <row r="52" spans="2:7" x14ac:dyDescent="0.25">
      <c r="B52" s="3" t="s">
        <v>65</v>
      </c>
      <c r="C52" s="4">
        <v>2020</v>
      </c>
      <c r="D52" s="4">
        <v>2021</v>
      </c>
      <c r="E52" s="4">
        <v>2022</v>
      </c>
      <c r="F52" s="4">
        <v>2023</v>
      </c>
      <c r="G52" s="4">
        <v>2024</v>
      </c>
    </row>
    <row r="53" spans="2:7" ht="15.75" x14ac:dyDescent="0.25">
      <c r="B53" s="32" t="s">
        <v>66</v>
      </c>
      <c r="C53" s="33"/>
      <c r="D53" s="40">
        <f>+D40*$D$16</f>
        <v>19882842.300000001</v>
      </c>
      <c r="E53" s="40">
        <f>+E40*$D$16</f>
        <v>20141038.800000001</v>
      </c>
      <c r="F53" s="40">
        <f>+F40*$D$16</f>
        <v>23300451</v>
      </c>
      <c r="G53" s="40">
        <f>+G40*$D$16</f>
        <v>23544667.800000001</v>
      </c>
    </row>
    <row r="54" spans="2:7" ht="15.75" x14ac:dyDescent="0.25">
      <c r="B54" s="32" t="s">
        <v>67</v>
      </c>
      <c r="C54" s="33"/>
      <c r="D54" s="40">
        <f>+D41*$D$21</f>
        <v>14647530.24</v>
      </c>
      <c r="E54" s="40">
        <f>+E41*$D$21</f>
        <v>14111508.6</v>
      </c>
      <c r="F54" s="40">
        <f>+F41*$D$21</f>
        <v>19290388.32</v>
      </c>
      <c r="G54" s="40">
        <f>+G41*$D$21</f>
        <v>19688210.640000001</v>
      </c>
    </row>
    <row r="55" spans="2:7" ht="15.75" x14ac:dyDescent="0.25">
      <c r="B55" s="32" t="s">
        <v>68</v>
      </c>
      <c r="C55" s="33"/>
      <c r="D55" s="40">
        <f>+D42*$D$17</f>
        <v>34270236</v>
      </c>
      <c r="E55" s="40">
        <f>+E42*$D$17</f>
        <v>34270236</v>
      </c>
      <c r="F55" s="40">
        <f>+F42*$D$17</f>
        <v>34270236</v>
      </c>
      <c r="G55" s="40">
        <f>+G42*$D$17</f>
        <v>18563044.5</v>
      </c>
    </row>
    <row r="56" spans="2:7" ht="15.75" x14ac:dyDescent="0.25">
      <c r="B56" s="32" t="s">
        <v>5</v>
      </c>
      <c r="C56" s="33"/>
      <c r="D56" s="40">
        <f>+D43*$D$17</f>
        <v>38119047.119999997</v>
      </c>
      <c r="E56" s="40">
        <f t="shared" ref="E56:G56" si="8">+E43*$D$17</f>
        <v>38119047.119999997</v>
      </c>
      <c r="F56" s="40">
        <f t="shared" si="8"/>
        <v>33614068.824000001</v>
      </c>
      <c r="G56" s="40">
        <f t="shared" si="8"/>
        <v>36415241.226000004</v>
      </c>
    </row>
    <row r="57" spans="2:7" ht="15.75" x14ac:dyDescent="0.25">
      <c r="B57" s="32" t="s">
        <v>105</v>
      </c>
      <c r="C57" s="33"/>
      <c r="D57" s="40">
        <f t="shared" ref="D57:G58" si="9">+D44*$D$17</f>
        <v>0</v>
      </c>
      <c r="E57" s="40">
        <f t="shared" si="9"/>
        <v>0</v>
      </c>
      <c r="F57" s="40">
        <f t="shared" si="9"/>
        <v>13879445.58</v>
      </c>
      <c r="G57" s="40">
        <f t="shared" si="9"/>
        <v>33599110.545000002</v>
      </c>
    </row>
    <row r="58" spans="2:7" ht="15.75" x14ac:dyDescent="0.25">
      <c r="B58" s="32" t="s">
        <v>106</v>
      </c>
      <c r="C58" s="33"/>
      <c r="D58" s="40">
        <f t="shared" si="9"/>
        <v>0</v>
      </c>
      <c r="E58" s="40">
        <f t="shared" si="9"/>
        <v>0</v>
      </c>
      <c r="F58" s="40">
        <f t="shared" si="9"/>
        <v>14381276.868000001</v>
      </c>
      <c r="G58" s="40">
        <f t="shared" si="9"/>
        <v>15579716.606999999</v>
      </c>
    </row>
    <row r="59" spans="2:7" ht="15.75" x14ac:dyDescent="0.25">
      <c r="B59" s="32" t="s">
        <v>69</v>
      </c>
      <c r="C59" s="33"/>
      <c r="D59" s="40">
        <f>+D46*$D$22</f>
        <v>0</v>
      </c>
      <c r="E59" s="40">
        <f t="shared" ref="E59:G59" si="10">+E46*$D$22</f>
        <v>0</v>
      </c>
      <c r="F59" s="40">
        <f t="shared" si="10"/>
        <v>0</v>
      </c>
      <c r="G59" s="40">
        <f t="shared" si="10"/>
        <v>0</v>
      </c>
    </row>
    <row r="60" spans="2:7" ht="15.75" x14ac:dyDescent="0.25">
      <c r="B60" s="32" t="s">
        <v>100</v>
      </c>
      <c r="C60" s="33"/>
      <c r="D60" s="40">
        <f>+D47*$D$23</f>
        <v>24614257.5</v>
      </c>
      <c r="E60" s="40">
        <f t="shared" ref="E60:G60" si="11">+E47*$D$23</f>
        <v>24614257.5</v>
      </c>
      <c r="F60" s="40">
        <f t="shared" si="11"/>
        <v>28306396.125</v>
      </c>
      <c r="G60" s="40">
        <f t="shared" si="11"/>
        <v>30767821.875</v>
      </c>
    </row>
    <row r="61" spans="2:7" ht="15.75" x14ac:dyDescent="0.25">
      <c r="B61" s="32" t="s">
        <v>73</v>
      </c>
      <c r="C61" s="33"/>
      <c r="D61" s="40">
        <v>5500000</v>
      </c>
      <c r="E61" s="40">
        <v>5500001</v>
      </c>
      <c r="F61" s="40">
        <v>5500002</v>
      </c>
      <c r="G61" s="40">
        <v>5500003</v>
      </c>
    </row>
    <row r="62" spans="2:7" ht="15.75" x14ac:dyDescent="0.25">
      <c r="B62" s="34" t="s">
        <v>72</v>
      </c>
      <c r="C62" s="35"/>
      <c r="D62" s="45">
        <f>SUM(D53:D61)</f>
        <v>137033913.16</v>
      </c>
      <c r="E62" s="45">
        <f t="shared" ref="E62:G62" si="12">SUM(E53:E61)</f>
        <v>136756089.02000001</v>
      </c>
      <c r="F62" s="45">
        <f t="shared" si="12"/>
        <v>172542264.71700001</v>
      </c>
      <c r="G62" s="45">
        <f t="shared" si="12"/>
        <v>183657816.19300002</v>
      </c>
    </row>
    <row r="63" spans="2:7" ht="15.75" x14ac:dyDescent="0.25">
      <c r="B63" s="72"/>
      <c r="C63" s="72"/>
      <c r="D63" s="72"/>
      <c r="E63" s="72"/>
      <c r="F63" s="72"/>
      <c r="G63" s="72"/>
    </row>
    <row r="64" spans="2:7" ht="15.75" x14ac:dyDescent="0.25">
      <c r="B64" s="105" t="s">
        <v>78</v>
      </c>
      <c r="C64" s="105"/>
      <c r="D64" s="105"/>
      <c r="E64" s="105"/>
      <c r="F64" s="105"/>
      <c r="G64" s="105"/>
    </row>
    <row r="65" spans="2:7" x14ac:dyDescent="0.25">
      <c r="B65" s="3" t="s">
        <v>95</v>
      </c>
      <c r="C65" s="4">
        <v>2020</v>
      </c>
      <c r="D65" s="4">
        <v>2021</v>
      </c>
      <c r="E65" s="4">
        <v>2022</v>
      </c>
      <c r="F65" s="4">
        <v>2023</v>
      </c>
      <c r="G65" s="4">
        <v>2024</v>
      </c>
    </row>
    <row r="66" spans="2:7" ht="15.75" x14ac:dyDescent="0.25">
      <c r="B66" s="32" t="s">
        <v>84</v>
      </c>
      <c r="C66" s="61"/>
      <c r="D66" s="62">
        <f>+'Datos Generales'!C33</f>
        <v>44432588.419774629</v>
      </c>
      <c r="E66" s="62">
        <f>+'Datos Generales'!D33</f>
        <v>44885800.821656354</v>
      </c>
      <c r="F66" s="62">
        <f>+'Datos Generales'!E33</f>
        <v>45343635.99003724</v>
      </c>
      <c r="G66" s="62">
        <f>+'Datos Generales'!F33</f>
        <v>45806141.077135608</v>
      </c>
    </row>
    <row r="67" spans="2:7" ht="15.75" x14ac:dyDescent="0.25">
      <c r="B67" s="32" t="s">
        <v>85</v>
      </c>
      <c r="C67" s="61"/>
      <c r="D67" s="62">
        <f>+'Datos Generales'!C44</f>
        <v>53230160.200000003</v>
      </c>
      <c r="E67" s="62">
        <f>+'Datos Generales'!D44</f>
        <v>53773107.834040001</v>
      </c>
      <c r="F67" s="62">
        <f>+'Datos Generales'!E44</f>
        <v>54321593.533947207</v>
      </c>
      <c r="G67" s="62">
        <f>+'Datos Generales'!F44</f>
        <v>27437836.893996734</v>
      </c>
    </row>
    <row r="68" spans="2:7" ht="15.75" x14ac:dyDescent="0.25">
      <c r="B68" s="32" t="s">
        <v>86</v>
      </c>
      <c r="C68" s="61"/>
      <c r="D68" s="63">
        <f>+'Datos Generales'!C54</f>
        <v>49942200</v>
      </c>
      <c r="E68" s="63">
        <f>+'Datos Generales'!D54</f>
        <v>50451610.439999998</v>
      </c>
      <c r="F68" s="63">
        <f>+'Datos Generales'!E54</f>
        <v>44942936.691357598</v>
      </c>
      <c r="G68" s="63">
        <f>+'Datos Generales'!F54</f>
        <v>45401354.645609438</v>
      </c>
    </row>
    <row r="69" spans="2:7" ht="15.75" x14ac:dyDescent="0.25">
      <c r="B69" s="32" t="s">
        <v>87</v>
      </c>
      <c r="C69" s="61"/>
      <c r="D69" s="63">
        <f>+'Datos Generales'!C64</f>
        <v>0</v>
      </c>
      <c r="E69" s="63">
        <f>+'Datos Generales'!D64</f>
        <v>0</v>
      </c>
      <c r="F69" s="63">
        <f>+'Datos Generales'!E64</f>
        <v>22000245.381248619</v>
      </c>
      <c r="G69" s="63">
        <f>+'Datos Generales'!F64</f>
        <v>49662484.778134093</v>
      </c>
    </row>
    <row r="70" spans="2:7" ht="15.75" x14ac:dyDescent="0.25">
      <c r="B70" s="32" t="s">
        <v>88</v>
      </c>
      <c r="C70" s="61"/>
      <c r="D70" s="63" t="str">
        <f>+'Datos Generales'!C74</f>
        <v/>
      </c>
      <c r="E70" s="63">
        <f>+'Datos Generales'!D74</f>
        <v>0</v>
      </c>
      <c r="F70" s="63">
        <f>+'Datos Generales'!E74</f>
        <v>29252446.278224315</v>
      </c>
      <c r="G70" s="63">
        <f>+'Datos Generales'!F74</f>
        <v>29550821.230262209</v>
      </c>
    </row>
    <row r="71" spans="2:7" ht="15.75" x14ac:dyDescent="0.25">
      <c r="B71" s="32" t="s">
        <v>89</v>
      </c>
      <c r="C71" s="61"/>
      <c r="D71" s="63">
        <f>+'Datos Generales'!C84</f>
        <v>0</v>
      </c>
      <c r="E71" s="63">
        <f>+'Datos Generales'!D84</f>
        <v>0</v>
      </c>
      <c r="F71" s="63">
        <f>+'Datos Generales'!E84</f>
        <v>0</v>
      </c>
      <c r="G71" s="63">
        <f>+'Datos Generales'!F84</f>
        <v>0</v>
      </c>
    </row>
    <row r="72" spans="2:7" ht="15.75" x14ac:dyDescent="0.25">
      <c r="B72" s="32" t="s">
        <v>101</v>
      </c>
      <c r="C72" s="61"/>
      <c r="D72" s="63">
        <f>+'Datos Generales'!C94</f>
        <v>29373120</v>
      </c>
      <c r="E72" s="63">
        <f>+'Datos Generales'!D94</f>
        <v>29672725.823999997</v>
      </c>
      <c r="F72" s="63">
        <f>+'Datos Generales'!E94</f>
        <v>34471695.771515518</v>
      </c>
      <c r="G72" s="63">
        <f>+'Datos Generales'!F94</f>
        <v>37851420.726505406</v>
      </c>
    </row>
    <row r="73" spans="2:7" ht="15.75" x14ac:dyDescent="0.25">
      <c r="B73" s="67" t="s">
        <v>74</v>
      </c>
      <c r="C73" s="66"/>
      <c r="D73" s="68">
        <f>SUM(D66:D72)</f>
        <v>176978068.61977464</v>
      </c>
      <c r="E73" s="68">
        <f t="shared" ref="E73:G73" si="13">SUM(E66:E72)</f>
        <v>178783244.91969636</v>
      </c>
      <c r="F73" s="68">
        <f t="shared" si="13"/>
        <v>230332553.64633051</v>
      </c>
      <c r="G73" s="68">
        <f t="shared" si="13"/>
        <v>235710059.3516435</v>
      </c>
    </row>
    <row r="74" spans="2:7" ht="15.75" x14ac:dyDescent="0.25">
      <c r="B74" s="64"/>
      <c r="C74" s="10"/>
      <c r="D74" s="65"/>
      <c r="E74" s="65"/>
      <c r="F74" s="65"/>
      <c r="G74" s="65"/>
    </row>
    <row r="75" spans="2:7" ht="15.75" x14ac:dyDescent="0.25">
      <c r="B75" s="99" t="s">
        <v>96</v>
      </c>
      <c r="C75" s="99"/>
      <c r="D75" s="99"/>
      <c r="E75" s="99"/>
      <c r="F75" s="99"/>
      <c r="G75" s="99"/>
    </row>
    <row r="76" spans="2:7" x14ac:dyDescent="0.25">
      <c r="B76" s="3" t="s">
        <v>76</v>
      </c>
      <c r="C76" s="4">
        <v>2020</v>
      </c>
      <c r="D76" s="4">
        <v>2021</v>
      </c>
      <c r="E76" s="4">
        <v>2022</v>
      </c>
      <c r="F76" s="4">
        <v>2023</v>
      </c>
      <c r="G76" s="4">
        <v>2024</v>
      </c>
    </row>
    <row r="77" spans="2:7" ht="15.75" x14ac:dyDescent="0.25">
      <c r="B77" s="32" t="s">
        <v>94</v>
      </c>
      <c r="C77" s="33"/>
      <c r="D77" s="46">
        <f>+D73</f>
        <v>176978068.61977464</v>
      </c>
      <c r="E77" s="46">
        <f t="shared" ref="E77:G77" si="14">+E73</f>
        <v>178783244.91969636</v>
      </c>
      <c r="F77" s="46">
        <f t="shared" si="14"/>
        <v>230332553.64633051</v>
      </c>
      <c r="G77" s="46">
        <f t="shared" si="14"/>
        <v>235710059.3516435</v>
      </c>
    </row>
    <row r="78" spans="2:7" ht="15.75" x14ac:dyDescent="0.25">
      <c r="B78" s="32" t="s">
        <v>75</v>
      </c>
      <c r="C78" s="33"/>
      <c r="D78" s="46">
        <f t="shared" ref="D78:G78" si="15">+D62</f>
        <v>137033913.16</v>
      </c>
      <c r="E78" s="46">
        <f t="shared" si="15"/>
        <v>136756089.02000001</v>
      </c>
      <c r="F78" s="46">
        <f t="shared" si="15"/>
        <v>172542264.71700001</v>
      </c>
      <c r="G78" s="46">
        <f t="shared" si="15"/>
        <v>183657816.19300002</v>
      </c>
    </row>
    <row r="79" spans="2:7" ht="15.75" x14ac:dyDescent="0.25">
      <c r="B79" s="48" t="s">
        <v>77</v>
      </c>
      <c r="C79" s="49"/>
      <c r="D79" s="50">
        <f>+D77-D78</f>
        <v>39944155.459774643</v>
      </c>
      <c r="E79" s="50">
        <f t="shared" ref="E79:G79" si="16">+E77-E78</f>
        <v>42027155.89969635</v>
      </c>
      <c r="F79" s="50">
        <f t="shared" si="16"/>
        <v>57790288.929330498</v>
      </c>
      <c r="G79" s="50">
        <f t="shared" si="16"/>
        <v>52052243.158643484</v>
      </c>
    </row>
    <row r="80" spans="2:7" ht="15.75" x14ac:dyDescent="0.25">
      <c r="B80" s="72"/>
      <c r="C80" s="72"/>
      <c r="D80" s="72"/>
      <c r="E80" s="72"/>
      <c r="F80" s="72"/>
      <c r="G80" s="72"/>
    </row>
    <row r="81" spans="2:7" ht="15.75" x14ac:dyDescent="0.25">
      <c r="B81" s="100" t="s">
        <v>79</v>
      </c>
      <c r="C81" s="101"/>
      <c r="D81" s="47">
        <f>AVERAGE(D79:G79)</f>
        <v>47953460.861861244</v>
      </c>
      <c r="E81" s="72"/>
      <c r="F81" s="72"/>
      <c r="G81" s="72"/>
    </row>
    <row r="83" spans="2:7" x14ac:dyDescent="0.25">
      <c r="B83" s="71" t="s">
        <v>108</v>
      </c>
      <c r="C83" s="71"/>
      <c r="D83" s="76">
        <f>+D66/(D40+D41)</f>
        <v>0.65890344418966029</v>
      </c>
      <c r="E83" s="76">
        <f t="shared" ref="E83:G83" si="17">+E66/(E40+E41)</f>
        <v>0.66837030657341157</v>
      </c>
      <c r="F83" s="76">
        <f t="shared" si="17"/>
        <v>0.55029723607447301</v>
      </c>
      <c r="G83" s="76">
        <f t="shared" si="17"/>
        <v>0.54809990953897203</v>
      </c>
    </row>
    <row r="84" spans="2:7" x14ac:dyDescent="0.25">
      <c r="B84" s="71" t="s">
        <v>109</v>
      </c>
      <c r="C84" s="71"/>
      <c r="D84" s="28">
        <f>+D73/D48</f>
        <v>0.50402235077807955</v>
      </c>
      <c r="E84" s="28">
        <f t="shared" ref="E84:G84" si="18">+E73/E48</f>
        <v>0.50956544814643012</v>
      </c>
      <c r="F84" s="28">
        <f t="shared" si="18"/>
        <v>0.51231205072541908</v>
      </c>
      <c r="G84" s="28">
        <f t="shared" si="18"/>
        <v>0.48943869339157775</v>
      </c>
    </row>
  </sheetData>
  <mergeCells count="8">
    <mergeCell ref="B75:G75"/>
    <mergeCell ref="B81:C81"/>
    <mergeCell ref="B1:G1"/>
    <mergeCell ref="B3:G3"/>
    <mergeCell ref="B25:G25"/>
    <mergeCell ref="B38:G38"/>
    <mergeCell ref="B51:G51"/>
    <mergeCell ref="B64:G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zoomScale="85" zoomScaleNormal="85" workbookViewId="0">
      <selection activeCell="F22" sqref="F22"/>
    </sheetView>
  </sheetViews>
  <sheetFormatPr baseColWidth="10" defaultRowHeight="15" x14ac:dyDescent="0.25"/>
  <cols>
    <col min="1" max="1" width="7.5703125" style="1" customWidth="1"/>
    <col min="2" max="2" width="45.42578125" style="1" customWidth="1"/>
    <col min="3" max="3" width="15.5703125" style="1" customWidth="1"/>
    <col min="4" max="7" width="20.85546875" style="1" customWidth="1"/>
    <col min="8" max="16384" width="11.42578125" style="1"/>
  </cols>
  <sheetData>
    <row r="1" spans="2:7" ht="15.75" x14ac:dyDescent="0.25">
      <c r="B1" s="102" t="s">
        <v>1</v>
      </c>
      <c r="C1" s="102"/>
      <c r="D1" s="102"/>
      <c r="E1" s="102"/>
      <c r="F1" s="102"/>
      <c r="G1" s="102"/>
    </row>
    <row r="2" spans="2:7" ht="15.75" x14ac:dyDescent="0.25">
      <c r="B2" s="72"/>
      <c r="C2" s="72"/>
      <c r="D2" s="72"/>
      <c r="E2" s="72"/>
      <c r="F2" s="72"/>
      <c r="G2" s="72"/>
    </row>
    <row r="3" spans="2:7" ht="15.75" x14ac:dyDescent="0.25">
      <c r="B3" s="103" t="s">
        <v>53</v>
      </c>
      <c r="C3" s="103"/>
      <c r="D3" s="103"/>
      <c r="E3" s="103"/>
      <c r="F3" s="103"/>
      <c r="G3" s="103"/>
    </row>
    <row r="4" spans="2:7" x14ac:dyDescent="0.25">
      <c r="B4" s="3" t="s">
        <v>45</v>
      </c>
      <c r="C4" s="4">
        <v>2020</v>
      </c>
      <c r="D4" s="4">
        <v>2021</v>
      </c>
      <c r="E4" s="4">
        <v>2022</v>
      </c>
      <c r="F4" s="4">
        <v>2023</v>
      </c>
      <c r="G4" s="4">
        <v>2024</v>
      </c>
    </row>
    <row r="5" spans="2:7" ht="15.75" x14ac:dyDescent="0.25">
      <c r="B5" s="32" t="s">
        <v>46</v>
      </c>
      <c r="C5" s="33"/>
      <c r="D5" s="40">
        <f>+'Datos Generales'!C33</f>
        <v>44432588.419774629</v>
      </c>
      <c r="E5" s="40">
        <f>+'Datos Generales'!D33</f>
        <v>44885800.821656354</v>
      </c>
      <c r="F5" s="40">
        <f>+'Datos Generales'!E33</f>
        <v>45343635.99003724</v>
      </c>
      <c r="G5" s="40">
        <f>+'Datos Generales'!F33</f>
        <v>45806141.077135608</v>
      </c>
    </row>
    <row r="6" spans="2:7" ht="15.75" x14ac:dyDescent="0.25">
      <c r="B6" s="32" t="s">
        <v>47</v>
      </c>
      <c r="C6" s="33"/>
      <c r="D6" s="40">
        <f>+'Datos Generales'!C44</f>
        <v>53230160.200000003</v>
      </c>
      <c r="E6" s="40">
        <f>+'Datos Generales'!D44</f>
        <v>53773107.834040001</v>
      </c>
      <c r="F6" s="40">
        <f>+'Datos Generales'!E44</f>
        <v>54321593.533947207</v>
      </c>
      <c r="G6" s="40">
        <f>+'Datos Generales'!F44</f>
        <v>27437836.893996734</v>
      </c>
    </row>
    <row r="7" spans="2:7" ht="15.75" x14ac:dyDescent="0.25">
      <c r="B7" s="32" t="s">
        <v>48</v>
      </c>
      <c r="C7" s="33"/>
      <c r="D7" s="40">
        <f>+'Datos Generales'!C54</f>
        <v>49942200</v>
      </c>
      <c r="E7" s="40">
        <f>+'Datos Generales'!D54</f>
        <v>50451610.439999998</v>
      </c>
      <c r="F7" s="40">
        <f>+'Datos Generales'!E54</f>
        <v>44942936.691357598</v>
      </c>
      <c r="G7" s="40">
        <f>+'Datos Generales'!F54</f>
        <v>45401354.645609438</v>
      </c>
    </row>
    <row r="8" spans="2:7" ht="15.75" x14ac:dyDescent="0.25">
      <c r="B8" s="32" t="s">
        <v>49</v>
      </c>
      <c r="C8" s="33"/>
      <c r="D8" s="40">
        <f>+'Datos Generales'!C64</f>
        <v>0</v>
      </c>
      <c r="E8" s="40">
        <f>+'Datos Generales'!D64</f>
        <v>0</v>
      </c>
      <c r="F8" s="40">
        <f>+'Datos Generales'!E64</f>
        <v>22000245.381248619</v>
      </c>
      <c r="G8" s="40">
        <f>+'Datos Generales'!F64</f>
        <v>49662484.778134093</v>
      </c>
    </row>
    <row r="9" spans="2:7" ht="15.75" x14ac:dyDescent="0.25">
      <c r="B9" s="32" t="s">
        <v>50</v>
      </c>
      <c r="C9" s="33"/>
      <c r="D9" s="40" t="str">
        <f>+'Datos Generales'!C74</f>
        <v/>
      </c>
      <c r="E9" s="40">
        <f>+'Datos Generales'!D74</f>
        <v>0</v>
      </c>
      <c r="F9" s="40">
        <f>+'Datos Generales'!E74</f>
        <v>29252446.278224315</v>
      </c>
      <c r="G9" s="40">
        <f>+'Datos Generales'!F74</f>
        <v>29550821.230262209</v>
      </c>
    </row>
    <row r="10" spans="2:7" ht="15.75" x14ac:dyDescent="0.25">
      <c r="B10" s="32" t="s">
        <v>51</v>
      </c>
      <c r="C10" s="33"/>
      <c r="D10" s="40">
        <f>+'Datos Generales'!C84</f>
        <v>0</v>
      </c>
      <c r="E10" s="40">
        <f>+'Datos Generales'!D84</f>
        <v>0</v>
      </c>
      <c r="F10" s="40">
        <f>+'Datos Generales'!E84</f>
        <v>0</v>
      </c>
      <c r="G10" s="40">
        <f>+'Datos Generales'!F84</f>
        <v>0</v>
      </c>
    </row>
    <row r="11" spans="2:7" ht="15.75" x14ac:dyDescent="0.25">
      <c r="B11" s="32" t="s">
        <v>110</v>
      </c>
      <c r="C11" s="33"/>
      <c r="D11" s="40">
        <f>+SUM(D42:D47)*0.02</f>
        <v>5673944.96</v>
      </c>
      <c r="E11" s="40">
        <f t="shared" ref="E11:G11" si="0">+SUM(E42:E47)*0.02</f>
        <v>5673944.96</v>
      </c>
      <c r="F11" s="40">
        <f t="shared" si="0"/>
        <v>7343916.176</v>
      </c>
      <c r="G11" s="40">
        <f t="shared" si="0"/>
        <v>7960400.0240000002</v>
      </c>
    </row>
    <row r="12" spans="2:7" ht="15.75" x14ac:dyDescent="0.25">
      <c r="B12" s="34" t="s">
        <v>52</v>
      </c>
      <c r="C12" s="35"/>
      <c r="D12" s="41">
        <f>SUM(D5:D11)</f>
        <v>153278893.57977465</v>
      </c>
      <c r="E12" s="41">
        <f t="shared" ref="E12:G12" si="1">SUM(E5:E11)</f>
        <v>154784464.05569637</v>
      </c>
      <c r="F12" s="41">
        <f t="shared" si="1"/>
        <v>203204774.05081499</v>
      </c>
      <c r="G12" s="41">
        <f t="shared" si="1"/>
        <v>205819038.64913809</v>
      </c>
    </row>
    <row r="13" spans="2:7" ht="15.75" x14ac:dyDescent="0.25">
      <c r="B13" s="72"/>
      <c r="C13" s="72"/>
      <c r="D13" s="72"/>
      <c r="E13" s="72"/>
      <c r="F13" s="72"/>
      <c r="G13" s="72"/>
    </row>
    <row r="14" spans="2:7" ht="15.75" x14ac:dyDescent="0.25">
      <c r="B14" s="72"/>
      <c r="C14" s="72"/>
      <c r="D14" s="72"/>
      <c r="E14" s="72"/>
      <c r="F14" s="72"/>
      <c r="G14" s="72"/>
    </row>
    <row r="15" spans="2:7" ht="15.75" x14ac:dyDescent="0.25">
      <c r="B15" s="42" t="s">
        <v>55</v>
      </c>
      <c r="C15" s="42" t="s">
        <v>59</v>
      </c>
      <c r="D15" s="42" t="s">
        <v>107</v>
      </c>
      <c r="E15" s="72"/>
      <c r="G15" s="72"/>
    </row>
    <row r="16" spans="2:7" ht="15.75" x14ac:dyDescent="0.25">
      <c r="B16" s="32" t="s">
        <v>56</v>
      </c>
      <c r="C16" s="43">
        <v>0.65</v>
      </c>
      <c r="D16" s="54">
        <f>+C16*0.9</f>
        <v>0.58500000000000008</v>
      </c>
      <c r="E16" s="72"/>
      <c r="F16" s="72"/>
      <c r="G16" s="72"/>
    </row>
    <row r="17" spans="2:7" ht="15.75" x14ac:dyDescent="0.25">
      <c r="B17" s="32" t="s">
        <v>31</v>
      </c>
      <c r="C17" s="43">
        <v>0.35</v>
      </c>
      <c r="D17" s="54">
        <f t="shared" ref="D17:D23" si="2">+C17*0.9</f>
        <v>0.315</v>
      </c>
      <c r="E17" s="72"/>
      <c r="F17" s="72"/>
      <c r="G17" s="72"/>
    </row>
    <row r="18" spans="2:7" ht="15.75" x14ac:dyDescent="0.25">
      <c r="B18" s="32" t="s">
        <v>57</v>
      </c>
      <c r="C18" s="43">
        <v>9.9999999999999978E-2</v>
      </c>
      <c r="D18" s="54">
        <f t="shared" si="2"/>
        <v>8.9999999999999983E-2</v>
      </c>
      <c r="E18" s="72"/>
      <c r="F18" s="72"/>
      <c r="G18" s="72"/>
    </row>
    <row r="19" spans="2:7" ht="15.75" x14ac:dyDescent="0.25">
      <c r="B19" s="32" t="s">
        <v>58</v>
      </c>
      <c r="C19" s="43">
        <v>0.4</v>
      </c>
      <c r="D19" s="54">
        <f t="shared" si="2"/>
        <v>0.36000000000000004</v>
      </c>
      <c r="E19" s="72"/>
      <c r="F19" s="72"/>
      <c r="G19" s="60"/>
    </row>
    <row r="20" spans="2:7" ht="15.75" x14ac:dyDescent="0.25">
      <c r="B20" s="32" t="s">
        <v>81</v>
      </c>
      <c r="C20" s="43">
        <v>0.25</v>
      </c>
      <c r="D20" s="54">
        <f t="shared" si="2"/>
        <v>0.22500000000000001</v>
      </c>
      <c r="E20" s="72"/>
      <c r="F20" s="72"/>
      <c r="G20" s="72"/>
    </row>
    <row r="21" spans="2:7" ht="15.75" x14ac:dyDescent="0.25">
      <c r="B21" s="32" t="s">
        <v>33</v>
      </c>
      <c r="C21" s="43">
        <v>0.75</v>
      </c>
      <c r="D21" s="54">
        <f t="shared" si="2"/>
        <v>0.67500000000000004</v>
      </c>
      <c r="E21" s="72"/>
      <c r="F21" s="72"/>
      <c r="G21" s="72"/>
    </row>
    <row r="22" spans="2:7" ht="15.75" x14ac:dyDescent="0.25">
      <c r="B22" s="32" t="s">
        <v>32</v>
      </c>
      <c r="C22" s="43">
        <v>0.35</v>
      </c>
      <c r="D22" s="54">
        <f t="shared" si="2"/>
        <v>0.315</v>
      </c>
      <c r="E22" s="72"/>
      <c r="F22" s="72"/>
      <c r="G22" s="72"/>
    </row>
    <row r="23" spans="2:7" ht="15.75" x14ac:dyDescent="0.25">
      <c r="B23" s="32" t="s">
        <v>102</v>
      </c>
      <c r="C23" s="43">
        <v>0.50749999999999995</v>
      </c>
      <c r="D23" s="54">
        <f t="shared" si="2"/>
        <v>0.45674999999999999</v>
      </c>
      <c r="E23" s="72"/>
      <c r="F23" s="72"/>
      <c r="G23" s="72"/>
    </row>
    <row r="24" spans="2:7" ht="15.75" x14ac:dyDescent="0.25">
      <c r="B24" s="72"/>
      <c r="C24" s="72"/>
      <c r="D24" s="72"/>
      <c r="E24" s="72"/>
      <c r="F24" s="72"/>
      <c r="G24" s="72"/>
    </row>
    <row r="25" spans="2:7" ht="15.75" x14ac:dyDescent="0.25">
      <c r="B25" s="104" t="s">
        <v>64</v>
      </c>
      <c r="C25" s="104"/>
      <c r="D25" s="104"/>
      <c r="E25" s="104"/>
      <c r="F25" s="104"/>
      <c r="G25" s="104"/>
    </row>
    <row r="26" spans="2:7" x14ac:dyDescent="0.25">
      <c r="B26" s="3" t="s">
        <v>64</v>
      </c>
      <c r="C26" s="4">
        <v>2020</v>
      </c>
      <c r="D26" s="4">
        <v>2021</v>
      </c>
      <c r="E26" s="4">
        <v>2022</v>
      </c>
      <c r="F26" s="4">
        <v>2023</v>
      </c>
      <c r="G26" s="4">
        <v>2024</v>
      </c>
    </row>
    <row r="27" spans="2:7" ht="15.75" x14ac:dyDescent="0.25">
      <c r="B27" s="32" t="s">
        <v>60</v>
      </c>
      <c r="C27" s="56"/>
      <c r="D27" s="57">
        <v>99475</v>
      </c>
      <c r="E27" s="57">
        <v>102150</v>
      </c>
      <c r="F27" s="57">
        <v>117603</v>
      </c>
      <c r="G27" s="57">
        <v>120559</v>
      </c>
    </row>
    <row r="28" spans="2:7" ht="15.75" x14ac:dyDescent="0.25">
      <c r="B28" s="32" t="s">
        <v>61</v>
      </c>
      <c r="C28" s="56"/>
      <c r="D28" s="57">
        <v>61913</v>
      </c>
      <c r="E28" s="57">
        <v>63068</v>
      </c>
      <c r="F28" s="57">
        <v>93605</v>
      </c>
      <c r="G28" s="57">
        <v>94531</v>
      </c>
    </row>
    <row r="29" spans="2:7" ht="15.75" x14ac:dyDescent="0.25">
      <c r="B29" s="32" t="s">
        <v>70</v>
      </c>
      <c r="C29" s="56"/>
      <c r="D29" s="57">
        <v>343200</v>
      </c>
      <c r="E29" s="57">
        <v>343200</v>
      </c>
      <c r="F29" s="57">
        <v>343200</v>
      </c>
      <c r="G29" s="57">
        <v>185900</v>
      </c>
    </row>
    <row r="30" spans="2:7" ht="15.75" x14ac:dyDescent="0.25">
      <c r="B30" s="32" t="s">
        <v>71</v>
      </c>
      <c r="C30" s="56"/>
      <c r="D30" s="57">
        <v>381744</v>
      </c>
      <c r="E30" s="57">
        <v>381744</v>
      </c>
      <c r="F30" s="57">
        <v>336628.8</v>
      </c>
      <c r="G30" s="57">
        <v>364681.2</v>
      </c>
    </row>
    <row r="31" spans="2:7" ht="15.75" x14ac:dyDescent="0.25">
      <c r="B31" s="32" t="s">
        <v>103</v>
      </c>
      <c r="C31" s="56"/>
      <c r="D31" s="57">
        <v>0</v>
      </c>
      <c r="E31" s="57">
        <v>0</v>
      </c>
      <c r="F31" s="57">
        <v>138996</v>
      </c>
      <c r="G31" s="57">
        <v>336479</v>
      </c>
    </row>
    <row r="32" spans="2:7" ht="15.75" x14ac:dyDescent="0.25">
      <c r="B32" s="32" t="s">
        <v>104</v>
      </c>
      <c r="C32" s="56"/>
      <c r="D32" s="57">
        <v>0</v>
      </c>
      <c r="E32" s="57">
        <v>0</v>
      </c>
      <c r="F32" s="57">
        <v>144021.6</v>
      </c>
      <c r="G32" s="57">
        <v>156023.4</v>
      </c>
    </row>
    <row r="33" spans="2:7" ht="15.75" x14ac:dyDescent="0.25">
      <c r="B33" s="32" t="s">
        <v>62</v>
      </c>
      <c r="C33" s="56"/>
      <c r="D33" s="57">
        <v>0</v>
      </c>
      <c r="E33" s="57">
        <v>0</v>
      </c>
      <c r="F33" s="57">
        <v>0</v>
      </c>
      <c r="G33" s="57">
        <v>0</v>
      </c>
    </row>
    <row r="34" spans="2:7" ht="15.75" x14ac:dyDescent="0.25">
      <c r="B34" s="32" t="s">
        <v>99</v>
      </c>
      <c r="C34" s="56"/>
      <c r="D34" s="57">
        <v>170000</v>
      </c>
      <c r="E34" s="57">
        <v>170000</v>
      </c>
      <c r="F34" s="57">
        <v>195500</v>
      </c>
      <c r="G34" s="57">
        <v>212500</v>
      </c>
    </row>
    <row r="35" spans="2:7" ht="15.75" x14ac:dyDescent="0.25">
      <c r="B35" s="34" t="s">
        <v>63</v>
      </c>
      <c r="C35" s="35"/>
      <c r="D35" s="58">
        <f>SUM(D27:D34)</f>
        <v>1056332</v>
      </c>
      <c r="E35" s="58">
        <f t="shared" ref="E35:G35" si="3">SUM(E27:E34)</f>
        <v>1060162</v>
      </c>
      <c r="F35" s="58">
        <f t="shared" si="3"/>
        <v>1369554.4000000001</v>
      </c>
      <c r="G35" s="58">
        <f t="shared" si="3"/>
        <v>1470673.5999999999</v>
      </c>
    </row>
    <row r="36" spans="2:7" ht="15.75" x14ac:dyDescent="0.25">
      <c r="B36" s="72"/>
      <c r="C36" s="72"/>
      <c r="D36" s="72"/>
      <c r="E36" s="72"/>
      <c r="F36" s="72"/>
      <c r="G36" s="72"/>
    </row>
    <row r="37" spans="2:7" ht="15.75" x14ac:dyDescent="0.25">
      <c r="B37" s="33" t="s">
        <v>91</v>
      </c>
      <c r="C37" s="33">
        <v>317</v>
      </c>
      <c r="D37" s="72"/>
      <c r="E37" s="72"/>
      <c r="F37" s="72"/>
      <c r="G37" s="72"/>
    </row>
    <row r="38" spans="2:7" ht="15.75" x14ac:dyDescent="0.25">
      <c r="B38" s="104" t="s">
        <v>90</v>
      </c>
      <c r="C38" s="104"/>
      <c r="D38" s="104"/>
      <c r="E38" s="104"/>
      <c r="F38" s="104"/>
      <c r="G38" s="104"/>
    </row>
    <row r="39" spans="2:7" x14ac:dyDescent="0.25">
      <c r="B39" s="3" t="s">
        <v>64</v>
      </c>
      <c r="C39" s="4">
        <v>2020</v>
      </c>
      <c r="D39" s="4">
        <v>2021</v>
      </c>
      <c r="E39" s="4">
        <v>2022</v>
      </c>
      <c r="F39" s="4">
        <v>2023</v>
      </c>
      <c r="G39" s="4">
        <v>2024</v>
      </c>
    </row>
    <row r="40" spans="2:7" ht="15.75" x14ac:dyDescent="0.25">
      <c r="B40" s="32" t="s">
        <v>60</v>
      </c>
      <c r="C40" s="56"/>
      <c r="D40" s="57">
        <f>+D27*$C$37</f>
        <v>31533575</v>
      </c>
      <c r="E40" s="57">
        <f t="shared" ref="E40:G40" si="4">+E27*$C$37</f>
        <v>32381550</v>
      </c>
      <c r="F40" s="57">
        <f t="shared" si="4"/>
        <v>37280151</v>
      </c>
      <c r="G40" s="57">
        <f t="shared" si="4"/>
        <v>38217203</v>
      </c>
    </row>
    <row r="41" spans="2:7" ht="15.75" x14ac:dyDescent="0.25">
      <c r="B41" s="32" t="s">
        <v>61</v>
      </c>
      <c r="C41" s="56"/>
      <c r="D41" s="57">
        <f t="shared" ref="D41:G43" si="5">+D28*$C$37</f>
        <v>19626421</v>
      </c>
      <c r="E41" s="57">
        <f t="shared" si="5"/>
        <v>19992556</v>
      </c>
      <c r="F41" s="57">
        <f t="shared" si="5"/>
        <v>29672785</v>
      </c>
      <c r="G41" s="57">
        <f t="shared" si="5"/>
        <v>29966327</v>
      </c>
    </row>
    <row r="42" spans="2:7" ht="15.75" x14ac:dyDescent="0.25">
      <c r="B42" s="32" t="s">
        <v>70</v>
      </c>
      <c r="C42" s="56"/>
      <c r="D42" s="57">
        <f t="shared" si="5"/>
        <v>108794400</v>
      </c>
      <c r="E42" s="57">
        <f t="shared" si="5"/>
        <v>108794400</v>
      </c>
      <c r="F42" s="57">
        <f t="shared" si="5"/>
        <v>108794400</v>
      </c>
      <c r="G42" s="57">
        <f t="shared" si="5"/>
        <v>58930300</v>
      </c>
    </row>
    <row r="43" spans="2:7" ht="15.75" x14ac:dyDescent="0.25">
      <c r="B43" s="32" t="s">
        <v>71</v>
      </c>
      <c r="C43" s="56"/>
      <c r="D43" s="57">
        <f>+D30*$C$37</f>
        <v>121012848</v>
      </c>
      <c r="E43" s="57">
        <f t="shared" si="5"/>
        <v>121012848</v>
      </c>
      <c r="F43" s="57">
        <f t="shared" si="5"/>
        <v>106711329.59999999</v>
      </c>
      <c r="G43" s="57">
        <f t="shared" si="5"/>
        <v>115603940.40000001</v>
      </c>
    </row>
    <row r="44" spans="2:7" ht="15.75" x14ac:dyDescent="0.25">
      <c r="B44" s="32" t="s">
        <v>103</v>
      </c>
      <c r="C44" s="56"/>
      <c r="D44" s="57">
        <f t="shared" ref="D44:G47" si="6">+D31*$C$37</f>
        <v>0</v>
      </c>
      <c r="E44" s="57">
        <f t="shared" si="6"/>
        <v>0</v>
      </c>
      <c r="F44" s="57">
        <f t="shared" si="6"/>
        <v>44061732</v>
      </c>
      <c r="G44" s="57">
        <f t="shared" si="6"/>
        <v>106663843</v>
      </c>
    </row>
    <row r="45" spans="2:7" ht="15.75" x14ac:dyDescent="0.25">
      <c r="B45" s="32" t="s">
        <v>104</v>
      </c>
      <c r="C45" s="56"/>
      <c r="D45" s="57">
        <f t="shared" si="6"/>
        <v>0</v>
      </c>
      <c r="E45" s="57">
        <f t="shared" si="6"/>
        <v>0</v>
      </c>
      <c r="F45" s="57">
        <f t="shared" si="6"/>
        <v>45654847.200000003</v>
      </c>
      <c r="G45" s="57">
        <f t="shared" si="6"/>
        <v>49459417.799999997</v>
      </c>
    </row>
    <row r="46" spans="2:7" ht="15.75" x14ac:dyDescent="0.25">
      <c r="B46" s="32" t="s">
        <v>62</v>
      </c>
      <c r="C46" s="56"/>
      <c r="D46" s="57">
        <f t="shared" si="6"/>
        <v>0</v>
      </c>
      <c r="E46" s="57">
        <f t="shared" si="6"/>
        <v>0</v>
      </c>
      <c r="F46" s="57">
        <f t="shared" si="6"/>
        <v>0</v>
      </c>
      <c r="G46" s="57">
        <f t="shared" si="6"/>
        <v>0</v>
      </c>
    </row>
    <row r="47" spans="2:7" ht="15.75" x14ac:dyDescent="0.25">
      <c r="B47" s="32" t="s">
        <v>99</v>
      </c>
      <c r="C47" s="56"/>
      <c r="D47" s="57">
        <f t="shared" si="6"/>
        <v>53890000</v>
      </c>
      <c r="E47" s="57">
        <f t="shared" si="6"/>
        <v>53890000</v>
      </c>
      <c r="F47" s="57">
        <f t="shared" si="6"/>
        <v>61973500</v>
      </c>
      <c r="G47" s="57">
        <f t="shared" si="6"/>
        <v>67362500</v>
      </c>
    </row>
    <row r="48" spans="2:7" ht="15.75" x14ac:dyDescent="0.25">
      <c r="B48" s="34" t="s">
        <v>63</v>
      </c>
      <c r="C48" s="35"/>
      <c r="D48" s="58">
        <f>SUM(D40:D47)</f>
        <v>334857244</v>
      </c>
      <c r="E48" s="58">
        <f t="shared" ref="E48:G48" si="7">SUM(E40:E47)</f>
        <v>336071354</v>
      </c>
      <c r="F48" s="58">
        <f t="shared" si="7"/>
        <v>434148744.80000001</v>
      </c>
      <c r="G48" s="58">
        <f t="shared" si="7"/>
        <v>466203531.19999999</v>
      </c>
    </row>
    <row r="49" spans="2:7" ht="15.75" x14ac:dyDescent="0.25">
      <c r="B49" s="72"/>
      <c r="C49" s="72"/>
      <c r="D49" s="72"/>
      <c r="E49" s="72"/>
      <c r="F49" s="72"/>
      <c r="G49" s="72"/>
    </row>
    <row r="50" spans="2:7" ht="15.75" x14ac:dyDescent="0.25">
      <c r="B50" s="72"/>
      <c r="C50" s="72"/>
      <c r="D50" s="72"/>
      <c r="E50" s="72"/>
      <c r="F50" s="72"/>
      <c r="G50" s="72"/>
    </row>
    <row r="51" spans="2:7" ht="15.75" x14ac:dyDescent="0.25">
      <c r="B51" s="104" t="s">
        <v>92</v>
      </c>
      <c r="C51" s="104"/>
      <c r="D51" s="104"/>
      <c r="E51" s="104"/>
      <c r="F51" s="104"/>
      <c r="G51" s="104"/>
    </row>
    <row r="52" spans="2:7" x14ac:dyDescent="0.25">
      <c r="B52" s="3" t="s">
        <v>65</v>
      </c>
      <c r="C52" s="4">
        <v>2020</v>
      </c>
      <c r="D52" s="4">
        <v>2021</v>
      </c>
      <c r="E52" s="4">
        <v>2022</v>
      </c>
      <c r="F52" s="4">
        <v>2023</v>
      </c>
      <c r="G52" s="4">
        <v>2024</v>
      </c>
    </row>
    <row r="53" spans="2:7" ht="15.75" x14ac:dyDescent="0.25">
      <c r="B53" s="32" t="s">
        <v>66</v>
      </c>
      <c r="C53" s="33"/>
      <c r="D53" s="40">
        <f>+D40*$D$16</f>
        <v>18447141.375000004</v>
      </c>
      <c r="E53" s="40">
        <f>+E40*$D$16</f>
        <v>18943206.750000004</v>
      </c>
      <c r="F53" s="40">
        <f>+F40*$D$16</f>
        <v>21808888.335000005</v>
      </c>
      <c r="G53" s="40">
        <f>+G40*$D$16</f>
        <v>22357063.755000003</v>
      </c>
    </row>
    <row r="54" spans="2:7" ht="15.75" x14ac:dyDescent="0.25">
      <c r="B54" s="32" t="s">
        <v>67</v>
      </c>
      <c r="C54" s="33"/>
      <c r="D54" s="40">
        <f>+D41*$D$21</f>
        <v>13247834.175000001</v>
      </c>
      <c r="E54" s="40">
        <f>+E41*$D$21</f>
        <v>13494975.300000001</v>
      </c>
      <c r="F54" s="40">
        <f>+F41*$D$21</f>
        <v>20029129.875</v>
      </c>
      <c r="G54" s="40">
        <f>+G41*$D$21</f>
        <v>20227270.725000001</v>
      </c>
    </row>
    <row r="55" spans="2:7" ht="15.75" x14ac:dyDescent="0.25">
      <c r="B55" s="32" t="s">
        <v>68</v>
      </c>
      <c r="C55" s="33"/>
      <c r="D55" s="40">
        <f>+D42*$D$17</f>
        <v>34270236</v>
      </c>
      <c r="E55" s="40">
        <f>+E42*$D$17</f>
        <v>34270236</v>
      </c>
      <c r="F55" s="40">
        <f>+F42*$D$17</f>
        <v>34270236</v>
      </c>
      <c r="G55" s="40">
        <f>+G42*$D$17</f>
        <v>18563044.5</v>
      </c>
    </row>
    <row r="56" spans="2:7" ht="15.75" x14ac:dyDescent="0.25">
      <c r="B56" s="32" t="s">
        <v>5</v>
      </c>
      <c r="C56" s="33"/>
      <c r="D56" s="40">
        <f>+D43*$D$17</f>
        <v>38119047.119999997</v>
      </c>
      <c r="E56" s="40">
        <f t="shared" ref="E56:G56" si="8">+E43*$D$17</f>
        <v>38119047.119999997</v>
      </c>
      <c r="F56" s="40">
        <f t="shared" si="8"/>
        <v>33614068.824000001</v>
      </c>
      <c r="G56" s="40">
        <f t="shared" si="8"/>
        <v>36415241.226000004</v>
      </c>
    </row>
    <row r="57" spans="2:7" ht="15.75" x14ac:dyDescent="0.25">
      <c r="B57" s="32" t="s">
        <v>105</v>
      </c>
      <c r="C57" s="33"/>
      <c r="D57" s="40">
        <f t="shared" ref="D57:G58" si="9">+D44*$D$17</f>
        <v>0</v>
      </c>
      <c r="E57" s="40">
        <f t="shared" si="9"/>
        <v>0</v>
      </c>
      <c r="F57" s="40">
        <f t="shared" si="9"/>
        <v>13879445.58</v>
      </c>
      <c r="G57" s="40">
        <f t="shared" si="9"/>
        <v>33599110.545000002</v>
      </c>
    </row>
    <row r="58" spans="2:7" ht="15.75" x14ac:dyDescent="0.25">
      <c r="B58" s="32" t="s">
        <v>106</v>
      </c>
      <c r="C58" s="33"/>
      <c r="D58" s="40">
        <f t="shared" si="9"/>
        <v>0</v>
      </c>
      <c r="E58" s="40">
        <f t="shared" si="9"/>
        <v>0</v>
      </c>
      <c r="F58" s="40">
        <f t="shared" si="9"/>
        <v>14381276.868000001</v>
      </c>
      <c r="G58" s="40">
        <f t="shared" si="9"/>
        <v>15579716.606999999</v>
      </c>
    </row>
    <row r="59" spans="2:7" ht="15.75" x14ac:dyDescent="0.25">
      <c r="B59" s="32" t="s">
        <v>69</v>
      </c>
      <c r="C59" s="33"/>
      <c r="D59" s="40">
        <f>+D46*$D$22</f>
        <v>0</v>
      </c>
      <c r="E59" s="40">
        <f t="shared" ref="E59:G59" si="10">+E46*$D$22</f>
        <v>0</v>
      </c>
      <c r="F59" s="40">
        <f t="shared" si="10"/>
        <v>0</v>
      </c>
      <c r="G59" s="40">
        <f t="shared" si="10"/>
        <v>0</v>
      </c>
    </row>
    <row r="60" spans="2:7" ht="15.75" x14ac:dyDescent="0.25">
      <c r="B60" s="32" t="s">
        <v>100</v>
      </c>
      <c r="C60" s="33"/>
      <c r="D60" s="40">
        <f>+D47*$D$23</f>
        <v>24614257.5</v>
      </c>
      <c r="E60" s="40">
        <f t="shared" ref="E60:G60" si="11">+E47*$D$23</f>
        <v>24614257.5</v>
      </c>
      <c r="F60" s="40">
        <f t="shared" si="11"/>
        <v>28306396.125</v>
      </c>
      <c r="G60" s="40">
        <f t="shared" si="11"/>
        <v>30767821.875</v>
      </c>
    </row>
    <row r="61" spans="2:7" ht="15.75" x14ac:dyDescent="0.25">
      <c r="B61" s="32" t="s">
        <v>73</v>
      </c>
      <c r="C61" s="33"/>
      <c r="D61" s="40">
        <v>5500000</v>
      </c>
      <c r="E61" s="40">
        <v>5500001</v>
      </c>
      <c r="F61" s="40">
        <v>5500002</v>
      </c>
      <c r="G61" s="40">
        <v>5500003</v>
      </c>
    </row>
    <row r="62" spans="2:7" ht="15.75" x14ac:dyDescent="0.25">
      <c r="B62" s="34" t="s">
        <v>72</v>
      </c>
      <c r="C62" s="35"/>
      <c r="D62" s="45">
        <f>SUM(D53:D61)</f>
        <v>134198516.17</v>
      </c>
      <c r="E62" s="45">
        <f t="shared" ref="E62:G62" si="12">SUM(E53:E61)</f>
        <v>134941723.67000002</v>
      </c>
      <c r="F62" s="45">
        <f t="shared" si="12"/>
        <v>171789443.60699999</v>
      </c>
      <c r="G62" s="45">
        <f t="shared" si="12"/>
        <v>183009272.23300001</v>
      </c>
    </row>
    <row r="63" spans="2:7" ht="15.75" x14ac:dyDescent="0.25">
      <c r="B63" s="72"/>
      <c r="C63" s="72"/>
      <c r="D63" s="72"/>
      <c r="E63" s="72"/>
      <c r="F63" s="72"/>
      <c r="G63" s="72"/>
    </row>
    <row r="64" spans="2:7" ht="15.75" x14ac:dyDescent="0.25">
      <c r="B64" s="105" t="s">
        <v>78</v>
      </c>
      <c r="C64" s="105"/>
      <c r="D64" s="105"/>
      <c r="E64" s="105"/>
      <c r="F64" s="105"/>
      <c r="G64" s="105"/>
    </row>
    <row r="65" spans="2:7" x14ac:dyDescent="0.25">
      <c r="B65" s="3" t="s">
        <v>95</v>
      </c>
      <c r="C65" s="4">
        <v>2020</v>
      </c>
      <c r="D65" s="4">
        <v>2021</v>
      </c>
      <c r="E65" s="4">
        <v>2022</v>
      </c>
      <c r="F65" s="4">
        <v>2023</v>
      </c>
      <c r="G65" s="4">
        <v>2024</v>
      </c>
    </row>
    <row r="66" spans="2:7" ht="15.75" x14ac:dyDescent="0.25">
      <c r="B66" s="32" t="s">
        <v>84</v>
      </c>
      <c r="C66" s="61"/>
      <c r="D66" s="62">
        <f>+'Datos Generales'!C33</f>
        <v>44432588.419774629</v>
      </c>
      <c r="E66" s="62">
        <f>+'Datos Generales'!D33</f>
        <v>44885800.821656354</v>
      </c>
      <c r="F66" s="62">
        <f>+'Datos Generales'!E33</f>
        <v>45343635.99003724</v>
      </c>
      <c r="G66" s="62">
        <f>+'Datos Generales'!F33</f>
        <v>45806141.077135608</v>
      </c>
    </row>
    <row r="67" spans="2:7" ht="15.75" x14ac:dyDescent="0.25">
      <c r="B67" s="32" t="s">
        <v>85</v>
      </c>
      <c r="C67" s="61"/>
      <c r="D67" s="62">
        <f>+'Datos Generales'!C44</f>
        <v>53230160.200000003</v>
      </c>
      <c r="E67" s="62">
        <f>+'Datos Generales'!D44</f>
        <v>53773107.834040001</v>
      </c>
      <c r="F67" s="62">
        <f>+'Datos Generales'!E44</f>
        <v>54321593.533947207</v>
      </c>
      <c r="G67" s="62">
        <f>+'Datos Generales'!F44</f>
        <v>27437836.893996734</v>
      </c>
    </row>
    <row r="68" spans="2:7" ht="15.75" x14ac:dyDescent="0.25">
      <c r="B68" s="32" t="s">
        <v>86</v>
      </c>
      <c r="C68" s="61"/>
      <c r="D68" s="63">
        <f>+'Datos Generales'!C54</f>
        <v>49942200</v>
      </c>
      <c r="E68" s="63">
        <f>+'Datos Generales'!D54</f>
        <v>50451610.439999998</v>
      </c>
      <c r="F68" s="63">
        <f>+'Datos Generales'!E54</f>
        <v>44942936.691357598</v>
      </c>
      <c r="G68" s="63">
        <f>+'Datos Generales'!F54</f>
        <v>45401354.645609438</v>
      </c>
    </row>
    <row r="69" spans="2:7" ht="15.75" x14ac:dyDescent="0.25">
      <c r="B69" s="32" t="s">
        <v>87</v>
      </c>
      <c r="C69" s="61"/>
      <c r="D69" s="63">
        <f>+'Datos Generales'!C64</f>
        <v>0</v>
      </c>
      <c r="E69" s="63">
        <f>+'Datos Generales'!D64</f>
        <v>0</v>
      </c>
      <c r="F69" s="63">
        <f>+'Datos Generales'!E64</f>
        <v>22000245.381248619</v>
      </c>
      <c r="G69" s="63">
        <f>+'Datos Generales'!F64</f>
        <v>49662484.778134093</v>
      </c>
    </row>
    <row r="70" spans="2:7" ht="15.75" x14ac:dyDescent="0.25">
      <c r="B70" s="32" t="s">
        <v>88</v>
      </c>
      <c r="C70" s="61"/>
      <c r="D70" s="63" t="str">
        <f>+'Datos Generales'!C74</f>
        <v/>
      </c>
      <c r="E70" s="63">
        <f>+'Datos Generales'!D74</f>
        <v>0</v>
      </c>
      <c r="F70" s="63">
        <f>+'Datos Generales'!E74</f>
        <v>29252446.278224315</v>
      </c>
      <c r="G70" s="63">
        <f>+'Datos Generales'!F74</f>
        <v>29550821.230262209</v>
      </c>
    </row>
    <row r="71" spans="2:7" ht="15.75" x14ac:dyDescent="0.25">
      <c r="B71" s="32" t="s">
        <v>89</v>
      </c>
      <c r="C71" s="61"/>
      <c r="D71" s="63">
        <f>+'Datos Generales'!C84</f>
        <v>0</v>
      </c>
      <c r="E71" s="63">
        <f>+'Datos Generales'!D84</f>
        <v>0</v>
      </c>
      <c r="F71" s="63">
        <f>+'Datos Generales'!E84</f>
        <v>0</v>
      </c>
      <c r="G71" s="63">
        <f>+'Datos Generales'!F84</f>
        <v>0</v>
      </c>
    </row>
    <row r="72" spans="2:7" ht="15.75" x14ac:dyDescent="0.25">
      <c r="B72" s="32" t="s">
        <v>101</v>
      </c>
      <c r="C72" s="61"/>
      <c r="D72" s="63">
        <f>+'Datos Generales'!C94</f>
        <v>29373120</v>
      </c>
      <c r="E72" s="63">
        <f>+'Datos Generales'!D94</f>
        <v>29672725.823999997</v>
      </c>
      <c r="F72" s="63">
        <f>+'Datos Generales'!E94</f>
        <v>34471695.771515518</v>
      </c>
      <c r="G72" s="63">
        <f>+'Datos Generales'!F94</f>
        <v>37851420.726505406</v>
      </c>
    </row>
    <row r="73" spans="2:7" ht="15.75" x14ac:dyDescent="0.25">
      <c r="B73" s="67" t="s">
        <v>74</v>
      </c>
      <c r="C73" s="66"/>
      <c r="D73" s="68">
        <f>SUM(D66:D72)</f>
        <v>176978068.61977464</v>
      </c>
      <c r="E73" s="68">
        <f t="shared" ref="E73:G73" si="13">SUM(E66:E72)</f>
        <v>178783244.91969636</v>
      </c>
      <c r="F73" s="68">
        <f t="shared" si="13"/>
        <v>230332553.64633051</v>
      </c>
      <c r="G73" s="68">
        <f t="shared" si="13"/>
        <v>235710059.3516435</v>
      </c>
    </row>
    <row r="74" spans="2:7" ht="15.75" x14ac:dyDescent="0.25">
      <c r="B74" s="64"/>
      <c r="C74" s="10"/>
      <c r="D74" s="65"/>
      <c r="E74" s="65"/>
      <c r="F74" s="65"/>
      <c r="G74" s="65"/>
    </row>
    <row r="75" spans="2:7" ht="15.75" x14ac:dyDescent="0.25">
      <c r="B75" s="99" t="s">
        <v>96</v>
      </c>
      <c r="C75" s="99"/>
      <c r="D75" s="99"/>
      <c r="E75" s="99"/>
      <c r="F75" s="99"/>
      <c r="G75" s="99"/>
    </row>
    <row r="76" spans="2:7" x14ac:dyDescent="0.25">
      <c r="B76" s="3" t="s">
        <v>76</v>
      </c>
      <c r="C76" s="4">
        <v>2020</v>
      </c>
      <c r="D76" s="4">
        <v>2021</v>
      </c>
      <c r="E76" s="4">
        <v>2022</v>
      </c>
      <c r="F76" s="4">
        <v>2023</v>
      </c>
      <c r="G76" s="4">
        <v>2024</v>
      </c>
    </row>
    <row r="77" spans="2:7" ht="15.75" x14ac:dyDescent="0.25">
      <c r="B77" s="32" t="s">
        <v>94</v>
      </c>
      <c r="C77" s="33"/>
      <c r="D77" s="46">
        <f>+D73</f>
        <v>176978068.61977464</v>
      </c>
      <c r="E77" s="46">
        <f t="shared" ref="E77:G77" si="14">+E73</f>
        <v>178783244.91969636</v>
      </c>
      <c r="F77" s="46">
        <f t="shared" si="14"/>
        <v>230332553.64633051</v>
      </c>
      <c r="G77" s="46">
        <f t="shared" si="14"/>
        <v>235710059.3516435</v>
      </c>
    </row>
    <row r="78" spans="2:7" ht="15.75" x14ac:dyDescent="0.25">
      <c r="B78" s="32" t="s">
        <v>75</v>
      </c>
      <c r="C78" s="33"/>
      <c r="D78" s="46">
        <f t="shared" ref="D78:G78" si="15">+D62</f>
        <v>134198516.17</v>
      </c>
      <c r="E78" s="46">
        <f t="shared" si="15"/>
        <v>134941723.67000002</v>
      </c>
      <c r="F78" s="46">
        <f t="shared" si="15"/>
        <v>171789443.60699999</v>
      </c>
      <c r="G78" s="46">
        <f t="shared" si="15"/>
        <v>183009272.23300001</v>
      </c>
    </row>
    <row r="79" spans="2:7" ht="15.75" x14ac:dyDescent="0.25">
      <c r="B79" s="48" t="s">
        <v>77</v>
      </c>
      <c r="C79" s="49"/>
      <c r="D79" s="50">
        <f>+D77-D78</f>
        <v>42779552.449774638</v>
      </c>
      <c r="E79" s="50">
        <f t="shared" ref="E79:G79" si="16">+E77-E78</f>
        <v>43841521.249696344</v>
      </c>
      <c r="F79" s="50">
        <f t="shared" si="16"/>
        <v>58543110.039330512</v>
      </c>
      <c r="G79" s="50">
        <f t="shared" si="16"/>
        <v>52700787.118643492</v>
      </c>
    </row>
    <row r="80" spans="2:7" ht="15.75" x14ac:dyDescent="0.25">
      <c r="B80" s="72"/>
      <c r="C80" s="72"/>
      <c r="D80" s="72"/>
      <c r="E80" s="72"/>
      <c r="F80" s="72"/>
      <c r="G80" s="72"/>
    </row>
    <row r="81" spans="2:7" ht="15.75" x14ac:dyDescent="0.25">
      <c r="B81" s="100" t="s">
        <v>79</v>
      </c>
      <c r="C81" s="101"/>
      <c r="D81" s="47">
        <f>AVERAGE(D79:G79)</f>
        <v>49466242.714361243</v>
      </c>
      <c r="E81" s="72"/>
      <c r="F81" s="72"/>
      <c r="G81" s="72"/>
    </row>
    <row r="83" spans="2:7" x14ac:dyDescent="0.25">
      <c r="B83" s="71" t="s">
        <v>108</v>
      </c>
      <c r="C83" s="71"/>
      <c r="D83" s="76">
        <f>+D66/(D40+D41)</f>
        <v>0.86850257806460007</v>
      </c>
      <c r="E83" s="76">
        <f t="shared" ref="E83:G83" si="17">+E66/(E40+E41)</f>
        <v>0.85702275894993518</v>
      </c>
      <c r="F83" s="76">
        <f t="shared" si="17"/>
        <v>0.67724641664761709</v>
      </c>
      <c r="G83" s="76">
        <f t="shared" si="17"/>
        <v>0.67180653564190074</v>
      </c>
    </row>
    <row r="84" spans="2:7" x14ac:dyDescent="0.25">
      <c r="B84" s="71" t="s">
        <v>109</v>
      </c>
      <c r="C84" s="71"/>
      <c r="D84" s="28">
        <f>+D73/D48</f>
        <v>0.52851796337359402</v>
      </c>
      <c r="E84" s="28">
        <f t="shared" ref="E84:G84" si="18">+E73/E48</f>
        <v>0.53198001790922167</v>
      </c>
      <c r="F84" s="28">
        <f t="shared" si="18"/>
        <v>0.53053833831176489</v>
      </c>
      <c r="G84" s="28">
        <f t="shared" si="18"/>
        <v>0.50559475331499482</v>
      </c>
    </row>
  </sheetData>
  <mergeCells count="8">
    <mergeCell ref="B75:G75"/>
    <mergeCell ref="B81:C81"/>
    <mergeCell ref="B1:G1"/>
    <mergeCell ref="B3:G3"/>
    <mergeCell ref="B25:G25"/>
    <mergeCell ref="B38:G38"/>
    <mergeCell ref="B51:G51"/>
    <mergeCell ref="B64:G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"/>
  <sheetViews>
    <sheetView zoomScale="85" zoomScaleNormal="85" workbookViewId="0">
      <selection activeCell="H19" sqref="H19"/>
    </sheetView>
  </sheetViews>
  <sheetFormatPr baseColWidth="10" defaultRowHeight="15" x14ac:dyDescent="0.25"/>
  <cols>
    <col min="1" max="1" width="7.5703125" style="1" customWidth="1"/>
    <col min="2" max="2" width="45.42578125" style="1" customWidth="1"/>
    <col min="3" max="3" width="15.5703125" style="1" customWidth="1"/>
    <col min="4" max="7" width="20.85546875" style="1" customWidth="1"/>
    <col min="8" max="16384" width="11.42578125" style="1"/>
  </cols>
  <sheetData>
    <row r="1" spans="2:7" ht="15.75" x14ac:dyDescent="0.25">
      <c r="B1" s="102" t="s">
        <v>1</v>
      </c>
      <c r="C1" s="102"/>
      <c r="D1" s="102"/>
      <c r="E1" s="102"/>
      <c r="F1" s="102"/>
      <c r="G1" s="102"/>
    </row>
    <row r="2" spans="2:7" ht="15.75" x14ac:dyDescent="0.25">
      <c r="B2" s="24"/>
      <c r="C2" s="24"/>
      <c r="D2" s="24"/>
      <c r="E2" s="24"/>
      <c r="F2" s="24"/>
      <c r="G2" s="24"/>
    </row>
    <row r="3" spans="2:7" ht="15.75" x14ac:dyDescent="0.25">
      <c r="B3" s="103" t="s">
        <v>53</v>
      </c>
      <c r="C3" s="103"/>
      <c r="D3" s="103"/>
      <c r="E3" s="103"/>
      <c r="F3" s="103"/>
      <c r="G3" s="103"/>
    </row>
    <row r="4" spans="2:7" x14ac:dyDescent="0.25">
      <c r="B4" s="3" t="s">
        <v>45</v>
      </c>
      <c r="C4" s="4">
        <v>2020</v>
      </c>
      <c r="D4" s="4">
        <v>2021</v>
      </c>
      <c r="E4" s="4">
        <v>2022</v>
      </c>
      <c r="F4" s="4">
        <v>2023</v>
      </c>
      <c r="G4" s="4">
        <v>2024</v>
      </c>
    </row>
    <row r="5" spans="2:7" ht="15.75" x14ac:dyDescent="0.25">
      <c r="B5" s="32" t="s">
        <v>46</v>
      </c>
      <c r="C5" s="33"/>
      <c r="D5" s="40">
        <f>+'Datos Generales'!C33</f>
        <v>44432588.419774629</v>
      </c>
      <c r="E5" s="40">
        <f>+'Datos Generales'!D33</f>
        <v>44885800.821656354</v>
      </c>
      <c r="F5" s="40">
        <f>+'Datos Generales'!E33</f>
        <v>45343635.99003724</v>
      </c>
      <c r="G5" s="40">
        <f>+'Datos Generales'!F33</f>
        <v>45806141.077135608</v>
      </c>
    </row>
    <row r="6" spans="2:7" ht="15.75" x14ac:dyDescent="0.25">
      <c r="B6" s="32" t="s">
        <v>47</v>
      </c>
      <c r="C6" s="33"/>
      <c r="D6" s="40">
        <f>+'Datos Generales'!C44</f>
        <v>53230160.200000003</v>
      </c>
      <c r="E6" s="40">
        <f>+'Datos Generales'!D44</f>
        <v>53773107.834040001</v>
      </c>
      <c r="F6" s="40">
        <f>+'Datos Generales'!E44</f>
        <v>54321593.533947207</v>
      </c>
      <c r="G6" s="40">
        <f>+'Datos Generales'!F44</f>
        <v>27437836.893996734</v>
      </c>
    </row>
    <row r="7" spans="2:7" ht="15.75" x14ac:dyDescent="0.25">
      <c r="B7" s="32" t="s">
        <v>48</v>
      </c>
      <c r="C7" s="33"/>
      <c r="D7" s="40">
        <f>+'Datos Generales'!C54</f>
        <v>49942200</v>
      </c>
      <c r="E7" s="40">
        <f>+'Datos Generales'!D54</f>
        <v>50451610.439999998</v>
      </c>
      <c r="F7" s="40">
        <f>+'Datos Generales'!E54</f>
        <v>44942936.691357598</v>
      </c>
      <c r="G7" s="40">
        <f>+'Datos Generales'!F54</f>
        <v>45401354.645609438</v>
      </c>
    </row>
    <row r="8" spans="2:7" ht="15.75" x14ac:dyDescent="0.25">
      <c r="B8" s="32" t="s">
        <v>49</v>
      </c>
      <c r="C8" s="33"/>
      <c r="D8" s="40">
        <f>+'Datos Generales'!C64</f>
        <v>0</v>
      </c>
      <c r="E8" s="40">
        <f>+'Datos Generales'!D64</f>
        <v>0</v>
      </c>
      <c r="F8" s="40">
        <f>+'Datos Generales'!E64</f>
        <v>22000245.381248619</v>
      </c>
      <c r="G8" s="40">
        <f>+'Datos Generales'!F64</f>
        <v>49662484.778134093</v>
      </c>
    </row>
    <row r="9" spans="2:7" ht="15.75" x14ac:dyDescent="0.25">
      <c r="B9" s="32" t="s">
        <v>50</v>
      </c>
      <c r="C9" s="33"/>
      <c r="D9" s="40" t="str">
        <f>+'Datos Generales'!C74</f>
        <v/>
      </c>
      <c r="E9" s="40">
        <f>+'Datos Generales'!D74</f>
        <v>0</v>
      </c>
      <c r="F9" s="40">
        <f>+'Datos Generales'!E74</f>
        <v>29252446.278224315</v>
      </c>
      <c r="G9" s="40">
        <f>+'Datos Generales'!F74</f>
        <v>29550821.230262209</v>
      </c>
    </row>
    <row r="10" spans="2:7" ht="15.75" x14ac:dyDescent="0.25">
      <c r="B10" s="32" t="s">
        <v>51</v>
      </c>
      <c r="C10" s="33"/>
      <c r="D10" s="40">
        <f>+'Datos Generales'!C84</f>
        <v>0</v>
      </c>
      <c r="E10" s="40">
        <f>+'Datos Generales'!D84</f>
        <v>0</v>
      </c>
      <c r="F10" s="40">
        <f>+'Datos Generales'!E84</f>
        <v>0</v>
      </c>
      <c r="G10" s="40">
        <f>+'Datos Generales'!F84</f>
        <v>0</v>
      </c>
    </row>
    <row r="11" spans="2:7" ht="15.75" x14ac:dyDescent="0.25">
      <c r="B11" s="32" t="s">
        <v>110</v>
      </c>
      <c r="C11" s="33"/>
      <c r="D11" s="40">
        <f>+SUM(D42:D47)*0.02</f>
        <v>5673944.96</v>
      </c>
      <c r="E11" s="40">
        <f t="shared" ref="E11:G11" si="0">+SUM(E42:E47)*0.02</f>
        <v>5673944.96</v>
      </c>
      <c r="F11" s="40">
        <f t="shared" si="0"/>
        <v>7343916.176</v>
      </c>
      <c r="G11" s="40">
        <f t="shared" si="0"/>
        <v>7960400.0240000002</v>
      </c>
    </row>
    <row r="12" spans="2:7" ht="15.75" x14ac:dyDescent="0.25">
      <c r="B12" s="34" t="s">
        <v>52</v>
      </c>
      <c r="C12" s="35"/>
      <c r="D12" s="41">
        <f>SUM(D5:D11)</f>
        <v>153278893.57977465</v>
      </c>
      <c r="E12" s="41">
        <f t="shared" ref="E12:G12" si="1">SUM(E5:E11)</f>
        <v>154784464.05569637</v>
      </c>
      <c r="F12" s="41">
        <f t="shared" si="1"/>
        <v>203204774.05081499</v>
      </c>
      <c r="G12" s="41">
        <f t="shared" si="1"/>
        <v>205819038.64913809</v>
      </c>
    </row>
    <row r="13" spans="2:7" ht="15.75" x14ac:dyDescent="0.25">
      <c r="B13" s="24"/>
      <c r="C13" s="24"/>
      <c r="D13" s="24"/>
      <c r="E13" s="24"/>
      <c r="F13" s="24"/>
      <c r="G13" s="24"/>
    </row>
    <row r="14" spans="2:7" ht="15.75" x14ac:dyDescent="0.25">
      <c r="B14" s="24"/>
      <c r="C14" s="24"/>
      <c r="D14" s="24"/>
      <c r="E14" s="24"/>
      <c r="F14" s="24"/>
      <c r="G14" s="24"/>
    </row>
    <row r="15" spans="2:7" ht="15.75" x14ac:dyDescent="0.25">
      <c r="B15" s="42" t="s">
        <v>55</v>
      </c>
      <c r="C15" s="42" t="s">
        <v>59</v>
      </c>
      <c r="D15" s="42" t="s">
        <v>107</v>
      </c>
      <c r="E15" s="24"/>
      <c r="G15" s="24"/>
    </row>
    <row r="16" spans="2:7" ht="15.75" x14ac:dyDescent="0.25">
      <c r="B16" s="32" t="s">
        <v>56</v>
      </c>
      <c r="C16" s="43">
        <v>0.45</v>
      </c>
      <c r="D16" s="54">
        <f>+C16*0.9</f>
        <v>0.40500000000000003</v>
      </c>
      <c r="E16" s="24"/>
      <c r="F16" s="24"/>
      <c r="G16" s="24"/>
    </row>
    <row r="17" spans="2:7" ht="15.75" x14ac:dyDescent="0.25">
      <c r="B17" s="32" t="s">
        <v>31</v>
      </c>
      <c r="C17" s="43">
        <v>0.35</v>
      </c>
      <c r="D17" s="54">
        <f t="shared" ref="D17:D23" si="2">+C17*0.9</f>
        <v>0.315</v>
      </c>
      <c r="E17" s="24"/>
      <c r="F17" s="24"/>
      <c r="G17" s="24"/>
    </row>
    <row r="18" spans="2:7" ht="15.75" x14ac:dyDescent="0.25">
      <c r="B18" s="32" t="s">
        <v>57</v>
      </c>
      <c r="C18" s="43">
        <v>0.14999999999999997</v>
      </c>
      <c r="D18" s="54">
        <f t="shared" si="2"/>
        <v>0.13499999999999998</v>
      </c>
      <c r="E18" s="24"/>
      <c r="F18" s="24"/>
      <c r="G18" s="24"/>
    </row>
    <row r="19" spans="2:7" ht="15.75" x14ac:dyDescent="0.25">
      <c r="B19" s="32" t="s">
        <v>58</v>
      </c>
      <c r="C19" s="43">
        <v>0.25</v>
      </c>
      <c r="D19" s="54">
        <f t="shared" si="2"/>
        <v>0.22500000000000001</v>
      </c>
      <c r="E19" s="24"/>
      <c r="F19" s="24"/>
      <c r="G19" s="60"/>
    </row>
    <row r="20" spans="2:7" ht="15.75" x14ac:dyDescent="0.25">
      <c r="B20" s="32" t="s">
        <v>81</v>
      </c>
      <c r="C20" s="43">
        <v>0.19999999999999998</v>
      </c>
      <c r="D20" s="54">
        <f t="shared" si="2"/>
        <v>0.18</v>
      </c>
      <c r="E20" s="24"/>
      <c r="F20" s="24"/>
      <c r="G20" s="24"/>
    </row>
    <row r="21" spans="2:7" ht="15.75" x14ac:dyDescent="0.25">
      <c r="B21" s="32" t="s">
        <v>33</v>
      </c>
      <c r="C21" s="43">
        <v>0.6</v>
      </c>
      <c r="D21" s="54">
        <f t="shared" si="2"/>
        <v>0.54</v>
      </c>
      <c r="E21" s="24"/>
      <c r="F21" s="24"/>
      <c r="G21" s="24"/>
    </row>
    <row r="22" spans="2:7" ht="15.75" x14ac:dyDescent="0.25">
      <c r="B22" s="32" t="s">
        <v>32</v>
      </c>
      <c r="C22" s="43">
        <v>0.35</v>
      </c>
      <c r="D22" s="54">
        <f t="shared" si="2"/>
        <v>0.315</v>
      </c>
      <c r="E22" s="24"/>
      <c r="F22" s="24"/>
      <c r="G22" s="24"/>
    </row>
    <row r="23" spans="2:7" ht="15.75" x14ac:dyDescent="0.25">
      <c r="B23" s="32" t="s">
        <v>102</v>
      </c>
      <c r="C23" s="43">
        <v>0.50749999999999995</v>
      </c>
      <c r="D23" s="54">
        <f t="shared" si="2"/>
        <v>0.45674999999999999</v>
      </c>
      <c r="E23" s="24"/>
      <c r="F23" s="24"/>
      <c r="G23" s="24"/>
    </row>
    <row r="24" spans="2:7" ht="15.75" x14ac:dyDescent="0.25">
      <c r="B24" s="24"/>
      <c r="C24" s="24"/>
      <c r="D24" s="24"/>
      <c r="E24" s="24"/>
      <c r="F24" s="24"/>
      <c r="G24" s="24"/>
    </row>
    <row r="25" spans="2:7" ht="15.75" x14ac:dyDescent="0.25">
      <c r="B25" s="104" t="s">
        <v>64</v>
      </c>
      <c r="C25" s="104"/>
      <c r="D25" s="104"/>
      <c r="E25" s="104"/>
      <c r="F25" s="104"/>
      <c r="G25" s="104"/>
    </row>
    <row r="26" spans="2:7" x14ac:dyDescent="0.25">
      <c r="B26" s="3" t="s">
        <v>64</v>
      </c>
      <c r="C26" s="4">
        <v>2020</v>
      </c>
      <c r="D26" s="4">
        <v>2021</v>
      </c>
      <c r="E26" s="4">
        <v>2022</v>
      </c>
      <c r="F26" s="4">
        <v>2023</v>
      </c>
      <c r="G26" s="4">
        <v>2024</v>
      </c>
    </row>
    <row r="27" spans="2:7" ht="15.75" x14ac:dyDescent="0.25">
      <c r="B27" s="32" t="s">
        <v>60</v>
      </c>
      <c r="C27" s="56"/>
      <c r="D27" s="57">
        <v>161416</v>
      </c>
      <c r="E27" s="57">
        <v>163293</v>
      </c>
      <c r="F27" s="57">
        <v>190878</v>
      </c>
      <c r="G27" s="57">
        <v>194217</v>
      </c>
    </row>
    <row r="28" spans="2:7" ht="15.75" x14ac:dyDescent="0.25">
      <c r="B28" s="32" t="s">
        <v>61</v>
      </c>
      <c r="C28" s="56"/>
      <c r="D28" s="57">
        <v>90992</v>
      </c>
      <c r="E28" s="57">
        <v>91061</v>
      </c>
      <c r="F28" s="57">
        <v>125611</v>
      </c>
      <c r="G28" s="57">
        <v>124120</v>
      </c>
    </row>
    <row r="29" spans="2:7" ht="15.75" x14ac:dyDescent="0.25">
      <c r="B29" s="32" t="s">
        <v>70</v>
      </c>
      <c r="C29" s="56"/>
      <c r="D29" s="57">
        <v>343200</v>
      </c>
      <c r="E29" s="57">
        <v>343200</v>
      </c>
      <c r="F29" s="57">
        <v>343200</v>
      </c>
      <c r="G29" s="57">
        <v>185900</v>
      </c>
    </row>
    <row r="30" spans="2:7" ht="15.75" x14ac:dyDescent="0.25">
      <c r="B30" s="32" t="s">
        <v>71</v>
      </c>
      <c r="C30" s="56"/>
      <c r="D30" s="57">
        <v>381744</v>
      </c>
      <c r="E30" s="57">
        <v>381744</v>
      </c>
      <c r="F30" s="57">
        <v>336628.8</v>
      </c>
      <c r="G30" s="57">
        <v>364681.2</v>
      </c>
    </row>
    <row r="31" spans="2:7" ht="15.75" x14ac:dyDescent="0.25">
      <c r="B31" s="32" t="s">
        <v>103</v>
      </c>
      <c r="C31" s="56"/>
      <c r="D31" s="57">
        <v>0</v>
      </c>
      <c r="E31" s="57">
        <v>0</v>
      </c>
      <c r="F31" s="57">
        <v>138996</v>
      </c>
      <c r="G31" s="57">
        <v>336479</v>
      </c>
    </row>
    <row r="32" spans="2:7" ht="15.75" x14ac:dyDescent="0.25">
      <c r="B32" s="32" t="s">
        <v>104</v>
      </c>
      <c r="C32" s="56"/>
      <c r="D32" s="57">
        <v>0</v>
      </c>
      <c r="E32" s="57">
        <v>0</v>
      </c>
      <c r="F32" s="57">
        <v>144021.6</v>
      </c>
      <c r="G32" s="57">
        <v>156023.4</v>
      </c>
    </row>
    <row r="33" spans="2:7" ht="15.75" x14ac:dyDescent="0.25">
      <c r="B33" s="32" t="s">
        <v>62</v>
      </c>
      <c r="C33" s="56"/>
      <c r="D33" s="57">
        <v>0</v>
      </c>
      <c r="E33" s="57">
        <v>0</v>
      </c>
      <c r="F33" s="57">
        <v>0</v>
      </c>
      <c r="G33" s="57">
        <v>0</v>
      </c>
    </row>
    <row r="34" spans="2:7" ht="15.75" x14ac:dyDescent="0.25">
      <c r="B34" s="32" t="s">
        <v>99</v>
      </c>
      <c r="C34" s="56"/>
      <c r="D34" s="57">
        <v>170000</v>
      </c>
      <c r="E34" s="57">
        <v>170000</v>
      </c>
      <c r="F34" s="57">
        <v>195500</v>
      </c>
      <c r="G34" s="57">
        <v>212500</v>
      </c>
    </row>
    <row r="35" spans="2:7" ht="15.75" x14ac:dyDescent="0.25">
      <c r="B35" s="34" t="s">
        <v>63</v>
      </c>
      <c r="C35" s="35"/>
      <c r="D35" s="58">
        <f>SUM(D27:D34)</f>
        <v>1147352</v>
      </c>
      <c r="E35" s="58">
        <f t="shared" ref="E35:G35" si="3">SUM(E27:E34)</f>
        <v>1149298</v>
      </c>
      <c r="F35" s="58">
        <f t="shared" si="3"/>
        <v>1474835.4000000001</v>
      </c>
      <c r="G35" s="58">
        <f t="shared" si="3"/>
        <v>1573920.5999999999</v>
      </c>
    </row>
    <row r="36" spans="2:7" ht="15.75" x14ac:dyDescent="0.25">
      <c r="B36" s="24"/>
      <c r="C36" s="24"/>
      <c r="D36" s="24"/>
      <c r="E36" s="24"/>
      <c r="F36" s="24"/>
      <c r="G36" s="24"/>
    </row>
    <row r="37" spans="2:7" ht="15.75" x14ac:dyDescent="0.25">
      <c r="B37" s="33" t="s">
        <v>91</v>
      </c>
      <c r="C37" s="33">
        <v>317</v>
      </c>
      <c r="D37" s="24"/>
      <c r="E37" s="24"/>
      <c r="F37" s="24"/>
      <c r="G37" s="24"/>
    </row>
    <row r="38" spans="2:7" ht="15.75" x14ac:dyDescent="0.25">
      <c r="B38" s="104" t="s">
        <v>90</v>
      </c>
      <c r="C38" s="104"/>
      <c r="D38" s="104"/>
      <c r="E38" s="104"/>
      <c r="F38" s="104"/>
      <c r="G38" s="104"/>
    </row>
    <row r="39" spans="2:7" x14ac:dyDescent="0.25">
      <c r="B39" s="3" t="s">
        <v>64</v>
      </c>
      <c r="C39" s="4">
        <v>2020</v>
      </c>
      <c r="D39" s="4">
        <v>2021</v>
      </c>
      <c r="E39" s="4">
        <v>2022</v>
      </c>
      <c r="F39" s="4">
        <v>2023</v>
      </c>
      <c r="G39" s="4">
        <v>2024</v>
      </c>
    </row>
    <row r="40" spans="2:7" ht="15.75" x14ac:dyDescent="0.25">
      <c r="B40" s="32" t="s">
        <v>60</v>
      </c>
      <c r="C40" s="56"/>
      <c r="D40" s="57">
        <f>+D27*$C$37</f>
        <v>51168872</v>
      </c>
      <c r="E40" s="57">
        <f t="shared" ref="E40:G40" si="4">+E27*$C$37</f>
        <v>51763881</v>
      </c>
      <c r="F40" s="57">
        <f t="shared" si="4"/>
        <v>60508326</v>
      </c>
      <c r="G40" s="57">
        <f t="shared" si="4"/>
        <v>61566789</v>
      </c>
    </row>
    <row r="41" spans="2:7" ht="15.75" x14ac:dyDescent="0.25">
      <c r="B41" s="32" t="s">
        <v>61</v>
      </c>
      <c r="C41" s="56"/>
      <c r="D41" s="57">
        <f t="shared" ref="D41:G41" si="5">+D28*$C$37</f>
        <v>28844464</v>
      </c>
      <c r="E41" s="57">
        <f t="shared" si="5"/>
        <v>28866337</v>
      </c>
      <c r="F41" s="57">
        <f t="shared" si="5"/>
        <v>39818687</v>
      </c>
      <c r="G41" s="57">
        <f t="shared" si="5"/>
        <v>39346040</v>
      </c>
    </row>
    <row r="42" spans="2:7" ht="15.75" x14ac:dyDescent="0.25">
      <c r="B42" s="32" t="s">
        <v>70</v>
      </c>
      <c r="C42" s="56"/>
      <c r="D42" s="57">
        <f t="shared" ref="D42:G42" si="6">+D29*$C$37</f>
        <v>108794400</v>
      </c>
      <c r="E42" s="57">
        <f t="shared" si="6"/>
        <v>108794400</v>
      </c>
      <c r="F42" s="57">
        <f t="shared" si="6"/>
        <v>108794400</v>
      </c>
      <c r="G42" s="57">
        <f t="shared" si="6"/>
        <v>58930300</v>
      </c>
    </row>
    <row r="43" spans="2:7" ht="15.75" x14ac:dyDescent="0.25">
      <c r="B43" s="32" t="s">
        <v>71</v>
      </c>
      <c r="C43" s="56"/>
      <c r="D43" s="57">
        <f>+D30*$C$37</f>
        <v>121012848</v>
      </c>
      <c r="E43" s="57">
        <f t="shared" ref="E43:G43" si="7">+E30*$C$37</f>
        <v>121012848</v>
      </c>
      <c r="F43" s="57">
        <f t="shared" si="7"/>
        <v>106711329.59999999</v>
      </c>
      <c r="G43" s="57">
        <f t="shared" si="7"/>
        <v>115603940.40000001</v>
      </c>
    </row>
    <row r="44" spans="2:7" ht="15.75" x14ac:dyDescent="0.25">
      <c r="B44" s="32" t="s">
        <v>103</v>
      </c>
      <c r="C44" s="56"/>
      <c r="D44" s="57">
        <f t="shared" ref="D44:G44" si="8">+D31*$C$37</f>
        <v>0</v>
      </c>
      <c r="E44" s="57">
        <f t="shared" si="8"/>
        <v>0</v>
      </c>
      <c r="F44" s="57">
        <f t="shared" si="8"/>
        <v>44061732</v>
      </c>
      <c r="G44" s="57">
        <f t="shared" si="8"/>
        <v>106663843</v>
      </c>
    </row>
    <row r="45" spans="2:7" ht="15.75" x14ac:dyDescent="0.25">
      <c r="B45" s="32" t="s">
        <v>104</v>
      </c>
      <c r="C45" s="56"/>
      <c r="D45" s="57">
        <f t="shared" ref="D45:G45" si="9">+D32*$C$37</f>
        <v>0</v>
      </c>
      <c r="E45" s="57">
        <f t="shared" si="9"/>
        <v>0</v>
      </c>
      <c r="F45" s="57">
        <f t="shared" si="9"/>
        <v>45654847.200000003</v>
      </c>
      <c r="G45" s="57">
        <f t="shared" si="9"/>
        <v>49459417.799999997</v>
      </c>
    </row>
    <row r="46" spans="2:7" ht="15.75" x14ac:dyDescent="0.25">
      <c r="B46" s="32" t="s">
        <v>62</v>
      </c>
      <c r="C46" s="56"/>
      <c r="D46" s="57">
        <f t="shared" ref="D46:G46" si="10">+D33*$C$37</f>
        <v>0</v>
      </c>
      <c r="E46" s="57">
        <f t="shared" si="10"/>
        <v>0</v>
      </c>
      <c r="F46" s="57">
        <f t="shared" si="10"/>
        <v>0</v>
      </c>
      <c r="G46" s="57">
        <f t="shared" si="10"/>
        <v>0</v>
      </c>
    </row>
    <row r="47" spans="2:7" ht="15.75" x14ac:dyDescent="0.25">
      <c r="B47" s="32" t="s">
        <v>99</v>
      </c>
      <c r="C47" s="56"/>
      <c r="D47" s="57">
        <f t="shared" ref="D47:G47" si="11">+D34*$C$37</f>
        <v>53890000</v>
      </c>
      <c r="E47" s="57">
        <f t="shared" si="11"/>
        <v>53890000</v>
      </c>
      <c r="F47" s="57">
        <f t="shared" si="11"/>
        <v>61973500</v>
      </c>
      <c r="G47" s="57">
        <f t="shared" si="11"/>
        <v>67362500</v>
      </c>
    </row>
    <row r="48" spans="2:7" ht="15.75" x14ac:dyDescent="0.25">
      <c r="B48" s="34" t="s">
        <v>63</v>
      </c>
      <c r="C48" s="35"/>
      <c r="D48" s="58">
        <f>SUM(D40:D47)</f>
        <v>363710584</v>
      </c>
      <c r="E48" s="58">
        <f t="shared" ref="E48:G48" si="12">SUM(E40:E47)</f>
        <v>364327466</v>
      </c>
      <c r="F48" s="58">
        <f t="shared" si="12"/>
        <v>467522821.80000001</v>
      </c>
      <c r="G48" s="58">
        <f t="shared" si="12"/>
        <v>498932830.19999999</v>
      </c>
    </row>
    <row r="49" spans="2:7" ht="15.75" x14ac:dyDescent="0.25">
      <c r="B49" s="24"/>
      <c r="C49" s="24"/>
      <c r="D49" s="24"/>
      <c r="E49" s="24"/>
      <c r="F49" s="24"/>
      <c r="G49" s="24"/>
    </row>
    <row r="50" spans="2:7" ht="15.75" x14ac:dyDescent="0.25">
      <c r="B50" s="24"/>
      <c r="C50" s="24"/>
      <c r="D50" s="24"/>
      <c r="E50" s="24"/>
      <c r="F50" s="24"/>
      <c r="G50" s="24"/>
    </row>
    <row r="51" spans="2:7" ht="15.75" x14ac:dyDescent="0.25">
      <c r="B51" s="104" t="s">
        <v>92</v>
      </c>
      <c r="C51" s="104"/>
      <c r="D51" s="104"/>
      <c r="E51" s="104"/>
      <c r="F51" s="104"/>
      <c r="G51" s="104"/>
    </row>
    <row r="52" spans="2:7" x14ac:dyDescent="0.25">
      <c r="B52" s="3" t="s">
        <v>65</v>
      </c>
      <c r="C52" s="4">
        <v>2020</v>
      </c>
      <c r="D52" s="4">
        <v>2021</v>
      </c>
      <c r="E52" s="4">
        <v>2022</v>
      </c>
      <c r="F52" s="4">
        <v>2023</v>
      </c>
      <c r="G52" s="4">
        <v>2024</v>
      </c>
    </row>
    <row r="53" spans="2:7" ht="15.75" x14ac:dyDescent="0.25">
      <c r="B53" s="32" t="s">
        <v>66</v>
      </c>
      <c r="C53" s="33"/>
      <c r="D53" s="40">
        <f>+D40*$D$16</f>
        <v>20723393.16</v>
      </c>
      <c r="E53" s="40">
        <f>+E40*$D$16</f>
        <v>20964371.805</v>
      </c>
      <c r="F53" s="40">
        <f>+F40*$D$16</f>
        <v>24505872.030000001</v>
      </c>
      <c r="G53" s="40">
        <f>+G40*$D$16</f>
        <v>24934549.545000002</v>
      </c>
    </row>
    <row r="54" spans="2:7" ht="15.75" x14ac:dyDescent="0.25">
      <c r="B54" s="32" t="s">
        <v>67</v>
      </c>
      <c r="C54" s="33"/>
      <c r="D54" s="40">
        <f>+D41*$D$21</f>
        <v>15576010.560000001</v>
      </c>
      <c r="E54" s="40">
        <f>+E41*$D$21</f>
        <v>15587821.98</v>
      </c>
      <c r="F54" s="40">
        <f>+F41*$D$21</f>
        <v>21502090.98</v>
      </c>
      <c r="G54" s="40">
        <f>+G41*$D$21</f>
        <v>21246861.600000001</v>
      </c>
    </row>
    <row r="55" spans="2:7" ht="15.75" x14ac:dyDescent="0.25">
      <c r="B55" s="32" t="s">
        <v>68</v>
      </c>
      <c r="C55" s="33"/>
      <c r="D55" s="40">
        <f>+D42*$D$17</f>
        <v>34270236</v>
      </c>
      <c r="E55" s="40">
        <f>+E42*$D$17</f>
        <v>34270236</v>
      </c>
      <c r="F55" s="40">
        <f>+F42*$D$17</f>
        <v>34270236</v>
      </c>
      <c r="G55" s="40">
        <f>+G42*$D$17</f>
        <v>18563044.5</v>
      </c>
    </row>
    <row r="56" spans="2:7" ht="15.75" x14ac:dyDescent="0.25">
      <c r="B56" s="32" t="s">
        <v>5</v>
      </c>
      <c r="C56" s="33"/>
      <c r="D56" s="40">
        <f>+D43*$D$17</f>
        <v>38119047.119999997</v>
      </c>
      <c r="E56" s="40">
        <f t="shared" ref="E56:G56" si="13">+E43*$D$17</f>
        <v>38119047.119999997</v>
      </c>
      <c r="F56" s="40">
        <f t="shared" si="13"/>
        <v>33614068.824000001</v>
      </c>
      <c r="G56" s="40">
        <f t="shared" si="13"/>
        <v>36415241.226000004</v>
      </c>
    </row>
    <row r="57" spans="2:7" ht="15.75" x14ac:dyDescent="0.25">
      <c r="B57" s="32" t="s">
        <v>105</v>
      </c>
      <c r="C57" s="33"/>
      <c r="D57" s="40">
        <f t="shared" ref="D57:G58" si="14">+D44*$D$17</f>
        <v>0</v>
      </c>
      <c r="E57" s="40">
        <f t="shared" si="14"/>
        <v>0</v>
      </c>
      <c r="F57" s="40">
        <f t="shared" si="14"/>
        <v>13879445.58</v>
      </c>
      <c r="G57" s="40">
        <f t="shared" si="14"/>
        <v>33599110.545000002</v>
      </c>
    </row>
    <row r="58" spans="2:7" ht="15.75" x14ac:dyDescent="0.25">
      <c r="B58" s="32" t="s">
        <v>106</v>
      </c>
      <c r="C58" s="33"/>
      <c r="D58" s="40">
        <f t="shared" si="14"/>
        <v>0</v>
      </c>
      <c r="E58" s="40">
        <f t="shared" si="14"/>
        <v>0</v>
      </c>
      <c r="F58" s="40">
        <f t="shared" si="14"/>
        <v>14381276.868000001</v>
      </c>
      <c r="G58" s="40">
        <f t="shared" si="14"/>
        <v>15579716.606999999</v>
      </c>
    </row>
    <row r="59" spans="2:7" ht="15.75" x14ac:dyDescent="0.25">
      <c r="B59" s="32" t="s">
        <v>69</v>
      </c>
      <c r="C59" s="33"/>
      <c r="D59" s="40">
        <f>+D46*$D$22</f>
        <v>0</v>
      </c>
      <c r="E59" s="40">
        <f t="shared" ref="E59:G59" si="15">+E46*$D$22</f>
        <v>0</v>
      </c>
      <c r="F59" s="40">
        <f t="shared" si="15"/>
        <v>0</v>
      </c>
      <c r="G59" s="40">
        <f t="shared" si="15"/>
        <v>0</v>
      </c>
    </row>
    <row r="60" spans="2:7" ht="15.75" x14ac:dyDescent="0.25">
      <c r="B60" s="32" t="s">
        <v>100</v>
      </c>
      <c r="C60" s="33"/>
      <c r="D60" s="40">
        <f>+D47*$D$23</f>
        <v>24614257.5</v>
      </c>
      <c r="E60" s="40">
        <f t="shared" ref="E60:G60" si="16">+E47*$D$23</f>
        <v>24614257.5</v>
      </c>
      <c r="F60" s="40">
        <f t="shared" si="16"/>
        <v>28306396.125</v>
      </c>
      <c r="G60" s="40">
        <f t="shared" si="16"/>
        <v>30767821.875</v>
      </c>
    </row>
    <row r="61" spans="2:7" ht="15.75" x14ac:dyDescent="0.25">
      <c r="B61" s="32" t="s">
        <v>73</v>
      </c>
      <c r="C61" s="33"/>
      <c r="D61" s="40">
        <v>5500000</v>
      </c>
      <c r="E61" s="40">
        <v>5500001</v>
      </c>
      <c r="F61" s="40">
        <v>5500002</v>
      </c>
      <c r="G61" s="40">
        <v>5500003</v>
      </c>
    </row>
    <row r="62" spans="2:7" ht="15.75" x14ac:dyDescent="0.25">
      <c r="B62" s="34" t="s">
        <v>72</v>
      </c>
      <c r="C62" s="35"/>
      <c r="D62" s="45">
        <f>SUM(D53:D61)</f>
        <v>138802944.34</v>
      </c>
      <c r="E62" s="45">
        <f t="shared" ref="E62:G62" si="17">SUM(E53:E61)</f>
        <v>139055735.405</v>
      </c>
      <c r="F62" s="45">
        <f t="shared" si="17"/>
        <v>175959388.40700001</v>
      </c>
      <c r="G62" s="45">
        <f t="shared" si="17"/>
        <v>186606348.898</v>
      </c>
    </row>
    <row r="63" spans="2:7" ht="15.75" x14ac:dyDescent="0.25">
      <c r="B63" s="24"/>
      <c r="C63" s="24"/>
      <c r="D63" s="24"/>
      <c r="E63" s="24"/>
      <c r="F63" s="24"/>
      <c r="G63" s="24"/>
    </row>
    <row r="64" spans="2:7" ht="15.75" x14ac:dyDescent="0.25">
      <c r="B64" s="105" t="s">
        <v>78</v>
      </c>
      <c r="C64" s="105"/>
      <c r="D64" s="105"/>
      <c r="E64" s="105"/>
      <c r="F64" s="105"/>
      <c r="G64" s="105"/>
    </row>
    <row r="65" spans="2:7" x14ac:dyDescent="0.25">
      <c r="B65" s="3" t="s">
        <v>95</v>
      </c>
      <c r="C65" s="4">
        <v>2020</v>
      </c>
      <c r="D65" s="4">
        <v>2021</v>
      </c>
      <c r="E65" s="4">
        <v>2022</v>
      </c>
      <c r="F65" s="4">
        <v>2023</v>
      </c>
      <c r="G65" s="4">
        <v>2024</v>
      </c>
    </row>
    <row r="66" spans="2:7" ht="15.75" x14ac:dyDescent="0.25">
      <c r="B66" s="32" t="s">
        <v>84</v>
      </c>
      <c r="C66" s="61"/>
      <c r="D66" s="62">
        <f>+'Datos Generales'!C33</f>
        <v>44432588.419774629</v>
      </c>
      <c r="E66" s="62">
        <f>+'Datos Generales'!D33</f>
        <v>44885800.821656354</v>
      </c>
      <c r="F66" s="62">
        <f>+'Datos Generales'!E33</f>
        <v>45343635.99003724</v>
      </c>
      <c r="G66" s="62">
        <f>+'Datos Generales'!F33</f>
        <v>45806141.077135608</v>
      </c>
    </row>
    <row r="67" spans="2:7" ht="15.75" x14ac:dyDescent="0.25">
      <c r="B67" s="32" t="s">
        <v>85</v>
      </c>
      <c r="C67" s="61"/>
      <c r="D67" s="62">
        <f>+'Datos Generales'!C44</f>
        <v>53230160.200000003</v>
      </c>
      <c r="E67" s="62">
        <f>+'Datos Generales'!D44</f>
        <v>53773107.834040001</v>
      </c>
      <c r="F67" s="62">
        <f>+'Datos Generales'!E44</f>
        <v>54321593.533947207</v>
      </c>
      <c r="G67" s="62">
        <f>+'Datos Generales'!F44</f>
        <v>27437836.893996734</v>
      </c>
    </row>
    <row r="68" spans="2:7" ht="15.75" x14ac:dyDescent="0.25">
      <c r="B68" s="32" t="s">
        <v>86</v>
      </c>
      <c r="C68" s="61"/>
      <c r="D68" s="63">
        <f>+'Datos Generales'!C54</f>
        <v>49942200</v>
      </c>
      <c r="E68" s="63">
        <f>+'Datos Generales'!D54</f>
        <v>50451610.439999998</v>
      </c>
      <c r="F68" s="63">
        <f>+'Datos Generales'!E54</f>
        <v>44942936.691357598</v>
      </c>
      <c r="G68" s="63">
        <f>+'Datos Generales'!F54</f>
        <v>45401354.645609438</v>
      </c>
    </row>
    <row r="69" spans="2:7" ht="15.75" x14ac:dyDescent="0.25">
      <c r="B69" s="32" t="s">
        <v>87</v>
      </c>
      <c r="C69" s="61"/>
      <c r="D69" s="63">
        <f>+'Datos Generales'!C64</f>
        <v>0</v>
      </c>
      <c r="E69" s="63">
        <f>+'Datos Generales'!D64</f>
        <v>0</v>
      </c>
      <c r="F69" s="63">
        <f>+'Datos Generales'!E64</f>
        <v>22000245.381248619</v>
      </c>
      <c r="G69" s="63">
        <f>+'Datos Generales'!F64</f>
        <v>49662484.778134093</v>
      </c>
    </row>
    <row r="70" spans="2:7" ht="15.75" x14ac:dyDescent="0.25">
      <c r="B70" s="32" t="s">
        <v>88</v>
      </c>
      <c r="C70" s="61"/>
      <c r="D70" s="63" t="str">
        <f>+'Datos Generales'!C74</f>
        <v/>
      </c>
      <c r="E70" s="63">
        <f>+'Datos Generales'!D74</f>
        <v>0</v>
      </c>
      <c r="F70" s="63">
        <f>+'Datos Generales'!E74</f>
        <v>29252446.278224315</v>
      </c>
      <c r="G70" s="63">
        <f>+'Datos Generales'!F74</f>
        <v>29550821.230262209</v>
      </c>
    </row>
    <row r="71" spans="2:7" ht="15.75" x14ac:dyDescent="0.25">
      <c r="B71" s="32" t="s">
        <v>89</v>
      </c>
      <c r="C71" s="61"/>
      <c r="D71" s="63">
        <f>+'Datos Generales'!C84</f>
        <v>0</v>
      </c>
      <c r="E71" s="63">
        <f>+'Datos Generales'!D84</f>
        <v>0</v>
      </c>
      <c r="F71" s="63">
        <f>+'Datos Generales'!E84</f>
        <v>0</v>
      </c>
      <c r="G71" s="63">
        <f>+'Datos Generales'!F84</f>
        <v>0</v>
      </c>
    </row>
    <row r="72" spans="2:7" ht="15.75" x14ac:dyDescent="0.25">
      <c r="B72" s="32" t="s">
        <v>101</v>
      </c>
      <c r="C72" s="61"/>
      <c r="D72" s="63">
        <f>+'Datos Generales'!C94</f>
        <v>29373120</v>
      </c>
      <c r="E72" s="63">
        <f>+'Datos Generales'!D94</f>
        <v>29672725.823999997</v>
      </c>
      <c r="F72" s="63">
        <f>+'Datos Generales'!E94</f>
        <v>34471695.771515518</v>
      </c>
      <c r="G72" s="63">
        <f>+'Datos Generales'!F94</f>
        <v>37851420.726505406</v>
      </c>
    </row>
    <row r="73" spans="2:7" ht="15.75" x14ac:dyDescent="0.25">
      <c r="B73" s="67" t="s">
        <v>74</v>
      </c>
      <c r="C73" s="66"/>
      <c r="D73" s="68">
        <f>SUM(D66:D72)</f>
        <v>176978068.61977464</v>
      </c>
      <c r="E73" s="68">
        <f t="shared" ref="E73:G73" si="18">SUM(E66:E72)</f>
        <v>178783244.91969636</v>
      </c>
      <c r="F73" s="68">
        <f t="shared" si="18"/>
        <v>230332553.64633051</v>
      </c>
      <c r="G73" s="68">
        <f t="shared" si="18"/>
        <v>235710059.3516435</v>
      </c>
    </row>
    <row r="74" spans="2:7" ht="15.75" x14ac:dyDescent="0.25">
      <c r="B74" s="64"/>
      <c r="C74" s="10"/>
      <c r="D74" s="65"/>
      <c r="E74" s="65"/>
      <c r="F74" s="65"/>
      <c r="G74" s="65"/>
    </row>
    <row r="75" spans="2:7" ht="15.75" x14ac:dyDescent="0.25">
      <c r="B75" s="99" t="s">
        <v>96</v>
      </c>
      <c r="C75" s="99"/>
      <c r="D75" s="99"/>
      <c r="E75" s="99"/>
      <c r="F75" s="99"/>
      <c r="G75" s="99"/>
    </row>
    <row r="76" spans="2:7" x14ac:dyDescent="0.25">
      <c r="B76" s="3" t="s">
        <v>76</v>
      </c>
      <c r="C76" s="4">
        <v>2020</v>
      </c>
      <c r="D76" s="4">
        <v>2021</v>
      </c>
      <c r="E76" s="4">
        <v>2022</v>
      </c>
      <c r="F76" s="4">
        <v>2023</v>
      </c>
      <c r="G76" s="4">
        <v>2024</v>
      </c>
    </row>
    <row r="77" spans="2:7" ht="15.75" x14ac:dyDescent="0.25">
      <c r="B77" s="32" t="s">
        <v>94</v>
      </c>
      <c r="C77" s="33"/>
      <c r="D77" s="46">
        <f>+D73</f>
        <v>176978068.61977464</v>
      </c>
      <c r="E77" s="46">
        <f t="shared" ref="E77:G77" si="19">+E73</f>
        <v>178783244.91969636</v>
      </c>
      <c r="F77" s="46">
        <f t="shared" si="19"/>
        <v>230332553.64633051</v>
      </c>
      <c r="G77" s="46">
        <f t="shared" si="19"/>
        <v>235710059.3516435</v>
      </c>
    </row>
    <row r="78" spans="2:7" ht="15.75" x14ac:dyDescent="0.25">
      <c r="B78" s="32" t="s">
        <v>75</v>
      </c>
      <c r="C78" s="33"/>
      <c r="D78" s="46">
        <f t="shared" ref="D78:G78" si="20">+D62</f>
        <v>138802944.34</v>
      </c>
      <c r="E78" s="46">
        <f t="shared" si="20"/>
        <v>139055735.405</v>
      </c>
      <c r="F78" s="46">
        <f t="shared" si="20"/>
        <v>175959388.40700001</v>
      </c>
      <c r="G78" s="46">
        <f t="shared" si="20"/>
        <v>186606348.898</v>
      </c>
    </row>
    <row r="79" spans="2:7" ht="15.75" x14ac:dyDescent="0.25">
      <c r="B79" s="48" t="s">
        <v>77</v>
      </c>
      <c r="C79" s="49"/>
      <c r="D79" s="50">
        <f>+D77-D78</f>
        <v>38175124.279774636</v>
      </c>
      <c r="E79" s="50">
        <f t="shared" ref="E79:G79" si="21">+E77-E78</f>
        <v>39727509.51469636</v>
      </c>
      <c r="F79" s="50">
        <f t="shared" si="21"/>
        <v>54373165.2393305</v>
      </c>
      <c r="G79" s="50">
        <f t="shared" si="21"/>
        <v>49103710.453643501</v>
      </c>
    </row>
    <row r="80" spans="2:7" ht="15.75" x14ac:dyDescent="0.25">
      <c r="B80" s="24"/>
      <c r="C80" s="24"/>
      <c r="D80" s="24"/>
      <c r="E80" s="24"/>
      <c r="F80" s="24"/>
      <c r="G80" s="24"/>
    </row>
    <row r="81" spans="2:7" ht="15.75" x14ac:dyDescent="0.25">
      <c r="B81" s="100" t="s">
        <v>79</v>
      </c>
      <c r="C81" s="101"/>
      <c r="D81" s="47">
        <f>AVERAGE(D79:G79)</f>
        <v>45344877.371861249</v>
      </c>
      <c r="E81" s="24"/>
      <c r="F81" s="24"/>
      <c r="G81" s="24"/>
    </row>
    <row r="83" spans="2:7" x14ac:dyDescent="0.25">
      <c r="B83" s="69" t="s">
        <v>108</v>
      </c>
      <c r="C83" s="69"/>
      <c r="D83" s="76">
        <f>+D66/(D40+D41)</f>
        <v>0.55531478427264458</v>
      </c>
      <c r="E83" s="76">
        <f t="shared" ref="E83:G83" si="22">+E66/(E40+E41)</f>
        <v>0.55668708252353172</v>
      </c>
      <c r="F83" s="76">
        <f t="shared" si="22"/>
        <v>0.45195839718697933</v>
      </c>
      <c r="G83" s="76">
        <f t="shared" si="22"/>
        <v>0.45391791639431306</v>
      </c>
    </row>
    <row r="84" spans="2:7" x14ac:dyDescent="0.25">
      <c r="B84" s="69" t="s">
        <v>109</v>
      </c>
      <c r="C84" s="69"/>
      <c r="D84" s="28">
        <f>+D73/D48</f>
        <v>0.48659037268977207</v>
      </c>
      <c r="E84" s="28">
        <f t="shared" ref="E84:G84" si="23">+E73/E48</f>
        <v>0.4907212922555127</v>
      </c>
      <c r="F84" s="28">
        <f t="shared" si="23"/>
        <v>0.49266590400770571</v>
      </c>
      <c r="G84" s="28">
        <f t="shared" si="23"/>
        <v>0.47242844143400592</v>
      </c>
    </row>
  </sheetData>
  <mergeCells count="8">
    <mergeCell ref="B81:C81"/>
    <mergeCell ref="B38:G38"/>
    <mergeCell ref="B75:G75"/>
    <mergeCell ref="B1:G1"/>
    <mergeCell ref="B3:G3"/>
    <mergeCell ref="B25:G25"/>
    <mergeCell ref="B51:G51"/>
    <mergeCell ref="B64:G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"/>
  <sheetViews>
    <sheetView tabSelected="1" workbookViewId="0">
      <selection activeCell="I17" sqref="I17"/>
    </sheetView>
  </sheetViews>
  <sheetFormatPr baseColWidth="10" defaultRowHeight="15" x14ac:dyDescent="0.25"/>
  <cols>
    <col min="2" max="2" width="39.7109375" customWidth="1"/>
    <col min="3" max="6" width="21.140625" customWidth="1"/>
  </cols>
  <sheetData>
    <row r="3" spans="2:6" ht="15.75" x14ac:dyDescent="0.25">
      <c r="B3" s="106" t="s">
        <v>111</v>
      </c>
      <c r="C3" s="42" t="s">
        <v>112</v>
      </c>
      <c r="D3" s="77" t="s">
        <v>113</v>
      </c>
      <c r="E3" s="78" t="s">
        <v>124</v>
      </c>
      <c r="F3" s="79" t="s">
        <v>125</v>
      </c>
    </row>
    <row r="4" spans="2:6" ht="15.75" x14ac:dyDescent="0.25">
      <c r="B4" s="106"/>
      <c r="C4" s="42" t="s">
        <v>115</v>
      </c>
      <c r="D4" s="77" t="s">
        <v>115</v>
      </c>
      <c r="E4" s="78" t="s">
        <v>115</v>
      </c>
      <c r="F4" s="79" t="s">
        <v>115</v>
      </c>
    </row>
    <row r="5" spans="2:6" ht="15.75" x14ac:dyDescent="0.25">
      <c r="B5" s="82" t="s">
        <v>116</v>
      </c>
      <c r="C5" s="81">
        <f>+'TARIFA DE EQUILIBRIO'!C16</f>
        <v>0.94439563186950648</v>
      </c>
      <c r="D5" s="81">
        <f>+'ESCENARIO T4'!C16</f>
        <v>0.5</v>
      </c>
      <c r="E5" s="81">
        <f>+'ESCENARIO T6'!C16</f>
        <v>0.65</v>
      </c>
      <c r="F5" s="81">
        <f>+'ESCENARIO T8'!C16</f>
        <v>0.45</v>
      </c>
    </row>
    <row r="6" spans="2:6" ht="15.75" x14ac:dyDescent="0.25">
      <c r="B6" s="80" t="s">
        <v>123</v>
      </c>
      <c r="C6" s="81">
        <f>+'TARIFA DE EQUILIBRIO'!C17</f>
        <v>0.35</v>
      </c>
      <c r="D6" s="81">
        <f>+'ESCENARIO T4'!C17</f>
        <v>0.35</v>
      </c>
      <c r="E6" s="81">
        <f>+'ESCENARIO T6'!C17</f>
        <v>0.35</v>
      </c>
      <c r="F6" s="81">
        <f>+'ESCENARIO T8'!C17</f>
        <v>0.35</v>
      </c>
    </row>
    <row r="7" spans="2:6" ht="15.75" x14ac:dyDescent="0.25">
      <c r="B7" s="80" t="s">
        <v>117</v>
      </c>
      <c r="C7" s="81">
        <f>+'TARIFA DE EQUILIBRIO'!C18</f>
        <v>0.31525392392187823</v>
      </c>
      <c r="D7" s="81">
        <f>+'ESCENARIO T4'!C18</f>
        <v>0.19999999999999996</v>
      </c>
      <c r="E7" s="81">
        <f>+'ESCENARIO T6'!C18</f>
        <v>9.9999999999999978E-2</v>
      </c>
      <c r="F7" s="81">
        <f>+'ESCENARIO T8'!C18</f>
        <v>0.14999999999999997</v>
      </c>
    </row>
    <row r="8" spans="2:6" ht="15.75" x14ac:dyDescent="0.25">
      <c r="B8" s="80" t="s">
        <v>118</v>
      </c>
      <c r="C8" s="81">
        <f>+'TARIFA DE EQUILIBRIO'!C19</f>
        <v>0.90964955579138473</v>
      </c>
      <c r="D8" s="81">
        <f>+'ESCENARIO T4'!C19</f>
        <v>0.35</v>
      </c>
      <c r="E8" s="81">
        <f>+'ESCENARIO T6'!C19</f>
        <v>0.4</v>
      </c>
      <c r="F8" s="81">
        <f>+'ESCENARIO T8'!C19</f>
        <v>0.25</v>
      </c>
    </row>
    <row r="9" spans="2:6" ht="15.75" x14ac:dyDescent="0.25">
      <c r="B9" s="80" t="s">
        <v>119</v>
      </c>
      <c r="C9" s="81">
        <f>+'TARIFA DE EQUILIBRIO'!C21</f>
        <v>1.2596495557913847</v>
      </c>
      <c r="D9" s="81">
        <f>+'ESCENARIO T4'!C21</f>
        <v>0.7</v>
      </c>
      <c r="E9" s="81">
        <f>+'ESCENARIO T6'!C21</f>
        <v>0.75</v>
      </c>
      <c r="F9" s="81">
        <f>+'ESCENARIO T8'!C21</f>
        <v>0.6</v>
      </c>
    </row>
    <row r="10" spans="2:6" ht="15.75" x14ac:dyDescent="0.25">
      <c r="B10" s="83"/>
      <c r="C10" s="84"/>
      <c r="D10" s="84"/>
      <c r="E10" s="84"/>
      <c r="F10" s="84"/>
    </row>
    <row r="11" spans="2:6" ht="31.5" x14ac:dyDescent="0.25">
      <c r="B11" s="85" t="s">
        <v>131</v>
      </c>
      <c r="C11" s="42" t="s">
        <v>112</v>
      </c>
      <c r="D11" s="77" t="s">
        <v>113</v>
      </c>
      <c r="E11" s="78" t="s">
        <v>114</v>
      </c>
      <c r="F11" s="79" t="s">
        <v>125</v>
      </c>
    </row>
    <row r="12" spans="2:6" ht="15.75" x14ac:dyDescent="0.25">
      <c r="B12" s="86" t="s">
        <v>120</v>
      </c>
      <c r="C12" s="87">
        <f>AVERAGE('TARIFA DE EQUILIBRIO'!$D$77:$G$77)</f>
        <v>205450981.63436127</v>
      </c>
      <c r="D12" s="87">
        <f>AVERAGE('ESCENARIO T4'!$D$77:$G$77)</f>
        <v>205450981.63436127</v>
      </c>
      <c r="E12" s="87">
        <f>AVERAGE('ESCENARIO T6'!$D$77:$G$77)</f>
        <v>205450981.63436127</v>
      </c>
      <c r="F12" s="87">
        <f>AVERAGE('ESCENARIO T8'!$D$77:$G$77)</f>
        <v>205450981.63436127</v>
      </c>
    </row>
    <row r="13" spans="2:6" ht="15.75" x14ac:dyDescent="0.25">
      <c r="B13" s="86" t="s">
        <v>121</v>
      </c>
      <c r="C13" s="87">
        <f>AVERAGE('TARIFA DE EQUILIBRIO'!$D$78:$G$78)</f>
        <v>205450981.63436091</v>
      </c>
      <c r="D13" s="87">
        <f>AVERAGE('ESCENARIO T4'!$D$78:$G$78)</f>
        <v>157497520.77250001</v>
      </c>
      <c r="E13" s="87">
        <f>AVERAGE('ESCENARIO T6'!$D$78:$G$78)</f>
        <v>155984738.92000002</v>
      </c>
      <c r="F13" s="87">
        <f>AVERAGE('ESCENARIO T8'!$D$78:$G$78)</f>
        <v>160106104.26249999</v>
      </c>
    </row>
    <row r="14" spans="2:6" ht="15.75" x14ac:dyDescent="0.25">
      <c r="B14" s="88" t="s">
        <v>122</v>
      </c>
      <c r="C14" s="89">
        <f>+C12-C13</f>
        <v>3.5762786865234375E-7</v>
      </c>
      <c r="D14" s="89">
        <f t="shared" ref="D14:F14" si="0">+D12-D13</f>
        <v>47953460.861861259</v>
      </c>
      <c r="E14" s="89">
        <f t="shared" si="0"/>
        <v>49466242.71436125</v>
      </c>
      <c r="F14" s="89">
        <f t="shared" si="0"/>
        <v>45344877.371861279</v>
      </c>
    </row>
  </sheetData>
  <mergeCells count="1">
    <mergeCell ref="B3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8"/>
  <sheetViews>
    <sheetView topLeftCell="A22" zoomScale="85" zoomScaleNormal="85" workbookViewId="0">
      <selection activeCell="B84" sqref="B84"/>
    </sheetView>
  </sheetViews>
  <sheetFormatPr baseColWidth="10" defaultRowHeight="15" x14ac:dyDescent="0.25"/>
  <cols>
    <col min="1" max="1" width="7.5703125" style="1" customWidth="1"/>
    <col min="2" max="2" width="45.42578125" style="1" customWidth="1"/>
    <col min="3" max="3" width="15.5703125" style="1" customWidth="1"/>
    <col min="4" max="13" width="20.85546875" style="1" customWidth="1"/>
    <col min="14" max="16384" width="11.42578125" style="1"/>
  </cols>
  <sheetData>
    <row r="1" spans="2:13" ht="15.75" x14ac:dyDescent="0.25">
      <c r="B1" s="102" t="s">
        <v>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15.75" x14ac:dyDescent="0.25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ht="15.75" x14ac:dyDescent="0.25">
      <c r="B3" s="103" t="s">
        <v>53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2:13" x14ac:dyDescent="0.25">
      <c r="B4" s="3" t="s">
        <v>45</v>
      </c>
      <c r="C4" s="4">
        <v>2020</v>
      </c>
      <c r="D4" s="4">
        <v>2021</v>
      </c>
      <c r="E4" s="4">
        <v>2022</v>
      </c>
      <c r="F4" s="4">
        <v>2023</v>
      </c>
      <c r="G4" s="4">
        <v>2024</v>
      </c>
      <c r="H4" s="4">
        <v>2025</v>
      </c>
      <c r="I4" s="4">
        <v>2026</v>
      </c>
      <c r="J4" s="4">
        <v>2027</v>
      </c>
      <c r="K4" s="4">
        <v>2028</v>
      </c>
      <c r="L4" s="4">
        <v>2029</v>
      </c>
      <c r="M4" s="4">
        <v>2030</v>
      </c>
    </row>
    <row r="5" spans="2:13" ht="15.75" x14ac:dyDescent="0.25">
      <c r="B5" s="32" t="s">
        <v>46</v>
      </c>
      <c r="C5" s="33"/>
      <c r="D5" s="40">
        <f>+'Datos Generales'!C33</f>
        <v>44432588.419774629</v>
      </c>
      <c r="E5" s="40">
        <f>+'Datos Generales'!D33</f>
        <v>44885800.821656354</v>
      </c>
      <c r="F5" s="40">
        <f>+'Datos Generales'!E33</f>
        <v>45343635.99003724</v>
      </c>
      <c r="G5" s="40">
        <f>+'Datos Generales'!F33</f>
        <v>45806141.077135608</v>
      </c>
      <c r="H5" s="40" t="e">
        <f>+'Datos Generales'!#REF!</f>
        <v>#REF!</v>
      </c>
      <c r="I5" s="40" t="e">
        <f>+'Datos Generales'!#REF!</f>
        <v>#REF!</v>
      </c>
      <c r="J5" s="40" t="e">
        <f>+'Datos Generales'!#REF!</f>
        <v>#REF!</v>
      </c>
      <c r="K5" s="40" t="e">
        <f>+'Datos Generales'!#REF!</f>
        <v>#REF!</v>
      </c>
      <c r="L5" s="40" t="e">
        <f>+'Datos Generales'!#REF!</f>
        <v>#REF!</v>
      </c>
      <c r="M5" s="40" t="e">
        <f>+'Datos Generales'!#REF!</f>
        <v>#REF!</v>
      </c>
    </row>
    <row r="6" spans="2:13" ht="15.75" x14ac:dyDescent="0.25">
      <c r="B6" s="32" t="s">
        <v>47</v>
      </c>
      <c r="C6" s="33"/>
      <c r="D6" s="40">
        <f>+'Datos Generales'!C44</f>
        <v>53230160.200000003</v>
      </c>
      <c r="E6" s="40">
        <f>+'Datos Generales'!D44</f>
        <v>53773107.834040001</v>
      </c>
      <c r="F6" s="40">
        <f>+'Datos Generales'!E44</f>
        <v>54321593.533947207</v>
      </c>
      <c r="G6" s="40">
        <f>+'Datos Generales'!F44</f>
        <v>27437836.893996734</v>
      </c>
      <c r="H6" s="40" t="e">
        <f>+'Datos Generales'!#REF!</f>
        <v>#REF!</v>
      </c>
      <c r="I6" s="40" t="e">
        <f>+'Datos Generales'!#REF!</f>
        <v>#REF!</v>
      </c>
      <c r="J6" s="40" t="e">
        <f>+'Datos Generales'!#REF!</f>
        <v>#REF!</v>
      </c>
      <c r="K6" s="40" t="e">
        <f>+'Datos Generales'!#REF!</f>
        <v>#REF!</v>
      </c>
      <c r="L6" s="40" t="e">
        <f>+'Datos Generales'!#REF!</f>
        <v>#REF!</v>
      </c>
      <c r="M6" s="40" t="e">
        <f>+'Datos Generales'!#REF!</f>
        <v>#REF!</v>
      </c>
    </row>
    <row r="7" spans="2:13" ht="15.75" x14ac:dyDescent="0.25">
      <c r="B7" s="32" t="s">
        <v>48</v>
      </c>
      <c r="C7" s="33"/>
      <c r="D7" s="40">
        <f>+'Datos Generales'!C54</f>
        <v>49942200</v>
      </c>
      <c r="E7" s="40">
        <f>+'Datos Generales'!D54</f>
        <v>50451610.439999998</v>
      </c>
      <c r="F7" s="40">
        <f>+'Datos Generales'!E54</f>
        <v>44942936.691357598</v>
      </c>
      <c r="G7" s="40">
        <f>+'Datos Generales'!F54</f>
        <v>45401354.645609438</v>
      </c>
      <c r="H7" s="40" t="e">
        <f>+'Datos Generales'!#REF!</f>
        <v>#REF!</v>
      </c>
      <c r="I7" s="40" t="e">
        <f>+'Datos Generales'!#REF!</f>
        <v>#REF!</v>
      </c>
      <c r="J7" s="40" t="e">
        <f>+'Datos Generales'!#REF!</f>
        <v>#REF!</v>
      </c>
      <c r="K7" s="40" t="e">
        <f>+'Datos Generales'!#REF!</f>
        <v>#REF!</v>
      </c>
      <c r="L7" s="40" t="e">
        <f>+'Datos Generales'!#REF!</f>
        <v>#REF!</v>
      </c>
      <c r="M7" s="40" t="e">
        <f>+'Datos Generales'!#REF!</f>
        <v>#REF!</v>
      </c>
    </row>
    <row r="8" spans="2:13" ht="15.75" x14ac:dyDescent="0.25">
      <c r="B8" s="32" t="s">
        <v>49</v>
      </c>
      <c r="C8" s="33"/>
      <c r="D8" s="40">
        <f>+'Datos Generales'!C64</f>
        <v>0</v>
      </c>
      <c r="E8" s="40">
        <f>+'Datos Generales'!D64</f>
        <v>0</v>
      </c>
      <c r="F8" s="40">
        <f>+'Datos Generales'!E64</f>
        <v>22000245.381248619</v>
      </c>
      <c r="G8" s="40">
        <f>+'Datos Generales'!F64</f>
        <v>49662484.778134093</v>
      </c>
      <c r="H8" s="40" t="e">
        <f>+'Datos Generales'!#REF!</f>
        <v>#REF!</v>
      </c>
      <c r="I8" s="40" t="e">
        <f>+'Datos Generales'!#REF!</f>
        <v>#REF!</v>
      </c>
      <c r="J8" s="40" t="e">
        <f>+'Datos Generales'!#REF!</f>
        <v>#REF!</v>
      </c>
      <c r="K8" s="40" t="e">
        <f>+'Datos Generales'!#REF!</f>
        <v>#REF!</v>
      </c>
      <c r="L8" s="40" t="e">
        <f>+'Datos Generales'!#REF!</f>
        <v>#REF!</v>
      </c>
      <c r="M8" s="40" t="e">
        <f>+'Datos Generales'!#REF!</f>
        <v>#REF!</v>
      </c>
    </row>
    <row r="9" spans="2:13" ht="15.75" x14ac:dyDescent="0.25">
      <c r="B9" s="32" t="s">
        <v>50</v>
      </c>
      <c r="C9" s="33"/>
      <c r="D9" s="40" t="str">
        <f>+'Datos Generales'!C74</f>
        <v/>
      </c>
      <c r="E9" s="40">
        <f>+'Datos Generales'!D74</f>
        <v>0</v>
      </c>
      <c r="F9" s="40">
        <f>+'Datos Generales'!E74</f>
        <v>29252446.278224315</v>
      </c>
      <c r="G9" s="40">
        <f>+'Datos Generales'!F74</f>
        <v>29550821.230262209</v>
      </c>
      <c r="H9" s="40" t="e">
        <f>+'Datos Generales'!#REF!</f>
        <v>#REF!</v>
      </c>
      <c r="I9" s="40" t="e">
        <f>+'Datos Generales'!#REF!</f>
        <v>#REF!</v>
      </c>
      <c r="J9" s="40" t="e">
        <f>+'Datos Generales'!#REF!</f>
        <v>#REF!</v>
      </c>
      <c r="K9" s="40" t="e">
        <f>+'Datos Generales'!#REF!</f>
        <v>#REF!</v>
      </c>
      <c r="L9" s="40" t="e">
        <f>+'Datos Generales'!#REF!</f>
        <v>#REF!</v>
      </c>
      <c r="M9" s="40" t="e">
        <f>+'Datos Generales'!#REF!</f>
        <v>#REF!</v>
      </c>
    </row>
    <row r="10" spans="2:13" ht="15.75" x14ac:dyDescent="0.25">
      <c r="B10" s="32" t="s">
        <v>51</v>
      </c>
      <c r="C10" s="33"/>
      <c r="D10" s="40">
        <f>+'Datos Generales'!C84</f>
        <v>0</v>
      </c>
      <c r="E10" s="40">
        <f>+'Datos Generales'!D84</f>
        <v>0</v>
      </c>
      <c r="F10" s="40">
        <f>+'Datos Generales'!E84</f>
        <v>0</v>
      </c>
      <c r="G10" s="40">
        <f>+'Datos Generales'!F84</f>
        <v>0</v>
      </c>
      <c r="H10" s="40" t="e">
        <f>+'Datos Generales'!#REF!</f>
        <v>#REF!</v>
      </c>
      <c r="I10" s="40" t="e">
        <f>+'Datos Generales'!#REF!</f>
        <v>#REF!</v>
      </c>
      <c r="J10" s="40" t="e">
        <f>+'Datos Generales'!#REF!</f>
        <v>#REF!</v>
      </c>
      <c r="K10" s="40" t="e">
        <f>+'Datos Generales'!#REF!</f>
        <v>#REF!</v>
      </c>
      <c r="L10" s="40" t="e">
        <f>+'Datos Generales'!#REF!</f>
        <v>#REF!</v>
      </c>
      <c r="M10" s="40" t="e">
        <f>+'Datos Generales'!#REF!</f>
        <v>#REF!</v>
      </c>
    </row>
    <row r="11" spans="2:13" ht="15.75" x14ac:dyDescent="0.25">
      <c r="B11" s="34" t="s">
        <v>52</v>
      </c>
      <c r="C11" s="35"/>
      <c r="D11" s="41">
        <f>SUM(D5:D10)</f>
        <v>147604948.61977464</v>
      </c>
      <c r="E11" s="41">
        <f t="shared" ref="E11:M11" si="0">SUM(E5:E10)</f>
        <v>149110519.09569636</v>
      </c>
      <c r="F11" s="41">
        <f t="shared" si="0"/>
        <v>195860857.87481499</v>
      </c>
      <c r="G11" s="41">
        <f t="shared" si="0"/>
        <v>197858638.6251381</v>
      </c>
      <c r="H11" s="41" t="e">
        <f t="shared" si="0"/>
        <v>#REF!</v>
      </c>
      <c r="I11" s="41" t="e">
        <f t="shared" si="0"/>
        <v>#REF!</v>
      </c>
      <c r="J11" s="41" t="e">
        <f t="shared" si="0"/>
        <v>#REF!</v>
      </c>
      <c r="K11" s="41" t="e">
        <f t="shared" si="0"/>
        <v>#REF!</v>
      </c>
      <c r="L11" s="41" t="e">
        <f t="shared" si="0"/>
        <v>#REF!</v>
      </c>
      <c r="M11" s="41" t="e">
        <f t="shared" si="0"/>
        <v>#REF!</v>
      </c>
    </row>
    <row r="12" spans="2:13" ht="15.75" x14ac:dyDescent="0.25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2:13" ht="15.75" x14ac:dyDescent="0.25">
      <c r="B13" s="55" t="s">
        <v>83</v>
      </c>
      <c r="C13" s="55" t="s">
        <v>0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2:13" ht="15.75" x14ac:dyDescent="0.2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3" ht="15.75" x14ac:dyDescent="0.25">
      <c r="B15" s="42" t="s">
        <v>55</v>
      </c>
      <c r="C15" s="42" t="s">
        <v>59</v>
      </c>
      <c r="D15" s="42" t="s">
        <v>26</v>
      </c>
      <c r="E15" s="70"/>
      <c r="G15" s="70"/>
      <c r="H15" s="70"/>
      <c r="I15" s="70"/>
      <c r="J15" s="70"/>
      <c r="K15" s="70"/>
      <c r="L15" s="70"/>
      <c r="M15" s="70"/>
    </row>
    <row r="16" spans="2:13" ht="15.75" x14ac:dyDescent="0.25">
      <c r="B16" s="32" t="s">
        <v>56</v>
      </c>
      <c r="C16" s="43" t="e">
        <f>LOOKUP($C$13,#REF!,#REF!)</f>
        <v>#REF!</v>
      </c>
      <c r="D16" s="54" t="e">
        <f>+C16*0.9</f>
        <v>#REF!</v>
      </c>
      <c r="E16" s="70"/>
      <c r="F16" s="70"/>
      <c r="G16" s="70"/>
      <c r="H16" s="70"/>
      <c r="I16" s="70"/>
      <c r="J16" s="70"/>
      <c r="K16" s="70"/>
      <c r="L16" s="70"/>
      <c r="M16" s="70"/>
    </row>
    <row r="17" spans="2:13" ht="15.75" x14ac:dyDescent="0.25">
      <c r="B17" s="32" t="s">
        <v>31</v>
      </c>
      <c r="C17" s="43" t="e">
        <f>LOOKUP($C$13,#REF!,#REF!)</f>
        <v>#REF!</v>
      </c>
      <c r="D17" s="54" t="e">
        <f t="shared" ref="D17:D22" si="1">+C17*0.9</f>
        <v>#REF!</v>
      </c>
      <c r="E17" s="70"/>
      <c r="F17" s="70"/>
      <c r="G17" s="70"/>
      <c r="H17" s="70"/>
      <c r="I17" s="70"/>
      <c r="J17" s="70"/>
      <c r="K17" s="70"/>
      <c r="L17" s="70"/>
      <c r="M17" s="70"/>
    </row>
    <row r="18" spans="2:13" ht="15.75" x14ac:dyDescent="0.25">
      <c r="B18" s="32" t="s">
        <v>57</v>
      </c>
      <c r="C18" s="43" t="e">
        <f>+C21-C16</f>
        <v>#REF!</v>
      </c>
      <c r="D18" s="54" t="e">
        <f t="shared" si="1"/>
        <v>#REF!</v>
      </c>
      <c r="E18" s="70"/>
      <c r="F18" s="70"/>
      <c r="G18" s="70"/>
      <c r="H18" s="70"/>
      <c r="I18" s="70"/>
      <c r="J18" s="70"/>
      <c r="K18" s="70"/>
      <c r="L18" s="70"/>
      <c r="M18" s="70"/>
    </row>
    <row r="19" spans="2:13" ht="15.75" x14ac:dyDescent="0.25">
      <c r="B19" s="32" t="s">
        <v>58</v>
      </c>
      <c r="C19" s="43" t="e">
        <f>+C21-C17</f>
        <v>#REF!</v>
      </c>
      <c r="D19" s="54" t="e">
        <f t="shared" si="1"/>
        <v>#REF!</v>
      </c>
      <c r="E19" s="70"/>
      <c r="F19" s="70"/>
      <c r="G19" s="60"/>
      <c r="H19" s="70"/>
      <c r="I19" s="70"/>
      <c r="J19" s="70"/>
      <c r="K19" s="70"/>
      <c r="L19" s="70"/>
      <c r="M19" s="70"/>
    </row>
    <row r="20" spans="2:13" ht="15.75" x14ac:dyDescent="0.25">
      <c r="B20" s="32" t="s">
        <v>81</v>
      </c>
      <c r="C20" s="43" t="e">
        <f>AVERAGE(C18:C19)</f>
        <v>#REF!</v>
      </c>
      <c r="D20" s="54" t="e">
        <f t="shared" si="1"/>
        <v>#REF!</v>
      </c>
      <c r="E20" s="70"/>
      <c r="F20" s="70"/>
      <c r="G20" s="70"/>
      <c r="H20" s="70"/>
      <c r="I20" s="70"/>
      <c r="J20" s="70"/>
      <c r="K20" s="70"/>
      <c r="L20" s="70"/>
      <c r="M20" s="70"/>
    </row>
    <row r="21" spans="2:13" ht="15.75" x14ac:dyDescent="0.25">
      <c r="B21" s="32" t="s">
        <v>33</v>
      </c>
      <c r="C21" s="43" t="e">
        <f>LOOKUP(C13,#REF!,#REF!)</f>
        <v>#REF!</v>
      </c>
      <c r="D21" s="54" t="e">
        <f t="shared" si="1"/>
        <v>#REF!</v>
      </c>
      <c r="E21" s="70"/>
      <c r="F21" s="70"/>
      <c r="G21" s="70"/>
      <c r="H21" s="70"/>
      <c r="I21" s="70"/>
      <c r="J21" s="70"/>
      <c r="K21" s="70"/>
      <c r="L21" s="70"/>
      <c r="M21" s="70"/>
    </row>
    <row r="22" spans="2:13" ht="15.75" x14ac:dyDescent="0.25">
      <c r="B22" s="32" t="s">
        <v>32</v>
      </c>
      <c r="C22" s="43" t="e">
        <f>LOOKUP(C13,#REF!,#REF!)</f>
        <v>#REF!</v>
      </c>
      <c r="D22" s="54" t="e">
        <f t="shared" si="1"/>
        <v>#REF!</v>
      </c>
      <c r="E22" s="70"/>
      <c r="F22" s="70"/>
      <c r="G22" s="70"/>
      <c r="H22" s="70"/>
      <c r="I22" s="70"/>
      <c r="J22" s="70"/>
      <c r="K22" s="70"/>
      <c r="L22" s="70"/>
      <c r="M22" s="70"/>
    </row>
    <row r="23" spans="2:13" ht="15.75" x14ac:dyDescent="0.25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2:13" ht="15.75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ht="15.75" x14ac:dyDescent="0.25">
      <c r="B25" s="104" t="s">
        <v>64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26" spans="2:13" x14ac:dyDescent="0.25">
      <c r="B26" s="3" t="s">
        <v>64</v>
      </c>
      <c r="C26" s="4">
        <v>2020</v>
      </c>
      <c r="D26" s="4">
        <v>2021</v>
      </c>
      <c r="E26" s="4">
        <v>2022</v>
      </c>
      <c r="F26" s="4">
        <v>2023</v>
      </c>
      <c r="G26" s="4">
        <v>2024</v>
      </c>
      <c r="H26" s="4">
        <v>2025</v>
      </c>
      <c r="I26" s="4">
        <v>2026</v>
      </c>
      <c r="J26" s="4">
        <v>2027</v>
      </c>
      <c r="K26" s="4">
        <v>2028</v>
      </c>
      <c r="L26" s="4">
        <v>2029</v>
      </c>
      <c r="M26" s="4">
        <v>2030</v>
      </c>
    </row>
    <row r="27" spans="2:13" ht="15.75" x14ac:dyDescent="0.25">
      <c r="B27" s="32" t="s">
        <v>60</v>
      </c>
      <c r="C27" s="56"/>
      <c r="D27" s="57" t="e">
        <f>LOOKUP($C$13,#REF!,#REF!)</f>
        <v>#REF!</v>
      </c>
      <c r="E27" s="57" t="e">
        <f>LOOKUP($C$13,#REF!,#REF!)</f>
        <v>#REF!</v>
      </c>
      <c r="F27" s="57" t="e">
        <f>LOOKUP($C$13,#REF!,#REF!)</f>
        <v>#REF!</v>
      </c>
      <c r="G27" s="57" t="e">
        <f>LOOKUP($C$13,#REF!,#REF!)</f>
        <v>#REF!</v>
      </c>
      <c r="H27" s="57" t="e">
        <f>LOOKUP($C$13,#REF!,#REF!)</f>
        <v>#REF!</v>
      </c>
      <c r="I27" s="57"/>
      <c r="J27" s="57"/>
      <c r="K27" s="57"/>
      <c r="L27" s="57"/>
      <c r="M27" s="57"/>
    </row>
    <row r="28" spans="2:13" ht="15.75" x14ac:dyDescent="0.25">
      <c r="B28" s="32" t="s">
        <v>61</v>
      </c>
      <c r="C28" s="56"/>
      <c r="D28" s="57" t="e">
        <f>LOOKUP($C$13,#REF!,#REF!)</f>
        <v>#REF!</v>
      </c>
      <c r="E28" s="57" t="e">
        <f>LOOKUP($C$13,#REF!,#REF!)</f>
        <v>#REF!</v>
      </c>
      <c r="F28" s="57" t="e">
        <f>LOOKUP($C$13,#REF!,#REF!)</f>
        <v>#REF!</v>
      </c>
      <c r="G28" s="57" t="e">
        <f>LOOKUP($C$13,#REF!,#REF!)</f>
        <v>#REF!</v>
      </c>
      <c r="H28" s="57" t="e">
        <f>LOOKUP($C$13,#REF!,#REF!)</f>
        <v>#REF!</v>
      </c>
      <c r="I28" s="57"/>
      <c r="J28" s="57"/>
      <c r="K28" s="57"/>
      <c r="L28" s="57"/>
      <c r="M28" s="57"/>
    </row>
    <row r="29" spans="2:13" ht="15.75" x14ac:dyDescent="0.25">
      <c r="B29" s="32" t="s">
        <v>70</v>
      </c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2:13" ht="15.75" x14ac:dyDescent="0.25">
      <c r="B30" s="32" t="s">
        <v>71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2:13" ht="15.75" x14ac:dyDescent="0.25">
      <c r="B31" s="32" t="s">
        <v>62</v>
      </c>
      <c r="C31" s="56"/>
      <c r="D31" s="57">
        <f>+'Datos Generales'!C79*723</f>
        <v>0</v>
      </c>
      <c r="E31" s="57">
        <f>+'Datos Generales'!D79*723</f>
        <v>0</v>
      </c>
      <c r="F31" s="57">
        <f>+'Datos Generales'!E79*723</f>
        <v>0</v>
      </c>
      <c r="G31" s="57">
        <f>+'Datos Generales'!F79*723</f>
        <v>0</v>
      </c>
      <c r="H31" s="57" t="e">
        <f>+'Datos Generales'!#REF!*723</f>
        <v>#REF!</v>
      </c>
      <c r="I31" s="57"/>
      <c r="J31" s="57"/>
      <c r="K31" s="57"/>
      <c r="L31" s="57"/>
      <c r="M31" s="57"/>
    </row>
    <row r="32" spans="2:13" ht="15.75" x14ac:dyDescent="0.25">
      <c r="B32" s="32" t="s">
        <v>99</v>
      </c>
      <c r="C32" s="56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2:13" ht="15.75" x14ac:dyDescent="0.25">
      <c r="B33" s="34" t="s">
        <v>63</v>
      </c>
      <c r="C33" s="35"/>
      <c r="D33" s="58" t="e">
        <f t="shared" ref="D33:M33" si="2">SUM(D27:D31)</f>
        <v>#REF!</v>
      </c>
      <c r="E33" s="58" t="e">
        <f t="shared" si="2"/>
        <v>#REF!</v>
      </c>
      <c r="F33" s="58" t="e">
        <f t="shared" si="2"/>
        <v>#REF!</v>
      </c>
      <c r="G33" s="58" t="e">
        <f t="shared" si="2"/>
        <v>#REF!</v>
      </c>
      <c r="H33" s="58" t="e">
        <f t="shared" si="2"/>
        <v>#REF!</v>
      </c>
      <c r="I33" s="44">
        <f t="shared" si="2"/>
        <v>0</v>
      </c>
      <c r="J33" s="44">
        <f t="shared" si="2"/>
        <v>0</v>
      </c>
      <c r="K33" s="44">
        <f t="shared" si="2"/>
        <v>0</v>
      </c>
      <c r="L33" s="44">
        <f t="shared" si="2"/>
        <v>0</v>
      </c>
      <c r="M33" s="44">
        <f t="shared" si="2"/>
        <v>0</v>
      </c>
    </row>
    <row r="34" spans="2:13" ht="15.75" x14ac:dyDescent="0.2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2:13" ht="15.75" x14ac:dyDescent="0.25">
      <c r="B35" s="33" t="s">
        <v>91</v>
      </c>
      <c r="C35" s="33">
        <v>317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 ht="15.75" x14ac:dyDescent="0.25">
      <c r="B36" s="104" t="s">
        <v>90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2:13" x14ac:dyDescent="0.25">
      <c r="B37" s="3" t="s">
        <v>64</v>
      </c>
      <c r="C37" s="4">
        <v>2020</v>
      </c>
      <c r="D37" s="4">
        <v>2021</v>
      </c>
      <c r="E37" s="4">
        <v>2022</v>
      </c>
      <c r="F37" s="4">
        <v>2023</v>
      </c>
      <c r="G37" s="4">
        <v>2024</v>
      </c>
      <c r="H37" s="4">
        <v>2025</v>
      </c>
      <c r="I37" s="4">
        <v>2026</v>
      </c>
      <c r="J37" s="4">
        <v>2027</v>
      </c>
      <c r="K37" s="4">
        <v>2028</v>
      </c>
      <c r="L37" s="4">
        <v>2029</v>
      </c>
      <c r="M37" s="4">
        <v>2030</v>
      </c>
    </row>
    <row r="38" spans="2:13" ht="15.75" x14ac:dyDescent="0.25">
      <c r="B38" s="32" t="s">
        <v>60</v>
      </c>
      <c r="C38" s="56"/>
      <c r="D38" s="57" t="e">
        <f>+D27*$C$35</f>
        <v>#REF!</v>
      </c>
      <c r="E38" s="57" t="e">
        <f t="shared" ref="E38:M38" si="3">+E27*$C$35</f>
        <v>#REF!</v>
      </c>
      <c r="F38" s="57" t="e">
        <f t="shared" si="3"/>
        <v>#REF!</v>
      </c>
      <c r="G38" s="57" t="e">
        <f t="shared" si="3"/>
        <v>#REF!</v>
      </c>
      <c r="H38" s="57" t="e">
        <f t="shared" si="3"/>
        <v>#REF!</v>
      </c>
      <c r="I38" s="57">
        <f>+I27*$C$35</f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</row>
    <row r="39" spans="2:13" ht="15.75" x14ac:dyDescent="0.25">
      <c r="B39" s="32" t="s">
        <v>61</v>
      </c>
      <c r="C39" s="56"/>
      <c r="D39" s="57" t="e">
        <f t="shared" ref="D39:M43" si="4">+D28*$C$35</f>
        <v>#REF!</v>
      </c>
      <c r="E39" s="57" t="e">
        <f t="shared" si="4"/>
        <v>#REF!</v>
      </c>
      <c r="F39" s="57" t="e">
        <f t="shared" si="4"/>
        <v>#REF!</v>
      </c>
      <c r="G39" s="57" t="e">
        <f t="shared" si="4"/>
        <v>#REF!</v>
      </c>
      <c r="H39" s="57" t="e">
        <f t="shared" si="4"/>
        <v>#REF!</v>
      </c>
      <c r="I39" s="57">
        <f t="shared" si="4"/>
        <v>0</v>
      </c>
      <c r="J39" s="57">
        <f t="shared" si="4"/>
        <v>0</v>
      </c>
      <c r="K39" s="57">
        <f t="shared" si="4"/>
        <v>0</v>
      </c>
      <c r="L39" s="57">
        <f t="shared" si="4"/>
        <v>0</v>
      </c>
      <c r="M39" s="57">
        <f t="shared" si="4"/>
        <v>0</v>
      </c>
    </row>
    <row r="40" spans="2:13" ht="15.75" x14ac:dyDescent="0.25">
      <c r="B40" s="32" t="s">
        <v>70</v>
      </c>
      <c r="C40" s="56"/>
      <c r="D40" s="57">
        <f t="shared" si="4"/>
        <v>0</v>
      </c>
      <c r="E40" s="57">
        <f t="shared" si="4"/>
        <v>0</v>
      </c>
      <c r="F40" s="57">
        <f t="shared" si="4"/>
        <v>0</v>
      </c>
      <c r="G40" s="57">
        <f t="shared" si="4"/>
        <v>0</v>
      </c>
      <c r="H40" s="57">
        <f t="shared" si="4"/>
        <v>0</v>
      </c>
      <c r="I40" s="57">
        <f t="shared" si="4"/>
        <v>0</v>
      </c>
      <c r="J40" s="57">
        <f t="shared" si="4"/>
        <v>0</v>
      </c>
      <c r="K40" s="57">
        <f t="shared" si="4"/>
        <v>0</v>
      </c>
      <c r="L40" s="57">
        <f t="shared" si="4"/>
        <v>0</v>
      </c>
      <c r="M40" s="57">
        <f t="shared" si="4"/>
        <v>0</v>
      </c>
    </row>
    <row r="41" spans="2:13" ht="15.75" x14ac:dyDescent="0.25">
      <c r="B41" s="32" t="s">
        <v>71</v>
      </c>
      <c r="C41" s="56"/>
      <c r="D41" s="57">
        <f t="shared" si="4"/>
        <v>0</v>
      </c>
      <c r="E41" s="57">
        <f t="shared" si="4"/>
        <v>0</v>
      </c>
      <c r="F41" s="57">
        <f t="shared" si="4"/>
        <v>0</v>
      </c>
      <c r="G41" s="57">
        <f t="shared" si="4"/>
        <v>0</v>
      </c>
      <c r="H41" s="57">
        <f t="shared" si="4"/>
        <v>0</v>
      </c>
      <c r="I41" s="57">
        <f t="shared" si="4"/>
        <v>0</v>
      </c>
      <c r="J41" s="57">
        <f t="shared" si="4"/>
        <v>0</v>
      </c>
      <c r="K41" s="57">
        <f t="shared" si="4"/>
        <v>0</v>
      </c>
      <c r="L41" s="57">
        <f t="shared" si="4"/>
        <v>0</v>
      </c>
      <c r="M41" s="57">
        <f t="shared" si="4"/>
        <v>0</v>
      </c>
    </row>
    <row r="42" spans="2:13" ht="15.75" x14ac:dyDescent="0.25">
      <c r="B42" s="32" t="s">
        <v>62</v>
      </c>
      <c r="C42" s="56"/>
      <c r="D42" s="57">
        <f t="shared" si="4"/>
        <v>0</v>
      </c>
      <c r="E42" s="57">
        <f t="shared" si="4"/>
        <v>0</v>
      </c>
      <c r="F42" s="57">
        <f t="shared" si="4"/>
        <v>0</v>
      </c>
      <c r="G42" s="57">
        <f t="shared" si="4"/>
        <v>0</v>
      </c>
      <c r="H42" s="57" t="e">
        <f t="shared" si="4"/>
        <v>#REF!</v>
      </c>
      <c r="I42" s="57">
        <f t="shared" si="4"/>
        <v>0</v>
      </c>
      <c r="J42" s="57">
        <f t="shared" si="4"/>
        <v>0</v>
      </c>
      <c r="K42" s="57">
        <f t="shared" si="4"/>
        <v>0</v>
      </c>
      <c r="L42" s="57">
        <f t="shared" si="4"/>
        <v>0</v>
      </c>
      <c r="M42" s="57">
        <f t="shared" si="4"/>
        <v>0</v>
      </c>
    </row>
    <row r="43" spans="2:13" ht="15.75" x14ac:dyDescent="0.25">
      <c r="B43" s="32" t="s">
        <v>99</v>
      </c>
      <c r="C43" s="56"/>
      <c r="D43" s="57">
        <f t="shared" si="4"/>
        <v>0</v>
      </c>
      <c r="E43" s="57">
        <f t="shared" si="4"/>
        <v>0</v>
      </c>
      <c r="F43" s="57">
        <f t="shared" si="4"/>
        <v>0</v>
      </c>
      <c r="G43" s="57">
        <f t="shared" si="4"/>
        <v>0</v>
      </c>
      <c r="H43" s="57">
        <f t="shared" si="4"/>
        <v>0</v>
      </c>
      <c r="I43" s="57">
        <f t="shared" si="4"/>
        <v>0</v>
      </c>
      <c r="J43" s="57"/>
      <c r="K43" s="57"/>
      <c r="L43" s="57"/>
      <c r="M43" s="57"/>
    </row>
    <row r="44" spans="2:13" ht="15.75" x14ac:dyDescent="0.25">
      <c r="B44" s="34" t="s">
        <v>63</v>
      </c>
      <c r="C44" s="35"/>
      <c r="D44" s="58" t="e">
        <f t="shared" ref="D44:M44" si="5">SUM(D38:D42)</f>
        <v>#REF!</v>
      </c>
      <c r="E44" s="58" t="e">
        <f t="shared" si="5"/>
        <v>#REF!</v>
      </c>
      <c r="F44" s="58" t="e">
        <f t="shared" si="5"/>
        <v>#REF!</v>
      </c>
      <c r="G44" s="58" t="e">
        <f t="shared" si="5"/>
        <v>#REF!</v>
      </c>
      <c r="H44" s="58" t="e">
        <f t="shared" si="5"/>
        <v>#REF!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</row>
    <row r="45" spans="2:13" ht="15.75" x14ac:dyDescent="0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2:13" ht="15.75" x14ac:dyDescent="0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  <row r="47" spans="2:13" ht="15.75" x14ac:dyDescent="0.25">
      <c r="B47" s="104" t="s">
        <v>92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2:13" x14ac:dyDescent="0.25">
      <c r="B48" s="3" t="s">
        <v>65</v>
      </c>
      <c r="C48" s="4">
        <v>2020</v>
      </c>
      <c r="D48" s="4">
        <v>2021</v>
      </c>
      <c r="E48" s="4">
        <v>2022</v>
      </c>
      <c r="F48" s="4">
        <v>2023</v>
      </c>
      <c r="G48" s="4">
        <v>2024</v>
      </c>
      <c r="H48" s="4">
        <v>2025</v>
      </c>
      <c r="I48" s="4">
        <v>2026</v>
      </c>
      <c r="J48" s="4">
        <v>2027</v>
      </c>
      <c r="K48" s="4">
        <v>2028</v>
      </c>
      <c r="L48" s="4">
        <v>2029</v>
      </c>
      <c r="M48" s="4">
        <v>2030</v>
      </c>
    </row>
    <row r="49" spans="2:13" ht="15.75" x14ac:dyDescent="0.25">
      <c r="B49" s="32" t="s">
        <v>66</v>
      </c>
      <c r="C49" s="33"/>
      <c r="D49" s="40" t="e">
        <f>+D38*$D$16</f>
        <v>#REF!</v>
      </c>
      <c r="E49" s="40" t="e">
        <f t="shared" ref="E49:H49" si="6">+E38*$D$16</f>
        <v>#REF!</v>
      </c>
      <c r="F49" s="40" t="e">
        <f t="shared" si="6"/>
        <v>#REF!</v>
      </c>
      <c r="G49" s="40" t="e">
        <f t="shared" si="6"/>
        <v>#REF!</v>
      </c>
      <c r="H49" s="40" t="e">
        <f t="shared" si="6"/>
        <v>#REF!</v>
      </c>
      <c r="I49" s="40" t="e">
        <f>+I27*$D$16*'Datos Generales'!$B$4</f>
        <v>#REF!</v>
      </c>
      <c r="J49" s="40" t="e">
        <f>+J27*$D$16*'Datos Generales'!$B$4</f>
        <v>#REF!</v>
      </c>
      <c r="K49" s="40" t="e">
        <f>+K27*$D$16*'Datos Generales'!$B$4</f>
        <v>#REF!</v>
      </c>
      <c r="L49" s="40" t="e">
        <f>+L27*$D$16*'Datos Generales'!$B$4</f>
        <v>#REF!</v>
      </c>
      <c r="M49" s="40" t="e">
        <f>+M27*$D$16*'Datos Generales'!$B$4</f>
        <v>#REF!</v>
      </c>
    </row>
    <row r="50" spans="2:13" ht="15.75" x14ac:dyDescent="0.25">
      <c r="B50" s="32" t="s">
        <v>67</v>
      </c>
      <c r="C50" s="33"/>
      <c r="D50" s="40" t="e">
        <f>+D39*$D$21</f>
        <v>#REF!</v>
      </c>
      <c r="E50" s="40" t="e">
        <f t="shared" ref="E50:H50" si="7">+E39*$D$21</f>
        <v>#REF!</v>
      </c>
      <c r="F50" s="40" t="e">
        <f t="shared" si="7"/>
        <v>#REF!</v>
      </c>
      <c r="G50" s="40" t="e">
        <f t="shared" si="7"/>
        <v>#REF!</v>
      </c>
      <c r="H50" s="40" t="e">
        <f t="shared" si="7"/>
        <v>#REF!</v>
      </c>
      <c r="I50" s="40" t="e">
        <f>+I28*$D$20*'Datos Generales'!$B$4</f>
        <v>#REF!</v>
      </c>
      <c r="J50" s="40" t="e">
        <f>+J28*$D$20*'Datos Generales'!$B$4</f>
        <v>#REF!</v>
      </c>
      <c r="K50" s="40" t="e">
        <f>+K28*$D$20*'Datos Generales'!$B$4</f>
        <v>#REF!</v>
      </c>
      <c r="L50" s="40" t="e">
        <f>+L28*$D$20*'Datos Generales'!$B$4</f>
        <v>#REF!</v>
      </c>
      <c r="M50" s="40" t="e">
        <f>+M28*$D$20*'Datos Generales'!$B$4</f>
        <v>#REF!</v>
      </c>
    </row>
    <row r="51" spans="2:13" ht="15.75" x14ac:dyDescent="0.25">
      <c r="B51" s="32" t="s">
        <v>68</v>
      </c>
      <c r="C51" s="33"/>
      <c r="D51" s="40" t="e">
        <f>+D40*$D$17</f>
        <v>#REF!</v>
      </c>
      <c r="E51" s="40" t="e">
        <f t="shared" ref="E51:H52" si="8">+E40*$D$17</f>
        <v>#REF!</v>
      </c>
      <c r="F51" s="40" t="e">
        <f t="shared" si="8"/>
        <v>#REF!</v>
      </c>
      <c r="G51" s="40" t="e">
        <f t="shared" si="8"/>
        <v>#REF!</v>
      </c>
      <c r="H51" s="40" t="e">
        <f t="shared" si="8"/>
        <v>#REF!</v>
      </c>
      <c r="I51" s="40"/>
      <c r="J51" s="40" t="e">
        <f>+J29*$D$17*'Datos Generales'!$B$4</f>
        <v>#REF!</v>
      </c>
      <c r="K51" s="40" t="e">
        <f>+K29*$D$17*'Datos Generales'!$B$4</f>
        <v>#REF!</v>
      </c>
      <c r="L51" s="40" t="e">
        <f>+L29*$D$17*'Datos Generales'!$B$4</f>
        <v>#REF!</v>
      </c>
      <c r="M51" s="40" t="e">
        <f>+M29*$D$17*'Datos Generales'!$B$4</f>
        <v>#REF!</v>
      </c>
    </row>
    <row r="52" spans="2:13" ht="15.75" x14ac:dyDescent="0.25">
      <c r="B52" s="32" t="s">
        <v>5</v>
      </c>
      <c r="C52" s="33"/>
      <c r="D52" s="40" t="e">
        <f>+D41*$D$17</f>
        <v>#REF!</v>
      </c>
      <c r="E52" s="40" t="e">
        <f t="shared" si="8"/>
        <v>#REF!</v>
      </c>
      <c r="F52" s="40" t="e">
        <f t="shared" si="8"/>
        <v>#REF!</v>
      </c>
      <c r="G52" s="40" t="e">
        <f t="shared" si="8"/>
        <v>#REF!</v>
      </c>
      <c r="H52" s="40" t="e">
        <f t="shared" si="8"/>
        <v>#REF!</v>
      </c>
      <c r="I52" s="40" t="e">
        <f>+I30*$D$22*'Datos Generales'!$B$4</f>
        <v>#REF!</v>
      </c>
      <c r="J52" s="40" t="e">
        <f>+J30*$D$22*'Datos Generales'!$B$4</f>
        <v>#REF!</v>
      </c>
      <c r="K52" s="40" t="e">
        <f>+K30*$D$22*'Datos Generales'!$B$4</f>
        <v>#REF!</v>
      </c>
      <c r="L52" s="40" t="e">
        <f>+L30*$D$22*'Datos Generales'!$B$4</f>
        <v>#REF!</v>
      </c>
      <c r="M52" s="40" t="e">
        <f>+M30*$D$22*'Datos Generales'!$B$4</f>
        <v>#REF!</v>
      </c>
    </row>
    <row r="53" spans="2:13" ht="15.75" x14ac:dyDescent="0.25">
      <c r="B53" s="32" t="s">
        <v>69</v>
      </c>
      <c r="C53" s="33"/>
      <c r="D53" s="40" t="e">
        <f>+D42*$D$22*'Datos Generales'!$B$4</f>
        <v>#REF!</v>
      </c>
      <c r="E53" s="40" t="e">
        <f>+E42*$D$22*'Datos Generales'!$B$4</f>
        <v>#REF!</v>
      </c>
      <c r="F53" s="40" t="e">
        <f>+F42*$D$22*'Datos Generales'!$B$4</f>
        <v>#REF!</v>
      </c>
      <c r="G53" s="40" t="e">
        <f>+G42*$D$22*'Datos Generales'!$B$4</f>
        <v>#REF!</v>
      </c>
      <c r="H53" s="40" t="e">
        <f>+H42*$D$22*'Datos Generales'!$B$4</f>
        <v>#REF!</v>
      </c>
      <c r="I53" s="40" t="e">
        <f>+I31*$D$22*'Datos Generales'!$B$4</f>
        <v>#REF!</v>
      </c>
      <c r="J53" s="40" t="e">
        <f>+J31*$D$22*'Datos Generales'!$B$4</f>
        <v>#REF!</v>
      </c>
      <c r="K53" s="40" t="e">
        <f>+K31*$D$22*'Datos Generales'!$B$4</f>
        <v>#REF!</v>
      </c>
      <c r="L53" s="40" t="e">
        <f>+L31*$D$22*'Datos Generales'!$B$4</f>
        <v>#REF!</v>
      </c>
      <c r="M53" s="40" t="e">
        <f>+M31*$D$22*'Datos Generales'!$B$4</f>
        <v>#REF!</v>
      </c>
    </row>
    <row r="54" spans="2:13" ht="15.75" x14ac:dyDescent="0.25">
      <c r="B54" s="32" t="s">
        <v>100</v>
      </c>
      <c r="C54" s="33"/>
      <c r="D54" s="40" t="e">
        <f>+D43*$D$22*'Datos Generales'!$B$4</f>
        <v>#REF!</v>
      </c>
      <c r="E54" s="40" t="e">
        <f>+E43*$D$22*'Datos Generales'!$B$4</f>
        <v>#REF!</v>
      </c>
      <c r="F54" s="40" t="e">
        <f>+F43*$D$22*'Datos Generales'!$B$4</f>
        <v>#REF!</v>
      </c>
      <c r="G54" s="40" t="e">
        <f>+G43*$D$22*'Datos Generales'!$B$4</f>
        <v>#REF!</v>
      </c>
      <c r="H54" s="40" t="e">
        <f>+H43*$D$22*'Datos Generales'!$B$4</f>
        <v>#REF!</v>
      </c>
      <c r="I54" s="40" t="e">
        <f>+I43*$D$22*'Datos Generales'!$B$4</f>
        <v>#REF!</v>
      </c>
      <c r="J54" s="40" t="e">
        <f>+J43*$D$22*'Datos Generales'!$B$4</f>
        <v>#REF!</v>
      </c>
      <c r="K54" s="40" t="e">
        <f>+K43*$D$22*'Datos Generales'!$B$4</f>
        <v>#REF!</v>
      </c>
      <c r="L54" s="40" t="e">
        <f>+L43*$D$22*'Datos Generales'!$B$4</f>
        <v>#REF!</v>
      </c>
      <c r="M54" s="40" t="e">
        <f>+M43*$D$22*'Datos Generales'!$B$4</f>
        <v>#REF!</v>
      </c>
    </row>
    <row r="55" spans="2:13" ht="15.75" x14ac:dyDescent="0.25">
      <c r="B55" s="32" t="s">
        <v>73</v>
      </c>
      <c r="C55" s="33"/>
      <c r="D55" s="40">
        <v>5500000</v>
      </c>
      <c r="E55" s="40">
        <v>5500000</v>
      </c>
      <c r="F55" s="40">
        <v>5500000</v>
      </c>
      <c r="G55" s="40">
        <v>5500000</v>
      </c>
      <c r="H55" s="40">
        <v>5500000</v>
      </c>
      <c r="I55" s="40"/>
      <c r="J55" s="40"/>
      <c r="K55" s="40"/>
      <c r="L55" s="40"/>
      <c r="M55" s="40"/>
    </row>
    <row r="56" spans="2:13" ht="15.75" x14ac:dyDescent="0.25">
      <c r="B56" s="34" t="s">
        <v>72</v>
      </c>
      <c r="C56" s="35"/>
      <c r="D56" s="45" t="e">
        <f>SUM(D49:D55)</f>
        <v>#REF!</v>
      </c>
      <c r="E56" s="45" t="e">
        <f t="shared" ref="E56:M56" si="9">SUM(E49:E55)</f>
        <v>#REF!</v>
      </c>
      <c r="F56" s="45" t="e">
        <f t="shared" si="9"/>
        <v>#REF!</v>
      </c>
      <c r="G56" s="45" t="e">
        <f t="shared" si="9"/>
        <v>#REF!</v>
      </c>
      <c r="H56" s="45" t="e">
        <f t="shared" si="9"/>
        <v>#REF!</v>
      </c>
      <c r="I56" s="45" t="e">
        <f t="shared" si="9"/>
        <v>#REF!</v>
      </c>
      <c r="J56" s="45" t="e">
        <f t="shared" si="9"/>
        <v>#REF!</v>
      </c>
      <c r="K56" s="45" t="e">
        <f t="shared" si="9"/>
        <v>#REF!</v>
      </c>
      <c r="L56" s="45" t="e">
        <f t="shared" si="9"/>
        <v>#REF!</v>
      </c>
      <c r="M56" s="45" t="e">
        <f t="shared" si="9"/>
        <v>#REF!</v>
      </c>
    </row>
    <row r="57" spans="2:13" ht="15.75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</row>
    <row r="58" spans="2:13" ht="15.75" x14ac:dyDescent="0.25">
      <c r="B58" s="105" t="s">
        <v>78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</row>
    <row r="59" spans="2:13" x14ac:dyDescent="0.25">
      <c r="B59" s="3" t="s">
        <v>95</v>
      </c>
      <c r="C59" s="4">
        <v>2020</v>
      </c>
      <c r="D59" s="4">
        <v>2021</v>
      </c>
      <c r="E59" s="4">
        <v>2022</v>
      </c>
      <c r="F59" s="4">
        <v>2023</v>
      </c>
      <c r="G59" s="4">
        <v>2024</v>
      </c>
      <c r="H59" s="4">
        <v>2025</v>
      </c>
      <c r="I59" s="4">
        <v>2026</v>
      </c>
      <c r="J59" s="4">
        <v>2027</v>
      </c>
      <c r="K59" s="4">
        <v>2028</v>
      </c>
      <c r="L59" s="4">
        <v>2029</v>
      </c>
      <c r="M59" s="4">
        <v>2030</v>
      </c>
    </row>
    <row r="60" spans="2:13" ht="15.75" x14ac:dyDescent="0.25">
      <c r="B60" s="32" t="s">
        <v>84</v>
      </c>
      <c r="C60" s="61"/>
      <c r="D60" s="62">
        <f>+'Datos Generales'!C33</f>
        <v>44432588.419774629</v>
      </c>
      <c r="E60" s="62">
        <f>+'Datos Generales'!D33</f>
        <v>44885800.821656354</v>
      </c>
      <c r="F60" s="62">
        <f>+'Datos Generales'!E33</f>
        <v>45343635.99003724</v>
      </c>
      <c r="G60" s="62">
        <f>+'Datos Generales'!F33</f>
        <v>45806141.077135608</v>
      </c>
      <c r="H60" s="62" t="e">
        <f>+'Datos Generales'!#REF!</f>
        <v>#REF!</v>
      </c>
      <c r="I60" s="62" t="e">
        <f>+'Datos Generales'!#REF!</f>
        <v>#REF!</v>
      </c>
      <c r="J60" s="62" t="e">
        <f>+'Datos Generales'!#REF!</f>
        <v>#REF!</v>
      </c>
      <c r="K60" s="62" t="e">
        <f>+'Datos Generales'!#REF!</f>
        <v>#REF!</v>
      </c>
      <c r="L60" s="62" t="e">
        <f>+'Datos Generales'!#REF!</f>
        <v>#REF!</v>
      </c>
      <c r="M60" s="62" t="e">
        <f>+'Datos Generales'!#REF!</f>
        <v>#REF!</v>
      </c>
    </row>
    <row r="61" spans="2:13" ht="15.75" x14ac:dyDescent="0.25">
      <c r="B61" s="32" t="s">
        <v>85</v>
      </c>
      <c r="C61" s="61"/>
      <c r="D61" s="62">
        <f>+'Datos Generales'!C44*0.2</f>
        <v>10646032.040000001</v>
      </c>
      <c r="E61" s="62">
        <f>+'Datos Generales'!D44*0.2</f>
        <v>10754621.566808</v>
      </c>
      <c r="F61" s="62">
        <f>+'Datos Generales'!E44*0.2</f>
        <v>10864318.706789441</v>
      </c>
      <c r="G61" s="62">
        <f>+'Datos Generales'!F44*0.2</f>
        <v>5487567.3787993472</v>
      </c>
      <c r="H61" s="62" t="e">
        <f>+'Datos Generales'!#REF!*0.2</f>
        <v>#REF!</v>
      </c>
      <c r="I61" s="62" t="e">
        <f>+'Datos Generales'!#REF!*0.2</f>
        <v>#REF!</v>
      </c>
      <c r="J61" s="62" t="e">
        <f>+'Datos Generales'!#REF!</f>
        <v>#REF!</v>
      </c>
      <c r="K61" s="62" t="e">
        <f>+'Datos Generales'!#REF!</f>
        <v>#REF!</v>
      </c>
      <c r="L61" s="62" t="e">
        <f>+'Datos Generales'!#REF!</f>
        <v>#REF!</v>
      </c>
      <c r="M61" s="62" t="e">
        <f>+'Datos Generales'!#REF!</f>
        <v>#REF!</v>
      </c>
    </row>
    <row r="62" spans="2:13" ht="15.75" x14ac:dyDescent="0.25">
      <c r="B62" s="32" t="s">
        <v>86</v>
      </c>
      <c r="C62" s="61"/>
      <c r="D62" s="63">
        <f>+'Datos Generales'!C54*0.2</f>
        <v>9988440</v>
      </c>
      <c r="E62" s="63">
        <f>+'Datos Generales'!D54*0.2</f>
        <v>10090322.088</v>
      </c>
      <c r="F62" s="63">
        <f>+'Datos Generales'!E54*0.2</f>
        <v>8988587.3382715192</v>
      </c>
      <c r="G62" s="63">
        <f>+'Datos Generales'!F54*0.2</f>
        <v>9080270.9291218873</v>
      </c>
      <c r="H62" s="63" t="e">
        <f>+'Datos Generales'!#REF!*0.1</f>
        <v>#REF!</v>
      </c>
      <c r="I62" s="63" t="e">
        <f>+'Datos Generales'!#REF!*0.2</f>
        <v>#REF!</v>
      </c>
      <c r="J62" s="63" t="e">
        <f>+'Datos Generales'!#REF!</f>
        <v>#REF!</v>
      </c>
      <c r="K62" s="63" t="e">
        <f>+'Datos Generales'!#REF!</f>
        <v>#REF!</v>
      </c>
      <c r="L62" s="63" t="e">
        <f>+'Datos Generales'!#REF!</f>
        <v>#REF!</v>
      </c>
      <c r="M62" s="63" t="e">
        <f>+'Datos Generales'!#REF!</f>
        <v>#REF!</v>
      </c>
    </row>
    <row r="63" spans="2:13" ht="15.75" x14ac:dyDescent="0.25">
      <c r="B63" s="32" t="s">
        <v>87</v>
      </c>
      <c r="C63" s="61"/>
      <c r="D63" s="63">
        <f>+'Datos Generales'!C64</f>
        <v>0</v>
      </c>
      <c r="E63" s="63">
        <f>+'Datos Generales'!D64</f>
        <v>0</v>
      </c>
      <c r="F63" s="63">
        <f>+'Datos Generales'!E64</f>
        <v>22000245.381248619</v>
      </c>
      <c r="G63" s="63">
        <f>+'Datos Generales'!F64</f>
        <v>49662484.778134093</v>
      </c>
      <c r="H63" s="63" t="e">
        <f>+'Datos Generales'!#REF!</f>
        <v>#REF!</v>
      </c>
      <c r="I63" s="63" t="e">
        <f>+'Datos Generales'!#REF!</f>
        <v>#REF!</v>
      </c>
      <c r="J63" s="63" t="e">
        <f>+'Datos Generales'!#REF!</f>
        <v>#REF!</v>
      </c>
      <c r="K63" s="63" t="e">
        <f>+'Datos Generales'!#REF!</f>
        <v>#REF!</v>
      </c>
      <c r="L63" s="63" t="e">
        <f>+'Datos Generales'!#REF!</f>
        <v>#REF!</v>
      </c>
      <c r="M63" s="63" t="e">
        <f>+'Datos Generales'!#REF!</f>
        <v>#REF!</v>
      </c>
    </row>
    <row r="64" spans="2:13" ht="15.75" x14ac:dyDescent="0.25">
      <c r="B64" s="32" t="s">
        <v>88</v>
      </c>
      <c r="C64" s="61"/>
      <c r="D64" s="63" t="str">
        <f>+'Datos Generales'!C74</f>
        <v/>
      </c>
      <c r="E64" s="63">
        <f>+'Datos Generales'!D74</f>
        <v>0</v>
      </c>
      <c r="F64" s="63">
        <f>+'Datos Generales'!E74</f>
        <v>29252446.278224315</v>
      </c>
      <c r="G64" s="63">
        <f>+'Datos Generales'!F74</f>
        <v>29550821.230262209</v>
      </c>
      <c r="H64" s="63" t="e">
        <f>+'Datos Generales'!#REF!</f>
        <v>#REF!</v>
      </c>
      <c r="I64" s="63" t="e">
        <f>+'Datos Generales'!#REF!</f>
        <v>#REF!</v>
      </c>
      <c r="J64" s="63" t="e">
        <f>+'Datos Generales'!#REF!</f>
        <v>#REF!</v>
      </c>
      <c r="K64" s="63" t="e">
        <f>+'Datos Generales'!#REF!</f>
        <v>#REF!</v>
      </c>
      <c r="L64" s="63" t="e">
        <f>+'Datos Generales'!#REF!</f>
        <v>#REF!</v>
      </c>
      <c r="M64" s="63" t="e">
        <f>+'Datos Generales'!#REF!</f>
        <v>#REF!</v>
      </c>
    </row>
    <row r="65" spans="2:13" ht="15.75" x14ac:dyDescent="0.25">
      <c r="B65" s="32" t="s">
        <v>89</v>
      </c>
      <c r="C65" s="61"/>
      <c r="D65" s="63">
        <f>+'Datos Generales'!C84</f>
        <v>0</v>
      </c>
      <c r="E65" s="63">
        <f>+'Datos Generales'!D84</f>
        <v>0</v>
      </c>
      <c r="F65" s="63">
        <f>+'Datos Generales'!E84</f>
        <v>0</v>
      </c>
      <c r="G65" s="63">
        <f>+'Datos Generales'!F84</f>
        <v>0</v>
      </c>
      <c r="H65" s="63" t="e">
        <f>+'Datos Generales'!#REF!</f>
        <v>#REF!</v>
      </c>
      <c r="I65" s="63" t="e">
        <f>+'Datos Generales'!#REF!</f>
        <v>#REF!</v>
      </c>
      <c r="J65" s="63" t="e">
        <f>+'Datos Generales'!#REF!</f>
        <v>#REF!</v>
      </c>
      <c r="K65" s="63" t="e">
        <f>+'Datos Generales'!#REF!</f>
        <v>#REF!</v>
      </c>
      <c r="L65" s="63" t="e">
        <f>+'Datos Generales'!#REF!</f>
        <v>#REF!</v>
      </c>
      <c r="M65" s="63" t="e">
        <f>+'Datos Generales'!#REF!</f>
        <v>#REF!</v>
      </c>
    </row>
    <row r="66" spans="2:13" ht="15.75" x14ac:dyDescent="0.25">
      <c r="B66" s="32" t="s">
        <v>101</v>
      </c>
      <c r="C66" s="61"/>
      <c r="D66" s="63">
        <f>+'Datos Generales'!C94</f>
        <v>29373120</v>
      </c>
      <c r="E66" s="63">
        <f>+'Datos Generales'!D94</f>
        <v>29672725.823999997</v>
      </c>
      <c r="F66" s="63">
        <f>+'Datos Generales'!E94</f>
        <v>34471695.771515518</v>
      </c>
      <c r="G66" s="63">
        <f>+'Datos Generales'!F94</f>
        <v>37851420.726505406</v>
      </c>
      <c r="H66" s="63" t="e">
        <f>+'Datos Generales'!#REF!</f>
        <v>#REF!</v>
      </c>
      <c r="I66" s="63" t="e">
        <f>+'Datos Generales'!#REF!</f>
        <v>#REF!</v>
      </c>
      <c r="J66" s="63" t="e">
        <f>+'Datos Generales'!#REF!</f>
        <v>#REF!</v>
      </c>
      <c r="K66" s="63" t="e">
        <f>+'Datos Generales'!#REF!</f>
        <v>#REF!</v>
      </c>
      <c r="L66" s="63" t="e">
        <f>+'Datos Generales'!#REF!</f>
        <v>#REF!</v>
      </c>
      <c r="M66" s="63" t="e">
        <f>+'Datos Generales'!#REF!</f>
        <v>#REF!</v>
      </c>
    </row>
    <row r="67" spans="2:13" ht="15.75" x14ac:dyDescent="0.25">
      <c r="B67" s="67" t="s">
        <v>74</v>
      </c>
      <c r="C67" s="66"/>
      <c r="D67" s="68">
        <f>SUM(D60:D66)</f>
        <v>94440180.459774628</v>
      </c>
      <c r="E67" s="68">
        <f t="shared" ref="E67:M67" si="10">SUM(E60:E66)</f>
        <v>95403470.300464347</v>
      </c>
      <c r="F67" s="68">
        <f t="shared" si="10"/>
        <v>150920929.46608666</v>
      </c>
      <c r="G67" s="68">
        <f t="shared" si="10"/>
        <v>177438706.11995855</v>
      </c>
      <c r="H67" s="68" t="e">
        <f t="shared" si="10"/>
        <v>#REF!</v>
      </c>
      <c r="I67" s="68" t="e">
        <f t="shared" si="10"/>
        <v>#REF!</v>
      </c>
      <c r="J67" s="68" t="e">
        <f t="shared" si="10"/>
        <v>#REF!</v>
      </c>
      <c r="K67" s="68" t="e">
        <f t="shared" si="10"/>
        <v>#REF!</v>
      </c>
      <c r="L67" s="68" t="e">
        <f t="shared" si="10"/>
        <v>#REF!</v>
      </c>
      <c r="M67" s="68" t="e">
        <f t="shared" si="10"/>
        <v>#REF!</v>
      </c>
    </row>
    <row r="68" spans="2:13" ht="15.75" x14ac:dyDescent="0.25">
      <c r="B68" s="64"/>
      <c r="C68" s="10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2:13" ht="15.75" x14ac:dyDescent="0.25">
      <c r="B69" s="99" t="s">
        <v>96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2:13" x14ac:dyDescent="0.25">
      <c r="B70" s="3" t="s">
        <v>76</v>
      </c>
      <c r="C70" s="4">
        <v>2020</v>
      </c>
      <c r="D70" s="4">
        <v>2021</v>
      </c>
      <c r="E70" s="4">
        <v>2022</v>
      </c>
      <c r="F70" s="4">
        <v>2023</v>
      </c>
      <c r="G70" s="4">
        <v>2024</v>
      </c>
      <c r="H70" s="4">
        <v>2025</v>
      </c>
      <c r="I70" s="4">
        <v>2026</v>
      </c>
      <c r="J70" s="4">
        <v>2027</v>
      </c>
      <c r="K70" s="4">
        <v>2028</v>
      </c>
      <c r="L70" s="4">
        <v>2029</v>
      </c>
      <c r="M70" s="4">
        <v>2030</v>
      </c>
    </row>
    <row r="71" spans="2:13" ht="15.75" x14ac:dyDescent="0.25">
      <c r="B71" s="32" t="s">
        <v>94</v>
      </c>
      <c r="C71" s="33"/>
      <c r="D71" s="46">
        <f>+D67</f>
        <v>94440180.459774628</v>
      </c>
      <c r="E71" s="46"/>
      <c r="F71" s="46"/>
      <c r="G71" s="46"/>
      <c r="H71" s="46"/>
      <c r="I71" s="46"/>
      <c r="J71" s="46"/>
      <c r="K71" s="46"/>
      <c r="L71" s="46"/>
      <c r="M71" s="46"/>
    </row>
    <row r="72" spans="2:13" ht="15.75" x14ac:dyDescent="0.25">
      <c r="B72" s="32" t="s">
        <v>75</v>
      </c>
      <c r="C72" s="33"/>
      <c r="D72" s="46" t="e">
        <f t="shared" ref="D72:M72" si="11">+D56</f>
        <v>#REF!</v>
      </c>
      <c r="E72" s="46" t="e">
        <f t="shared" si="11"/>
        <v>#REF!</v>
      </c>
      <c r="F72" s="46" t="e">
        <f t="shared" si="11"/>
        <v>#REF!</v>
      </c>
      <c r="G72" s="46" t="e">
        <f t="shared" si="11"/>
        <v>#REF!</v>
      </c>
      <c r="H72" s="46" t="e">
        <f t="shared" si="11"/>
        <v>#REF!</v>
      </c>
      <c r="I72" s="46" t="e">
        <f t="shared" si="11"/>
        <v>#REF!</v>
      </c>
      <c r="J72" s="46" t="e">
        <f t="shared" si="11"/>
        <v>#REF!</v>
      </c>
      <c r="K72" s="46" t="e">
        <f t="shared" si="11"/>
        <v>#REF!</v>
      </c>
      <c r="L72" s="46" t="e">
        <f t="shared" si="11"/>
        <v>#REF!</v>
      </c>
      <c r="M72" s="46" t="e">
        <f t="shared" si="11"/>
        <v>#REF!</v>
      </c>
    </row>
    <row r="73" spans="2:13" ht="15.75" x14ac:dyDescent="0.25">
      <c r="B73" s="48" t="s">
        <v>77</v>
      </c>
      <c r="C73" s="49"/>
      <c r="D73" s="50" t="e">
        <f t="shared" ref="D73:M73" si="12">+D67-D72</f>
        <v>#REF!</v>
      </c>
      <c r="E73" s="50" t="e">
        <f t="shared" si="12"/>
        <v>#REF!</v>
      </c>
      <c r="F73" s="50" t="e">
        <f t="shared" si="12"/>
        <v>#REF!</v>
      </c>
      <c r="G73" s="50" t="e">
        <f t="shared" si="12"/>
        <v>#REF!</v>
      </c>
      <c r="H73" s="50" t="e">
        <f t="shared" si="12"/>
        <v>#REF!</v>
      </c>
      <c r="I73" s="50" t="e">
        <f t="shared" si="12"/>
        <v>#REF!</v>
      </c>
      <c r="J73" s="50" t="e">
        <f t="shared" si="12"/>
        <v>#REF!</v>
      </c>
      <c r="K73" s="50" t="e">
        <f t="shared" si="12"/>
        <v>#REF!</v>
      </c>
      <c r="L73" s="50" t="e">
        <f t="shared" si="12"/>
        <v>#REF!</v>
      </c>
      <c r="M73" s="50" t="e">
        <f t="shared" si="12"/>
        <v>#REF!</v>
      </c>
    </row>
    <row r="74" spans="2:13" ht="15.75" x14ac:dyDescent="0.2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15.75" x14ac:dyDescent="0.25">
      <c r="B75" s="100" t="s">
        <v>79</v>
      </c>
      <c r="C75" s="101"/>
      <c r="D75" s="47" t="e">
        <f>AVERAGE(D73:H73)</f>
        <v>#REF!</v>
      </c>
      <c r="E75" s="70"/>
      <c r="F75" s="70"/>
      <c r="G75" s="70"/>
      <c r="H75" s="70"/>
      <c r="I75" s="70"/>
      <c r="J75" s="70"/>
      <c r="K75" s="70"/>
      <c r="L75" s="70"/>
      <c r="M75" s="70"/>
    </row>
    <row r="77" spans="2:13" x14ac:dyDescent="0.25">
      <c r="B77" s="1" t="s">
        <v>97</v>
      </c>
      <c r="D77" s="59" t="e">
        <f>+D60/(D38+D39)</f>
        <v>#REF!</v>
      </c>
      <c r="E77" s="59" t="e">
        <f t="shared" ref="E77:M77" si="13">+E60/(E38+E39)</f>
        <v>#REF!</v>
      </c>
      <c r="F77" s="59" t="e">
        <f t="shared" si="13"/>
        <v>#REF!</v>
      </c>
      <c r="G77" s="59" t="e">
        <f t="shared" si="13"/>
        <v>#REF!</v>
      </c>
      <c r="H77" s="59" t="e">
        <f t="shared" si="13"/>
        <v>#REF!</v>
      </c>
      <c r="I77" s="59" t="e">
        <f t="shared" si="13"/>
        <v>#REF!</v>
      </c>
      <c r="J77" s="59" t="e">
        <f t="shared" si="13"/>
        <v>#REF!</v>
      </c>
      <c r="K77" s="59" t="e">
        <f t="shared" si="13"/>
        <v>#REF!</v>
      </c>
      <c r="L77" s="59" t="e">
        <f t="shared" si="13"/>
        <v>#REF!</v>
      </c>
      <c r="M77" s="59" t="e">
        <f t="shared" si="13"/>
        <v>#REF!</v>
      </c>
    </row>
    <row r="78" spans="2:13" x14ac:dyDescent="0.25">
      <c r="D78" s="1" t="e">
        <f>+D67/D44</f>
        <v>#REF!</v>
      </c>
      <c r="E78" s="1" t="e">
        <f t="shared" ref="E78:M78" si="14">+E67/E44</f>
        <v>#REF!</v>
      </c>
      <c r="F78" s="1" t="e">
        <f t="shared" si="14"/>
        <v>#REF!</v>
      </c>
      <c r="G78" s="1" t="e">
        <f t="shared" si="14"/>
        <v>#REF!</v>
      </c>
      <c r="H78" s="1" t="e">
        <f t="shared" si="14"/>
        <v>#REF!</v>
      </c>
      <c r="I78" s="1" t="e">
        <f t="shared" si="14"/>
        <v>#REF!</v>
      </c>
      <c r="J78" s="1" t="e">
        <f t="shared" si="14"/>
        <v>#REF!</v>
      </c>
      <c r="K78" s="1" t="e">
        <f t="shared" si="14"/>
        <v>#REF!</v>
      </c>
      <c r="L78" s="1" t="e">
        <f t="shared" si="14"/>
        <v>#REF!</v>
      </c>
      <c r="M78" s="1" t="e">
        <f t="shared" si="14"/>
        <v>#REF!</v>
      </c>
    </row>
  </sheetData>
  <mergeCells count="8">
    <mergeCell ref="B69:M69"/>
    <mergeCell ref="B75:C75"/>
    <mergeCell ref="B1:M1"/>
    <mergeCell ref="B3:M3"/>
    <mergeCell ref="B25:M25"/>
    <mergeCell ref="B36:M36"/>
    <mergeCell ref="B47:M47"/>
    <mergeCell ref="B58:M5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C13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9E16DB47C8D34BB723E3986B93BE8D" ma:contentTypeVersion="13" ma:contentTypeDescription="Crear nuevo documento." ma:contentTypeScope="" ma:versionID="4be2484b329fc71c2dff498d9ed3baec">
  <xsd:schema xmlns:xsd="http://www.w3.org/2001/XMLSchema" xmlns:xs="http://www.w3.org/2001/XMLSchema" xmlns:p="http://schemas.microsoft.com/office/2006/metadata/properties" xmlns:ns3="7fe13971-3af5-40d4-af08-70a5f55c2a07" xmlns:ns4="f819dfb3-bffc-40f5-8492-fb9fc0d5f9c7" targetNamespace="http://schemas.microsoft.com/office/2006/metadata/properties" ma:root="true" ma:fieldsID="885755804b56eebbf4e90643d82276e2" ns3:_="" ns4:_="">
    <xsd:import namespace="7fe13971-3af5-40d4-af08-70a5f55c2a07"/>
    <xsd:import namespace="f819dfb3-bffc-40f5-8492-fb9fc0d5f9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e13971-3af5-40d4-af08-70a5f55c2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9dfb3-bffc-40f5-8492-fb9fc0d5f9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5BE4F-8F4A-46BF-8D41-CC82F59D53F5}">
  <ds:schemaRefs>
    <ds:schemaRef ds:uri="http://schemas.openxmlformats.org/package/2006/metadata/core-properties"/>
    <ds:schemaRef ds:uri="f819dfb3-bffc-40f5-8492-fb9fc0d5f9c7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7fe13971-3af5-40d4-af08-70a5f55c2a0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701732F-E472-498E-8FD1-757FE3BC5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62DE70-176F-489B-982F-56A9DBC16F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e13971-3af5-40d4-af08-70a5f55c2a07"/>
    <ds:schemaRef ds:uri="f819dfb3-bffc-40f5-8492-fb9fc0d5f9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Generales</vt:lpstr>
      <vt:lpstr>TARIFA DE EQUILIBRIO</vt:lpstr>
      <vt:lpstr>ESCENARIO T4</vt:lpstr>
      <vt:lpstr>ESCENARIO T6</vt:lpstr>
      <vt:lpstr>ESCENARIO T8</vt:lpstr>
      <vt:lpstr>RESUMEN</vt:lpstr>
      <vt:lpstr>SOLO 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Koffmann</dc:creator>
  <cp:lastModifiedBy>Eduardo Bravo</cp:lastModifiedBy>
  <dcterms:created xsi:type="dcterms:W3CDTF">2015-06-05T18:19:34Z</dcterms:created>
  <dcterms:modified xsi:type="dcterms:W3CDTF">2020-09-22T18:00:21Z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0x010100D79E16DB47C8D34BB723E3986B93BE8D</vt:lpwstr>
  </property>
</Properties>
</file>