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60" yWindow="300" windowWidth="10800" windowHeight="10770" tabRatio="531"/>
  </bookViews>
  <sheets>
    <sheet name="EQUIPAMIENTO18" sheetId="32" r:id="rId1"/>
    <sheet name="RESUMEN AREAS A3-4" sheetId="26" r:id="rId2"/>
    <sheet name="RESUMEN AREAS A3-3" sheetId="27" r:id="rId3"/>
    <sheet name="RESUMEN AREAS A3-2" sheetId="28" r:id="rId4"/>
    <sheet name="MZ A3-2 " sheetId="29" r:id="rId5"/>
    <sheet name="MZ A3-3" sheetId="30" r:id="rId6"/>
    <sheet name="MZ A3-4" sheetId="31" r:id="rId7"/>
  </sheets>
  <externalReferences>
    <externalReference r:id="rId8"/>
  </externalReferences>
  <definedNames>
    <definedName name="_xlnm.Print_Area" localSheetId="0">EQUIPAMIENTO18!$A$1:$J$41</definedName>
  </definedNames>
  <calcPr calcId="144525"/>
</workbook>
</file>

<file path=xl/calcChain.xml><?xml version="1.0" encoding="utf-8"?>
<calcChain xmlns="http://schemas.openxmlformats.org/spreadsheetml/2006/main">
  <c r="H28" i="32" l="1"/>
  <c r="H29" i="32"/>
  <c r="H27" i="32"/>
  <c r="F19" i="32"/>
  <c r="H19" i="32" s="1"/>
  <c r="L42" i="32"/>
  <c r="L43" i="32" s="1"/>
  <c r="L37" i="32" l="1"/>
  <c r="B40" i="31" l="1"/>
  <c r="F39" i="31"/>
  <c r="D39" i="31"/>
  <c r="F38" i="31"/>
  <c r="D38" i="31"/>
  <c r="F37" i="31"/>
  <c r="D37" i="31"/>
  <c r="F36" i="31"/>
  <c r="D36" i="31"/>
  <c r="F35" i="31"/>
  <c r="D35" i="31"/>
  <c r="F34" i="31"/>
  <c r="D34" i="31"/>
  <c r="F33" i="31"/>
  <c r="D33" i="31"/>
  <c r="F32" i="31"/>
  <c r="D32" i="31"/>
  <c r="G31" i="31"/>
  <c r="F31" i="31"/>
  <c r="D31" i="31"/>
  <c r="F30" i="31"/>
  <c r="D30" i="31"/>
  <c r="F29" i="31"/>
  <c r="D29" i="31"/>
  <c r="F28" i="31"/>
  <c r="D28" i="31"/>
  <c r="G27" i="31"/>
  <c r="B20" i="26" s="1"/>
  <c r="C20" i="26" s="1"/>
  <c r="F27" i="31"/>
  <c r="D27" i="31"/>
  <c r="G26" i="31"/>
  <c r="G28" i="31" s="1"/>
  <c r="F26" i="31"/>
  <c r="D26" i="31"/>
  <c r="B24" i="31"/>
  <c r="B42" i="31" s="1"/>
  <c r="F23" i="31"/>
  <c r="D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F4" i="31"/>
  <c r="D4" i="31"/>
  <c r="F3" i="31"/>
  <c r="D3" i="31"/>
  <c r="F19" i="30"/>
  <c r="D19" i="30"/>
  <c r="F18" i="30"/>
  <c r="D18" i="30"/>
  <c r="F17" i="30"/>
  <c r="D17" i="30"/>
  <c r="K16" i="30"/>
  <c r="K20" i="30" s="1"/>
  <c r="G16" i="30"/>
  <c r="F16" i="30"/>
  <c r="D16" i="30"/>
  <c r="B13" i="30"/>
  <c r="B22" i="27" s="1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F4" i="30"/>
  <c r="D4" i="30"/>
  <c r="F3" i="30"/>
  <c r="D3" i="30"/>
  <c r="B9" i="29"/>
  <c r="D9" i="29" s="1"/>
  <c r="F8" i="29"/>
  <c r="D8" i="29"/>
  <c r="F7" i="29"/>
  <c r="D7" i="29"/>
  <c r="B5" i="29"/>
  <c r="D5" i="29" s="1"/>
  <c r="F4" i="29"/>
  <c r="D4" i="29"/>
  <c r="F3" i="29"/>
  <c r="F5" i="29" s="1"/>
  <c r="D3" i="29"/>
  <c r="B15" i="28"/>
  <c r="B20" i="27"/>
  <c r="B14" i="27"/>
  <c r="B16" i="26"/>
  <c r="C16" i="26" s="1"/>
  <c r="B15" i="26"/>
  <c r="C15" i="26" s="1"/>
  <c r="B9" i="26"/>
  <c r="C9" i="26" s="1"/>
  <c r="C7" i="26"/>
  <c r="D38" i="32"/>
  <c r="B37" i="32"/>
  <c r="G36" i="32"/>
  <c r="F36" i="32"/>
  <c r="H36" i="32" s="1"/>
  <c r="G35" i="32"/>
  <c r="F35" i="32"/>
  <c r="H35" i="32" s="1"/>
  <c r="F32" i="32"/>
  <c r="H32" i="32" s="1"/>
  <c r="B32" i="32"/>
  <c r="G29" i="32"/>
  <c r="D29" i="32"/>
  <c r="F29" i="32" s="1"/>
  <c r="B29" i="32"/>
  <c r="G28" i="32"/>
  <c r="F28" i="32"/>
  <c r="G27" i="32"/>
  <c r="F27" i="32"/>
  <c r="G26" i="32"/>
  <c r="F26" i="32"/>
  <c r="H26" i="32" s="1"/>
  <c r="F24" i="32"/>
  <c r="H24" i="32" s="1"/>
  <c r="B24" i="32"/>
  <c r="D22" i="32"/>
  <c r="F22" i="32" s="1"/>
  <c r="H22" i="32" s="1"/>
  <c r="B22" i="32"/>
  <c r="D18" i="32"/>
  <c r="D20" i="32" s="1"/>
  <c r="F17" i="32"/>
  <c r="H17" i="32" s="1"/>
  <c r="B17" i="32"/>
  <c r="F16" i="32"/>
  <c r="H16" i="32" s="1"/>
  <c r="B16" i="32"/>
  <c r="F15" i="32"/>
  <c r="H15" i="32" s="1"/>
  <c r="B15" i="32"/>
  <c r="D14" i="32"/>
  <c r="F14" i="32" s="1"/>
  <c r="H14" i="32" s="1"/>
  <c r="B14" i="32"/>
  <c r="D12" i="32"/>
  <c r="F11" i="32"/>
  <c r="H11" i="32" s="1"/>
  <c r="F10" i="32"/>
  <c r="H10" i="32" s="1"/>
  <c r="D8" i="32"/>
  <c r="F8" i="32" s="1"/>
  <c r="H8" i="32" s="1"/>
  <c r="B8" i="32"/>
  <c r="F6" i="32"/>
  <c r="B11" i="32" l="1"/>
  <c r="B22" i="26"/>
  <c r="C22" i="26" s="1"/>
  <c r="D24" i="31"/>
  <c r="F13" i="30"/>
  <c r="D42" i="31"/>
  <c r="D11" i="29"/>
  <c r="B23" i="28"/>
  <c r="F40" i="31"/>
  <c r="B21" i="28"/>
  <c r="B19" i="28" s="1"/>
  <c r="B22" i="28" s="1"/>
  <c r="D13" i="30"/>
  <c r="C13" i="30" s="1"/>
  <c r="D40" i="31"/>
  <c r="B19" i="26"/>
  <c r="B18" i="26" s="1"/>
  <c r="C18" i="26" s="1"/>
  <c r="B11" i="29"/>
  <c r="F9" i="29"/>
  <c r="F11" i="29" s="1"/>
  <c r="F24" i="31"/>
  <c r="F42" i="31" s="1"/>
  <c r="F40" i="32"/>
  <c r="H6" i="32"/>
  <c r="H40" i="32" s="1"/>
  <c r="B14" i="26"/>
  <c r="C14" i="26" s="1"/>
  <c r="D30" i="32"/>
  <c r="D40" i="32" s="1"/>
  <c r="M40" i="32" s="1"/>
  <c r="B15" i="30"/>
  <c r="C19" i="26" l="1"/>
  <c r="B11" i="28"/>
  <c r="B7" i="28" s="1"/>
  <c r="B9" i="28" s="1"/>
  <c r="B21" i="26"/>
  <c r="B10" i="26" s="1"/>
  <c r="E13" i="30"/>
  <c r="G15" i="30"/>
  <c r="B19" i="27" s="1"/>
  <c r="B18" i="27" s="1"/>
  <c r="B21" i="27" s="1"/>
  <c r="B10" i="27" s="1"/>
  <c r="B6" i="27" s="1"/>
  <c r="B8" i="27" s="1"/>
  <c r="F15" i="30"/>
  <c r="F20" i="30" s="1"/>
  <c r="F22" i="30" s="1"/>
  <c r="D15" i="30"/>
  <c r="D20" i="30" s="1"/>
  <c r="B25" i="30"/>
  <c r="B20" i="30"/>
  <c r="B22" i="30" s="1"/>
  <c r="C21" i="26" l="1"/>
  <c r="E22" i="30"/>
  <c r="C28" i="26"/>
  <c r="C20" i="30"/>
  <c r="D22" i="30"/>
  <c r="C22" i="30" s="1"/>
  <c r="B8" i="26"/>
  <c r="C10" i="26"/>
  <c r="C8" i="26" l="1"/>
  <c r="B6" i="26"/>
  <c r="C6" i="26" s="1"/>
</calcChain>
</file>

<file path=xl/sharedStrings.xml><?xml version="1.0" encoding="utf-8"?>
<sst xmlns="http://schemas.openxmlformats.org/spreadsheetml/2006/main" count="260" uniqueCount="147">
  <si>
    <t>EQUIPAMIENTO</t>
  </si>
  <si>
    <t>PROYECTO</t>
  </si>
  <si>
    <t>TOTAL</t>
  </si>
  <si>
    <t>COS PB</t>
  </si>
  <si>
    <t>COS TOTAL</t>
  </si>
  <si>
    <t xml:space="preserve"> </t>
  </si>
  <si>
    <t>PROPIEDAD</t>
  </si>
  <si>
    <t>MDMQ</t>
  </si>
  <si>
    <t>PRIVADO</t>
  </si>
  <si>
    <t>PLANTA BAJA</t>
  </si>
  <si>
    <t>EDIFICABILIDAD                                      (M2)</t>
  </si>
  <si>
    <t>MEQ4-A3-3</t>
  </si>
  <si>
    <t>MEQ5-A3-3</t>
  </si>
  <si>
    <t>MEQ7-A3-4</t>
  </si>
  <si>
    <t>MEQ8-A3-4</t>
  </si>
  <si>
    <t>MEQ1-A3-4</t>
  </si>
  <si>
    <t>MEQ11-A3-4</t>
  </si>
  <si>
    <t>-</t>
  </si>
  <si>
    <t>MEQ6-A3-3</t>
  </si>
  <si>
    <t>MEQ17-A3-4</t>
  </si>
  <si>
    <t>ÁREA DE SUELO REQUERIDO m²</t>
  </si>
  <si>
    <t>MPE1-A3-3</t>
  </si>
  <si>
    <t>MPE2-A3-3</t>
  </si>
  <si>
    <t>MEQ15-A3-4</t>
  </si>
  <si>
    <t>MEQ12/13/14-   A3-4</t>
  </si>
  <si>
    <t>RESUMEN AREAS</t>
  </si>
  <si>
    <t>LOTE A3-4 - Empresa de Desarrollo Urbano de Quito</t>
  </si>
  <si>
    <t>1- DEL AREA BRUTA</t>
  </si>
  <si>
    <t>AREA m2</t>
  </si>
  <si>
    <t>%DEL AREA TOTAL DEL LOTE</t>
  </si>
  <si>
    <t>AREA TOTAL DEL LOTE</t>
  </si>
  <si>
    <t>AREA TOTAL DE VÍAS</t>
  </si>
  <si>
    <t>VIA TRONCAL METROPOLITANA</t>
  </si>
  <si>
    <t>VIAS VEHICULARES</t>
  </si>
  <si>
    <t>VIAS PEATONALES</t>
  </si>
  <si>
    <t>AREA UTIL LOTE A3-4</t>
  </si>
  <si>
    <t>2- DEL AREA UTIL</t>
  </si>
  <si>
    <t>TOTAL AREA VERDE MUNICIPAL</t>
  </si>
  <si>
    <t>AREA VERDE MUNICIPAL 
(VARIOS USOS)</t>
  </si>
  <si>
    <t>AREA PROTECCION ECOLÓGICA</t>
  </si>
  <si>
    <t>MUNICIPAL METROPOLITANO</t>
  </si>
  <si>
    <t>PROPIEDAD PRIVADA</t>
  </si>
  <si>
    <t>AREA VERDE + EQUIPAMIENTO</t>
  </si>
  <si>
    <t>AREA DISPONIBLE PARA VIVIENDA</t>
  </si>
  <si>
    <t>LOTE A3-3 - Empresa de Desarrollo Urbano de Quito</t>
  </si>
  <si>
    <t>AREA UTIL LOTES A3-3</t>
  </si>
  <si>
    <t>LOTE A3-1 - Cacuango Herrera José María</t>
  </si>
  <si>
    <t>LOTE A3-2 - Empresa Pública Metropolitana de Habitat y Vivienda</t>
  </si>
  <si>
    <t>AREA UTIL LOTES A3-1/2</t>
  </si>
  <si>
    <t>MANZANA</t>
  </si>
  <si>
    <t>ÁREA TOTAL</t>
  </si>
  <si>
    <t>COS P.B</t>
  </si>
  <si>
    <t>EDIFICABILIDAD</t>
  </si>
  <si>
    <t>CONSTRUIBLE</t>
  </si>
  <si>
    <t>M32 A3-2</t>
  </si>
  <si>
    <t>M33 A3-2</t>
  </si>
  <si>
    <t>SUBT. VIV.</t>
  </si>
  <si>
    <t>MEQ-9 A3-2</t>
  </si>
  <si>
    <t>MEQ-10 A3-3</t>
  </si>
  <si>
    <t>SUBT. EQ</t>
  </si>
  <si>
    <t>M22 A3-3</t>
  </si>
  <si>
    <t>M23 A3-3</t>
  </si>
  <si>
    <t>M24 A3-3</t>
  </si>
  <si>
    <t>M25 A3-3</t>
  </si>
  <si>
    <t>M26 A3-3</t>
  </si>
  <si>
    <t>M27A3-3</t>
  </si>
  <si>
    <t>M28 A3-3</t>
  </si>
  <si>
    <t>M29 A3-3</t>
  </si>
  <si>
    <t>M30 A3-3</t>
  </si>
  <si>
    <t>M31 A3-3</t>
  </si>
  <si>
    <t>MEQ-4-5-6 A3-3</t>
  </si>
  <si>
    <t>OK</t>
  </si>
  <si>
    <t>MEQ-2 A3-3</t>
  </si>
  <si>
    <t>ok</t>
  </si>
  <si>
    <t>MEQ 4</t>
  </si>
  <si>
    <t>MEQ-18 A3-3</t>
  </si>
  <si>
    <t>MEQ5</t>
  </si>
  <si>
    <t>MPE1</t>
  </si>
  <si>
    <t>MEQ6</t>
  </si>
  <si>
    <t>MPE2</t>
  </si>
  <si>
    <t>M1 A3-4</t>
  </si>
  <si>
    <t>M2 A3-4</t>
  </si>
  <si>
    <t>M3 A3-4</t>
  </si>
  <si>
    <t>M4 A3-4</t>
  </si>
  <si>
    <t>M5 A3-4</t>
  </si>
  <si>
    <t>M6 A3-4</t>
  </si>
  <si>
    <t>M7 A3-4</t>
  </si>
  <si>
    <t>M8 A3-4</t>
  </si>
  <si>
    <t>M9 A3-4</t>
  </si>
  <si>
    <t>M10 A3-4</t>
  </si>
  <si>
    <t>M11 A3-4</t>
  </si>
  <si>
    <t>M12 A3-4</t>
  </si>
  <si>
    <t>M13 A3-4</t>
  </si>
  <si>
    <t>M14 A3-4</t>
  </si>
  <si>
    <t>M15 A3-4</t>
  </si>
  <si>
    <t>M16 A3-4</t>
  </si>
  <si>
    <t>M17 A3-4</t>
  </si>
  <si>
    <t>M18 A3-4</t>
  </si>
  <si>
    <t>M19 A3-4</t>
  </si>
  <si>
    <t>M20 A3-4</t>
  </si>
  <si>
    <t>M21 A3-4</t>
  </si>
  <si>
    <t>MEQ1 A3-4</t>
  </si>
  <si>
    <t>MEQ3 A3-4</t>
  </si>
  <si>
    <t>MEQ7 A3-4</t>
  </si>
  <si>
    <t>MEQ8 A3-4</t>
  </si>
  <si>
    <t>MEQ11 A3-4</t>
  </si>
  <si>
    <t>MEQ12 A3-4</t>
  </si>
  <si>
    <t>MEQ13 A3-4</t>
  </si>
  <si>
    <t>MEQ14 A3-4</t>
  </si>
  <si>
    <t>MEQ15 A3-6</t>
  </si>
  <si>
    <t>MEQ16 A3-4</t>
  </si>
  <si>
    <t>MEQ17 A3-4</t>
  </si>
  <si>
    <t>MEQ19 A3-4</t>
  </si>
  <si>
    <t>MEQ21 A3-4</t>
  </si>
  <si>
    <t>MEQ22 A3-4</t>
  </si>
  <si>
    <t>MUNICIPAL</t>
  </si>
  <si>
    <t>NOMENCLATURA</t>
  </si>
  <si>
    <t>MEQ8-A3-3</t>
  </si>
  <si>
    <t>MEQ9-A3-4</t>
  </si>
  <si>
    <t>MEQ10-A3-4</t>
  </si>
  <si>
    <t>MEQ16-A3-3</t>
  </si>
  <si>
    <t>MEQ12/13/14-   A3-5</t>
  </si>
  <si>
    <t>MEQ1-A3-5</t>
  </si>
  <si>
    <t>MEQ-19-A3-5</t>
  </si>
  <si>
    <t>MEQ17-A3-5</t>
  </si>
  <si>
    <t>MEQ21-A3-3</t>
  </si>
  <si>
    <t>MEQ20-A3-2/ A3-3 / A3-4</t>
  </si>
  <si>
    <t>EDUACION</t>
  </si>
  <si>
    <t>AREA</t>
  </si>
  <si>
    <t>CULTURAL</t>
  </si>
  <si>
    <t>SALUD</t>
  </si>
  <si>
    <t>TRANSPORTE</t>
  </si>
  <si>
    <t>AREA VERDE</t>
  </si>
  <si>
    <t>MPE1-A3-4</t>
  </si>
  <si>
    <t>MPE2-A3-4</t>
  </si>
  <si>
    <t>TOTAL EQUIPAMIENTO URBANO - PROPUESTA</t>
  </si>
  <si>
    <t>MEQ3-A3-2</t>
  </si>
  <si>
    <t>MEQ18-A3-4</t>
  </si>
  <si>
    <t>GENERAL</t>
  </si>
  <si>
    <t>MEQ2-A3-3</t>
  </si>
  <si>
    <t>ADMINISTRACION PUBLICA Y CULTURAL</t>
  </si>
  <si>
    <t>BIENESTAR SOCIAL</t>
  </si>
  <si>
    <t>RECREACION  Y DEPORTIVO</t>
  </si>
  <si>
    <t>SEGURIDAD (UPC)</t>
  </si>
  <si>
    <t>PROYECTO CIUDAD BICENTENARIO</t>
  </si>
  <si>
    <t>MEQ19-A3-3/A3-4</t>
  </si>
  <si>
    <t>SEGURIDAD (BOMBEROS)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</si>
</sst>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%"/>
    <numFmt numFmtId="166" formatCode="_ * #,##0.0_ ;_ * \-#,##0.0_ ;_ * &quot;-&quot;??_ ;_ @_ "/>
    <numFmt numFmtId="167" formatCode="_ * #,##0_ ;_ * \-#,##0_ ;_ * &quot;-&quot;??_ ;_ @_ "/>
    <numFmt numFmtId="168" formatCode="_ * #,##0.00000_ ;_ * \-#,##0.00000_ ;_ * &quot;-&quot;??_ ;_ @_ "/>
  </numFmts>
  <fonts count="4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3" applyNumberFormat="0" applyFill="0" applyAlignment="0" applyProtection="0"/>
    <xf numFmtId="164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12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/>
    <xf numFmtId="164" fontId="8" fillId="0" borderId="0" xfId="36" applyFont="1" applyFill="1" applyAlignment="1">
      <alignment vertical="center"/>
    </xf>
    <xf numFmtId="167" fontId="8" fillId="0" borderId="0" xfId="36" applyNumberFormat="1" applyFont="1" applyFill="1" applyAlignment="1">
      <alignment vertical="center"/>
    </xf>
    <xf numFmtId="167" fontId="8" fillId="0" borderId="0" xfId="36" applyNumberFormat="1" applyFont="1" applyFill="1" applyBorder="1" applyAlignment="1">
      <alignment horizontal="center" vertical="center"/>
    </xf>
    <xf numFmtId="164" fontId="7" fillId="0" borderId="0" xfId="36" applyFont="1" applyFill="1" applyBorder="1" applyAlignment="1">
      <alignment vertical="center"/>
    </xf>
    <xf numFmtId="164" fontId="8" fillId="0" borderId="0" xfId="36" applyFont="1" applyFill="1" applyBorder="1" applyAlignment="1">
      <alignment vertical="center"/>
    </xf>
    <xf numFmtId="164" fontId="7" fillId="0" borderId="0" xfId="36" applyFont="1" applyFill="1" applyAlignment="1">
      <alignment vertical="center"/>
    </xf>
    <xf numFmtId="167" fontId="8" fillId="0" borderId="0" xfId="36" applyNumberFormat="1" applyFont="1" applyFill="1" applyBorder="1" applyAlignment="1">
      <alignment vertical="center"/>
    </xf>
    <xf numFmtId="167" fontId="7" fillId="0" borderId="0" xfId="36" applyNumberFormat="1" applyFont="1" applyFill="1" applyAlignment="1">
      <alignment vertical="center"/>
    </xf>
    <xf numFmtId="49" fontId="8" fillId="0" borderId="0" xfId="36" applyNumberFormat="1" applyFont="1" applyFill="1" applyAlignment="1">
      <alignment horizontal="center" vertical="center"/>
    </xf>
    <xf numFmtId="49" fontId="7" fillId="0" borderId="0" xfId="36" applyNumberFormat="1" applyFont="1" applyFill="1" applyAlignment="1">
      <alignment horizontal="center" vertical="center"/>
    </xf>
    <xf numFmtId="167" fontId="7" fillId="0" borderId="0" xfId="36" applyNumberFormat="1" applyFont="1" applyFill="1" applyBorder="1" applyAlignment="1">
      <alignment vertical="center"/>
    </xf>
    <xf numFmtId="167" fontId="8" fillId="0" borderId="0" xfId="36" applyNumberFormat="1" applyFont="1" applyFill="1" applyAlignment="1">
      <alignment horizontal="center" vertical="center"/>
    </xf>
    <xf numFmtId="167" fontId="9" fillId="0" borderId="0" xfId="36" applyNumberFormat="1" applyFont="1" applyFill="1" applyAlignment="1">
      <alignment vertical="center"/>
    </xf>
    <xf numFmtId="164" fontId="9" fillId="0" borderId="0" xfId="36" applyFont="1" applyFill="1" applyAlignment="1">
      <alignment vertical="center"/>
    </xf>
    <xf numFmtId="164" fontId="10" fillId="0" borderId="0" xfId="36" applyFont="1" applyFill="1" applyAlignment="1">
      <alignment vertical="center"/>
    </xf>
    <xf numFmtId="164" fontId="11" fillId="0" borderId="0" xfId="36" applyFont="1" applyFill="1" applyAlignment="1">
      <alignment vertical="center"/>
    </xf>
    <xf numFmtId="49" fontId="9" fillId="0" borderId="0" xfId="36" applyNumberFormat="1" applyFont="1" applyFill="1" applyAlignment="1">
      <alignment horizontal="center" vertical="center"/>
    </xf>
    <xf numFmtId="49" fontId="8" fillId="0" borderId="0" xfId="36" applyNumberFormat="1" applyFont="1" applyFill="1" applyBorder="1" applyAlignment="1">
      <alignment horizontal="center" vertical="center"/>
    </xf>
    <xf numFmtId="168" fontId="8" fillId="0" borderId="0" xfId="36" applyNumberFormat="1" applyFont="1" applyFill="1" applyAlignment="1">
      <alignment vertical="center"/>
    </xf>
    <xf numFmtId="167" fontId="7" fillId="0" borderId="0" xfId="36" applyNumberFormat="1" applyFont="1" applyFill="1" applyBorder="1" applyAlignment="1">
      <alignment horizontal="left" vertical="center"/>
    </xf>
    <xf numFmtId="167" fontId="6" fillId="0" borderId="0" xfId="36" applyNumberFormat="1" applyFont="1" applyFill="1" applyAlignment="1">
      <alignment vertical="center"/>
    </xf>
    <xf numFmtId="167" fontId="5" fillId="0" borderId="0" xfId="36" applyNumberFormat="1" applyFont="1" applyFill="1" applyBorder="1" applyAlignment="1">
      <alignment vertical="center"/>
    </xf>
    <xf numFmtId="164" fontId="3" fillId="0" borderId="0" xfId="36" applyFont="1" applyFill="1" applyBorder="1" applyAlignment="1">
      <alignment vertical="center"/>
    </xf>
    <xf numFmtId="167" fontId="8" fillId="0" borderId="0" xfId="36" applyNumberFormat="1" applyFont="1" applyFill="1" applyBorder="1" applyAlignment="1">
      <alignment horizontal="right" vertical="center"/>
    </xf>
    <xf numFmtId="164" fontId="4" fillId="0" borderId="0" xfId="36" applyFont="1" applyFill="1" applyBorder="1" applyAlignment="1">
      <alignment vertical="center"/>
    </xf>
    <xf numFmtId="167" fontId="4" fillId="0" borderId="0" xfId="36" applyNumberFormat="1" applyFont="1" applyFill="1" applyBorder="1" applyAlignment="1">
      <alignment vertical="center"/>
    </xf>
    <xf numFmtId="167" fontId="4" fillId="0" borderId="0" xfId="36" applyNumberFormat="1" applyFont="1" applyFill="1" applyBorder="1" applyAlignment="1">
      <alignment vertical="center" wrapText="1"/>
    </xf>
    <xf numFmtId="167" fontId="9" fillId="0" borderId="0" xfId="36" applyNumberFormat="1" applyFont="1" applyFill="1" applyBorder="1" applyAlignment="1">
      <alignment vertical="center"/>
    </xf>
    <xf numFmtId="10" fontId="6" fillId="0" borderId="0" xfId="36" applyNumberFormat="1" applyFont="1" applyFill="1" applyBorder="1" applyAlignment="1">
      <alignment vertical="center"/>
    </xf>
    <xf numFmtId="49" fontId="9" fillId="0" borderId="0" xfId="36" applyNumberFormat="1" applyFont="1" applyFill="1" applyBorder="1" applyAlignment="1">
      <alignment horizontal="center" vertical="center"/>
    </xf>
    <xf numFmtId="166" fontId="7" fillId="0" borderId="10" xfId="36" applyNumberFormat="1" applyFont="1" applyFill="1" applyBorder="1" applyAlignment="1">
      <alignment horizontal="left" vertical="center" wrapText="1"/>
    </xf>
    <xf numFmtId="167" fontId="8" fillId="0" borderId="10" xfId="36" applyNumberFormat="1" applyFont="1" applyFill="1" applyBorder="1" applyAlignment="1">
      <alignment vertical="center" wrapText="1"/>
    </xf>
    <xf numFmtId="164" fontId="5" fillId="0" borderId="0" xfId="36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31" fillId="0" borderId="10" xfId="0" applyFont="1" applyBorder="1" applyAlignment="1">
      <alignment vertical="center" wrapText="1"/>
    </xf>
    <xf numFmtId="3" fontId="0" fillId="0" borderId="0" xfId="0" applyNumberFormat="1"/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9" fontId="34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vertical="center" wrapText="1"/>
    </xf>
    <xf numFmtId="9" fontId="36" fillId="0" borderId="10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4" fillId="0" borderId="10" xfId="0" applyFont="1" applyBorder="1"/>
    <xf numFmtId="3" fontId="34" fillId="0" borderId="10" xfId="0" applyNumberFormat="1" applyFont="1" applyBorder="1"/>
    <xf numFmtId="9" fontId="34" fillId="0" borderId="10" xfId="0" applyNumberFormat="1" applyFont="1" applyBorder="1"/>
    <xf numFmtId="0" fontId="34" fillId="0" borderId="0" xfId="0" applyFont="1" applyBorder="1"/>
    <xf numFmtId="0" fontId="36" fillId="0" borderId="10" xfId="0" applyFont="1" applyBorder="1"/>
    <xf numFmtId="3" fontId="36" fillId="0" borderId="10" xfId="0" applyNumberFormat="1" applyFont="1" applyBorder="1"/>
    <xf numFmtId="9" fontId="36" fillId="0" borderId="10" xfId="0" applyNumberFormat="1" applyFont="1" applyBorder="1"/>
    <xf numFmtId="0" fontId="35" fillId="0" borderId="10" xfId="0" applyFont="1" applyBorder="1"/>
    <xf numFmtId="0" fontId="33" fillId="0" borderId="10" xfId="0" applyFont="1" applyBorder="1"/>
    <xf numFmtId="0" fontId="33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3" fontId="35" fillId="0" borderId="10" xfId="0" applyNumberFormat="1" applyFont="1" applyBorder="1" applyAlignment="1">
      <alignment wrapText="1"/>
    </xf>
    <xf numFmtId="9" fontId="35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Border="1"/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/>
    <xf numFmtId="3" fontId="34" fillId="0" borderId="10" xfId="0" applyNumberFormat="1" applyFont="1" applyBorder="1" applyAlignment="1">
      <alignment horizontal="right"/>
    </xf>
    <xf numFmtId="9" fontId="34" fillId="0" borderId="10" xfId="0" applyNumberFormat="1" applyFont="1" applyBorder="1" applyAlignment="1">
      <alignment horizontal="right"/>
    </xf>
    <xf numFmtId="3" fontId="34" fillId="0" borderId="10" xfId="0" applyNumberFormat="1" applyFont="1" applyFill="1" applyBorder="1" applyAlignment="1">
      <alignment horizontal="right"/>
    </xf>
    <xf numFmtId="0" fontId="37" fillId="0" borderId="10" xfId="0" applyFont="1" applyBorder="1"/>
    <xf numFmtId="3" fontId="37" fillId="0" borderId="10" xfId="0" applyNumberFormat="1" applyFont="1" applyBorder="1" applyAlignment="1">
      <alignment horizontal="right"/>
    </xf>
    <xf numFmtId="9" fontId="37" fillId="0" borderId="10" xfId="0" applyNumberFormat="1" applyFont="1" applyBorder="1" applyAlignment="1">
      <alignment horizontal="right"/>
    </xf>
    <xf numFmtId="0" fontId="38" fillId="0" borderId="0" xfId="0" applyFont="1"/>
    <xf numFmtId="3" fontId="34" fillId="0" borderId="0" xfId="0" applyNumberFormat="1" applyFont="1" applyAlignment="1">
      <alignment horizontal="right"/>
    </xf>
    <xf numFmtId="9" fontId="34" fillId="0" borderId="0" xfId="0" applyNumberFormat="1" applyFont="1" applyAlignment="1">
      <alignment horizontal="right"/>
    </xf>
    <xf numFmtId="0" fontId="34" fillId="0" borderId="0" xfId="0" applyFont="1"/>
    <xf numFmtId="3" fontId="35" fillId="0" borderId="10" xfId="0" applyNumberFormat="1" applyFont="1" applyBorder="1"/>
    <xf numFmtId="9" fontId="35" fillId="0" borderId="10" xfId="0" applyNumberFormat="1" applyFont="1" applyBorder="1"/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wrapText="1"/>
    </xf>
    <xf numFmtId="9" fontId="36" fillId="0" borderId="10" xfId="0" applyNumberFormat="1" applyFont="1" applyBorder="1" applyAlignment="1">
      <alignment wrapText="1"/>
    </xf>
    <xf numFmtId="167" fontId="7" fillId="0" borderId="0" xfId="36" applyNumberFormat="1" applyFont="1" applyFill="1" applyAlignment="1">
      <alignment horizontal="center" vertical="center"/>
    </xf>
    <xf numFmtId="167" fontId="8" fillId="0" borderId="0" xfId="36" applyNumberFormat="1" applyFont="1" applyFill="1" applyAlignment="1">
      <alignment horizontal="right" vertical="center"/>
    </xf>
    <xf numFmtId="49" fontId="8" fillId="0" borderId="0" xfId="36" applyNumberFormat="1" applyFont="1" applyFill="1" applyAlignment="1">
      <alignment horizontal="right" vertical="center"/>
    </xf>
    <xf numFmtId="167" fontId="7" fillId="0" borderId="0" xfId="36" applyNumberFormat="1" applyFont="1" applyFill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wrapText="1"/>
    </xf>
    <xf numFmtId="3" fontId="35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27" fillId="0" borderId="0" xfId="0" applyNumberFormat="1" applyFont="1"/>
    <xf numFmtId="3" fontId="0" fillId="0" borderId="0" xfId="0" applyNumberFormat="1" applyAlignment="1">
      <alignment horizontal="right"/>
    </xf>
    <xf numFmtId="0" fontId="32" fillId="0" borderId="0" xfId="0" applyFont="1"/>
    <xf numFmtId="167" fontId="8" fillId="25" borderId="10" xfId="36" applyNumberFormat="1" applyFont="1" applyFill="1" applyBorder="1" applyAlignment="1">
      <alignment vertical="center" wrapText="1"/>
    </xf>
    <xf numFmtId="167" fontId="8" fillId="25" borderId="10" xfId="36" applyNumberFormat="1" applyFont="1" applyFill="1" applyBorder="1" applyAlignment="1">
      <alignment horizontal="right" vertical="center" wrapText="1"/>
    </xf>
    <xf numFmtId="166" fontId="7" fillId="25" borderId="10" xfId="36" applyNumberFormat="1" applyFont="1" applyFill="1" applyBorder="1" applyAlignment="1">
      <alignment horizontal="left" vertical="center" wrapText="1"/>
    </xf>
    <xf numFmtId="166" fontId="41" fillId="0" borderId="10" xfId="36" applyNumberFormat="1" applyFont="1" applyFill="1" applyBorder="1" applyAlignment="1">
      <alignment horizontal="center" vertical="center" wrapText="1"/>
    </xf>
    <xf numFmtId="9" fontId="41" fillId="0" borderId="10" xfId="40" applyFont="1" applyFill="1" applyBorder="1" applyAlignment="1">
      <alignment horizontal="center" vertical="center" wrapText="1"/>
    </xf>
    <xf numFmtId="164" fontId="41" fillId="0" borderId="10" xfId="36" applyNumberFormat="1" applyFont="1" applyFill="1" applyBorder="1" applyAlignment="1">
      <alignment horizontal="center" vertical="center" wrapText="1"/>
    </xf>
    <xf numFmtId="10" fontId="41" fillId="0" borderId="10" xfId="40" applyNumberFormat="1" applyFont="1" applyFill="1" applyBorder="1" applyAlignment="1">
      <alignment horizontal="center" vertical="center" wrapText="1"/>
    </xf>
    <xf numFmtId="9" fontId="41" fillId="0" borderId="10" xfId="40" applyFont="1" applyFill="1" applyBorder="1" applyAlignment="1">
      <alignment vertical="center" wrapText="1"/>
    </xf>
    <xf numFmtId="167" fontId="5" fillId="0" borderId="0" xfId="36" applyNumberFormat="1" applyFont="1" applyFill="1" applyBorder="1" applyAlignment="1">
      <alignment horizontal="center" vertical="center" wrapText="1"/>
    </xf>
    <xf numFmtId="164" fontId="41" fillId="0" borderId="0" xfId="36" applyFont="1" applyFill="1" applyBorder="1" applyAlignment="1">
      <alignment horizontal="center" vertical="center"/>
    </xf>
    <xf numFmtId="164" fontId="41" fillId="0" borderId="0" xfId="36" applyFont="1" applyFill="1" applyAlignment="1">
      <alignment horizontal="center" vertical="center"/>
    </xf>
    <xf numFmtId="164" fontId="5" fillId="0" borderId="0" xfId="36" applyFont="1" applyFill="1" applyAlignment="1">
      <alignment horizontal="center" vertical="center"/>
    </xf>
    <xf numFmtId="167" fontId="5" fillId="0" borderId="0" xfId="36" applyNumberFormat="1" applyFont="1" applyFill="1" applyBorder="1" applyAlignment="1">
      <alignment vertical="center" wrapText="1"/>
    </xf>
    <xf numFmtId="164" fontId="5" fillId="0" borderId="0" xfId="36" applyFont="1" applyFill="1" applyAlignment="1">
      <alignment horizontal="center" vertical="center" wrapText="1"/>
    </xf>
    <xf numFmtId="164" fontId="5" fillId="0" borderId="0" xfId="36" applyFont="1" applyFill="1" applyBorder="1" applyAlignment="1">
      <alignment vertical="center"/>
    </xf>
    <xf numFmtId="164" fontId="5" fillId="0" borderId="0" xfId="36" applyFont="1" applyFill="1" applyAlignment="1">
      <alignment vertical="center"/>
    </xf>
    <xf numFmtId="164" fontId="41" fillId="0" borderId="18" xfId="36" applyNumberFormat="1" applyFont="1" applyFill="1" applyBorder="1" applyAlignment="1">
      <alignment horizontal="center" vertical="center" wrapText="1"/>
    </xf>
    <xf numFmtId="167" fontId="8" fillId="0" borderId="19" xfId="36" applyNumberFormat="1" applyFont="1" applyFill="1" applyBorder="1" applyAlignment="1">
      <alignment vertical="center" wrapText="1"/>
    </xf>
    <xf numFmtId="166" fontId="7" fillId="0" borderId="19" xfId="36" applyNumberFormat="1" applyFont="1" applyFill="1" applyBorder="1" applyAlignment="1">
      <alignment horizontal="left" vertical="center" wrapText="1"/>
    </xf>
    <xf numFmtId="166" fontId="41" fillId="0" borderId="18" xfId="36" applyNumberFormat="1" applyFont="1" applyFill="1" applyBorder="1" applyAlignment="1">
      <alignment horizontal="center" vertical="center" wrapText="1"/>
    </xf>
    <xf numFmtId="164" fontId="5" fillId="0" borderId="0" xfId="36" applyNumberFormat="1" applyFont="1" applyFill="1" applyBorder="1" applyAlignment="1">
      <alignment vertical="center" wrapText="1"/>
    </xf>
    <xf numFmtId="167" fontId="5" fillId="0" borderId="21" xfId="36" applyNumberFormat="1" applyFont="1" applyFill="1" applyBorder="1" applyAlignment="1">
      <alignment horizontal="left" vertical="center" wrapText="1"/>
    </xf>
    <xf numFmtId="167" fontId="41" fillId="0" borderId="10" xfId="36" applyNumberFormat="1" applyFont="1" applyFill="1" applyBorder="1" applyAlignment="1">
      <alignment horizontal="center" vertical="center" wrapText="1"/>
    </xf>
    <xf numFmtId="166" fontId="5" fillId="0" borderId="10" xfId="36" applyNumberFormat="1" applyFont="1" applyFill="1" applyBorder="1" applyAlignment="1">
      <alignment horizontal="center" vertical="center" wrapText="1"/>
    </xf>
    <xf numFmtId="167" fontId="7" fillId="0" borderId="28" xfId="36" applyNumberFormat="1" applyFont="1" applyFill="1" applyBorder="1" applyAlignment="1">
      <alignment vertical="center"/>
    </xf>
    <xf numFmtId="164" fontId="3" fillId="0" borderId="28" xfId="36" applyFont="1" applyFill="1" applyBorder="1" applyAlignment="1">
      <alignment vertical="center"/>
    </xf>
    <xf numFmtId="164" fontId="7" fillId="0" borderId="28" xfId="36" applyFont="1" applyFill="1" applyBorder="1" applyAlignment="1">
      <alignment vertical="center"/>
    </xf>
    <xf numFmtId="167" fontId="5" fillId="0" borderId="14" xfId="36" applyNumberFormat="1" applyFont="1" applyFill="1" applyBorder="1" applyAlignment="1">
      <alignment horizontal="center" vertical="center" wrapText="1"/>
    </xf>
    <xf numFmtId="164" fontId="41" fillId="0" borderId="18" xfId="36" applyFont="1" applyFill="1" applyBorder="1" applyAlignment="1">
      <alignment horizontal="center" vertical="center"/>
    </xf>
    <xf numFmtId="164" fontId="5" fillId="0" borderId="10" xfId="36" applyNumberFormat="1" applyFont="1" applyFill="1" applyBorder="1" applyAlignment="1">
      <alignment horizontal="center" vertical="center" wrapText="1"/>
    </xf>
    <xf numFmtId="167" fontId="5" fillId="0" borderId="10" xfId="36" applyNumberFormat="1" applyFont="1" applyFill="1" applyBorder="1" applyAlignment="1">
      <alignment vertical="center" wrapText="1"/>
    </xf>
    <xf numFmtId="164" fontId="41" fillId="0" borderId="10" xfId="36" applyFont="1" applyFill="1" applyBorder="1" applyAlignment="1">
      <alignment horizontal="center" vertical="center"/>
    </xf>
    <xf numFmtId="164" fontId="5" fillId="0" borderId="10" xfId="36" applyFont="1" applyFill="1" applyBorder="1" applyAlignment="1">
      <alignment horizontal="center" vertical="center"/>
    </xf>
    <xf numFmtId="167" fontId="7" fillId="0" borderId="10" xfId="36" applyNumberFormat="1" applyFont="1" applyFill="1" applyBorder="1" applyAlignment="1">
      <alignment vertical="center" wrapText="1"/>
    </xf>
    <xf numFmtId="9" fontId="41" fillId="0" borderId="10" xfId="40" applyNumberFormat="1" applyFont="1" applyFill="1" applyBorder="1" applyAlignment="1">
      <alignment horizontal="center" vertical="center" wrapText="1"/>
    </xf>
    <xf numFmtId="167" fontId="8" fillId="0" borderId="10" xfId="36" applyNumberFormat="1" applyFont="1" applyFill="1" applyBorder="1" applyAlignment="1">
      <alignment vertical="center"/>
    </xf>
    <xf numFmtId="167" fontId="7" fillId="0" borderId="10" xfId="36" applyNumberFormat="1" applyFont="1" applyFill="1" applyBorder="1" applyAlignment="1">
      <alignment vertical="center"/>
    </xf>
    <xf numFmtId="49" fontId="8" fillId="0" borderId="10" xfId="36" applyNumberFormat="1" applyFont="1" applyFill="1" applyBorder="1" applyAlignment="1">
      <alignment horizontal="center" vertical="center"/>
    </xf>
    <xf numFmtId="167" fontId="7" fillId="0" borderId="14" xfId="36" applyNumberFormat="1" applyFont="1" applyFill="1" applyBorder="1" applyAlignment="1">
      <alignment vertical="center" wrapText="1"/>
    </xf>
    <xf numFmtId="167" fontId="5" fillId="0" borderId="17" xfId="36" applyNumberFormat="1" applyFont="1" applyFill="1" applyBorder="1" applyAlignment="1">
      <alignment vertical="center" wrapText="1"/>
    </xf>
    <xf numFmtId="49" fontId="5" fillId="0" borderId="30" xfId="36" applyNumberFormat="1" applyFont="1" applyFill="1" applyBorder="1" applyAlignment="1">
      <alignment horizontal="center" vertical="center" wrapText="1"/>
    </xf>
    <xf numFmtId="167" fontId="5" fillId="0" borderId="30" xfId="36" applyNumberFormat="1" applyFont="1" applyFill="1" applyBorder="1" applyAlignment="1">
      <alignment horizontal="center" vertical="center" wrapText="1"/>
    </xf>
    <xf numFmtId="167" fontId="5" fillId="0" borderId="27" xfId="36" applyNumberFormat="1" applyFont="1" applyFill="1" applyBorder="1" applyAlignment="1">
      <alignment horizontal="center" vertical="center" wrapText="1"/>
    </xf>
    <xf numFmtId="167" fontId="5" fillId="0" borderId="32" xfId="36" applyNumberFormat="1" applyFont="1" applyFill="1" applyBorder="1" applyAlignment="1">
      <alignment horizontal="center" vertical="center" wrapText="1"/>
    </xf>
    <xf numFmtId="167" fontId="7" fillId="0" borderId="26" xfId="36" applyNumberFormat="1" applyFont="1" applyFill="1" applyBorder="1" applyAlignment="1">
      <alignment vertical="center" wrapText="1"/>
    </xf>
    <xf numFmtId="166" fontId="7" fillId="24" borderId="19" xfId="36" applyNumberFormat="1" applyFont="1" applyFill="1" applyBorder="1" applyAlignment="1">
      <alignment horizontal="left" vertical="center" wrapText="1"/>
    </xf>
    <xf numFmtId="167" fontId="8" fillId="24" borderId="19" xfId="36" applyNumberFormat="1" applyFont="1" applyFill="1" applyBorder="1" applyAlignment="1">
      <alignment vertical="center" wrapText="1"/>
    </xf>
    <xf numFmtId="167" fontId="7" fillId="0" borderId="19" xfId="36" applyNumberFormat="1" applyFont="1" applyFill="1" applyBorder="1" applyAlignment="1">
      <alignment vertical="center" wrapText="1"/>
    </xf>
    <xf numFmtId="167" fontId="41" fillId="0" borderId="18" xfId="36" applyNumberFormat="1" applyFont="1" applyFill="1" applyBorder="1" applyAlignment="1">
      <alignment horizontal="center" vertical="center" wrapText="1"/>
    </xf>
    <xf numFmtId="167" fontId="8" fillId="0" borderId="19" xfId="36" applyNumberFormat="1" applyFont="1" applyFill="1" applyBorder="1" applyAlignment="1">
      <alignment horizontal="center" vertical="center"/>
    </xf>
    <xf numFmtId="164" fontId="41" fillId="0" borderId="29" xfId="36" applyFont="1" applyFill="1" applyBorder="1" applyAlignment="1">
      <alignment horizontal="center" vertical="center"/>
    </xf>
    <xf numFmtId="164" fontId="41" fillId="0" borderId="30" xfId="36" applyFont="1" applyFill="1" applyBorder="1" applyAlignment="1">
      <alignment horizontal="center" vertical="center"/>
    </xf>
    <xf numFmtId="164" fontId="5" fillId="0" borderId="30" xfId="36" applyFont="1" applyFill="1" applyBorder="1" applyAlignment="1">
      <alignment horizontal="center" vertical="center"/>
    </xf>
    <xf numFmtId="167" fontId="8" fillId="0" borderId="30" xfId="36" applyNumberFormat="1" applyFont="1" applyFill="1" applyBorder="1" applyAlignment="1">
      <alignment vertical="center"/>
    </xf>
    <xf numFmtId="167" fontId="7" fillId="0" borderId="30" xfId="36" applyNumberFormat="1" applyFont="1" applyFill="1" applyBorder="1" applyAlignment="1">
      <alignment vertical="center"/>
    </xf>
    <xf numFmtId="49" fontId="8" fillId="0" borderId="30" xfId="36" applyNumberFormat="1" applyFont="1" applyFill="1" applyBorder="1" applyAlignment="1">
      <alignment horizontal="center" vertical="center"/>
    </xf>
    <xf numFmtId="167" fontId="8" fillId="0" borderId="27" xfId="36" applyNumberFormat="1" applyFont="1" applyFill="1" applyBorder="1" applyAlignment="1">
      <alignment horizontal="center" vertical="center"/>
    </xf>
    <xf numFmtId="165" fontId="5" fillId="0" borderId="21" xfId="40" applyNumberFormat="1" applyFont="1" applyFill="1" applyBorder="1" applyAlignment="1">
      <alignment horizontal="center" vertical="center" wrapText="1"/>
    </xf>
    <xf numFmtId="167" fontId="5" fillId="0" borderId="10" xfId="36" applyNumberFormat="1" applyFont="1" applyFill="1" applyBorder="1" applyAlignment="1">
      <alignment horizontal="center" vertical="center" wrapText="1"/>
    </xf>
    <xf numFmtId="164" fontId="5" fillId="0" borderId="20" xfId="36" applyNumberFormat="1" applyFont="1" applyFill="1" applyBorder="1" applyAlignment="1">
      <alignment horizontal="center" vertical="center" wrapText="1"/>
    </xf>
    <xf numFmtId="164" fontId="5" fillId="0" borderId="21" xfId="36" applyNumberFormat="1" applyFont="1" applyFill="1" applyBorder="1" applyAlignment="1">
      <alignment horizontal="center" vertical="center" wrapText="1"/>
    </xf>
    <xf numFmtId="167" fontId="39" fillId="0" borderId="21" xfId="36" applyNumberFormat="1" applyFont="1" applyFill="1" applyBorder="1" applyAlignment="1">
      <alignment horizontal="center" vertical="center" wrapText="1"/>
    </xf>
    <xf numFmtId="167" fontId="39" fillId="0" borderId="22" xfId="36" applyNumberFormat="1" applyFont="1" applyFill="1" applyBorder="1" applyAlignment="1">
      <alignment horizontal="center" vertical="center" wrapText="1"/>
    </xf>
    <xf numFmtId="167" fontId="5" fillId="0" borderId="11" xfId="36" applyNumberFormat="1" applyFont="1" applyFill="1" applyBorder="1" applyAlignment="1">
      <alignment horizontal="center" vertical="center" wrapText="1"/>
    </xf>
    <xf numFmtId="167" fontId="5" fillId="0" borderId="33" xfId="36" applyNumberFormat="1" applyFont="1" applyFill="1" applyBorder="1" applyAlignment="1">
      <alignment horizontal="center" vertical="center" wrapText="1"/>
    </xf>
    <xf numFmtId="167" fontId="5" fillId="0" borderId="12" xfId="36" applyNumberFormat="1" applyFont="1" applyFill="1" applyBorder="1" applyAlignment="1">
      <alignment horizontal="center" vertical="center" wrapText="1"/>
    </xf>
    <xf numFmtId="167" fontId="5" fillId="0" borderId="23" xfId="36" applyNumberFormat="1" applyFont="1" applyFill="1" applyBorder="1" applyAlignment="1">
      <alignment horizontal="center" vertical="center" wrapText="1"/>
    </xf>
    <xf numFmtId="167" fontId="5" fillId="0" borderId="24" xfId="36" applyNumberFormat="1" applyFont="1" applyFill="1" applyBorder="1" applyAlignment="1">
      <alignment horizontal="center" vertical="center" wrapText="1"/>
    </xf>
    <xf numFmtId="167" fontId="5" fillId="0" borderId="25" xfId="36" applyNumberFormat="1" applyFont="1" applyFill="1" applyBorder="1" applyAlignment="1">
      <alignment horizontal="center" vertical="center" wrapText="1"/>
    </xf>
    <xf numFmtId="164" fontId="5" fillId="26" borderId="0" xfId="36" applyNumberFormat="1" applyFont="1" applyFill="1" applyBorder="1" applyAlignment="1">
      <alignment horizontal="left" vertical="center" wrapText="1"/>
    </xf>
    <xf numFmtId="164" fontId="5" fillId="0" borderId="16" xfId="36" applyNumberFormat="1" applyFont="1" applyFill="1" applyBorder="1" applyAlignment="1">
      <alignment horizontal="center" vertical="center" wrapText="1"/>
    </xf>
    <xf numFmtId="164" fontId="5" fillId="0" borderId="18" xfId="36" applyNumberFormat="1" applyFont="1" applyFill="1" applyBorder="1" applyAlignment="1">
      <alignment horizontal="center" vertical="center" wrapText="1"/>
    </xf>
    <xf numFmtId="164" fontId="5" fillId="0" borderId="29" xfId="36" applyNumberFormat="1" applyFont="1" applyFill="1" applyBorder="1" applyAlignment="1">
      <alignment horizontal="center" vertical="center" wrapText="1"/>
    </xf>
    <xf numFmtId="167" fontId="5" fillId="0" borderId="13" xfId="36" applyNumberFormat="1" applyFont="1" applyFill="1" applyBorder="1" applyAlignment="1">
      <alignment horizontal="center" vertical="center" wrapText="1"/>
    </xf>
    <xf numFmtId="167" fontId="5" fillId="0" borderId="31" xfId="36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64" fontId="4" fillId="0" borderId="0" xfId="36" applyNumberFormat="1" applyFont="1" applyFill="1" applyBorder="1" applyAlignment="1">
      <alignment vertical="center"/>
    </xf>
    <xf numFmtId="164" fontId="5" fillId="0" borderId="13" xfId="36" applyNumberFormat="1" applyFont="1" applyFill="1" applyBorder="1" applyAlignment="1">
      <alignment horizontal="center" vertical="center" wrapText="1"/>
    </xf>
    <xf numFmtId="164" fontId="5" fillId="0" borderId="31" xfId="36" applyNumberFormat="1" applyFont="1" applyFill="1" applyBorder="1" applyAlignment="1">
      <alignment horizontal="center" vertical="center" wrapText="1"/>
    </xf>
    <xf numFmtId="164" fontId="5" fillId="0" borderId="14" xfId="36" applyNumberFormat="1" applyFont="1" applyFill="1" applyBorder="1" applyAlignment="1">
      <alignment horizontal="center" vertical="center" wrapText="1"/>
    </xf>
    <xf numFmtId="164" fontId="5" fillId="0" borderId="10" xfId="36" applyNumberFormat="1" applyFont="1" applyFill="1" applyBorder="1" applyAlignment="1">
      <alignment horizontal="center" vertical="center"/>
    </xf>
    <xf numFmtId="164" fontId="41" fillId="0" borderId="30" xfId="36" applyNumberFormat="1" applyFont="1" applyFill="1" applyBorder="1" applyAlignment="1">
      <alignment horizontal="center" vertical="center"/>
    </xf>
    <xf numFmtId="164" fontId="5" fillId="26" borderId="21" xfId="36" applyNumberFormat="1" applyFont="1" applyFill="1" applyBorder="1" applyAlignment="1">
      <alignment horizontal="center" vertical="center" wrapText="1"/>
    </xf>
    <xf numFmtId="164" fontId="41" fillId="0" borderId="0" xfId="36" applyNumberFormat="1" applyFont="1" applyFill="1" applyBorder="1" applyAlignment="1">
      <alignment horizontal="center" vertical="center"/>
    </xf>
    <xf numFmtId="164" fontId="41" fillId="0" borderId="0" xfId="36" applyNumberFormat="1" applyFont="1" applyFill="1" applyAlignment="1">
      <alignment horizontal="center" vertical="center"/>
    </xf>
    <xf numFmtId="164" fontId="5" fillId="0" borderId="30" xfId="36" applyNumberFormat="1" applyFont="1" applyFill="1" applyBorder="1" applyAlignment="1">
      <alignment horizontal="center" vertical="center" wrapText="1"/>
    </xf>
    <xf numFmtId="164" fontId="7" fillId="0" borderId="14" xfId="36" applyNumberFormat="1" applyFont="1" applyFill="1" applyBorder="1" applyAlignment="1">
      <alignment vertical="center" wrapText="1"/>
    </xf>
    <xf numFmtId="164" fontId="41" fillId="0" borderId="10" xfId="36" applyNumberFormat="1" applyFont="1" applyFill="1" applyBorder="1" applyAlignment="1">
      <alignment horizontal="left" vertical="center" wrapText="1"/>
    </xf>
    <xf numFmtId="164" fontId="5" fillId="0" borderId="10" xfId="36" applyNumberFormat="1" applyFont="1" applyFill="1" applyBorder="1" applyAlignment="1">
      <alignment vertical="center" wrapText="1"/>
    </xf>
    <xf numFmtId="164" fontId="41" fillId="0" borderId="10" xfId="36" applyNumberFormat="1" applyFont="1" applyFill="1" applyBorder="1" applyAlignment="1">
      <alignment horizontal="right" vertical="center" wrapText="1"/>
    </xf>
    <xf numFmtId="164" fontId="8" fillId="0" borderId="10" xfId="36" applyNumberFormat="1" applyFont="1" applyFill="1" applyBorder="1" applyAlignment="1">
      <alignment horizontal="center" vertical="center"/>
    </xf>
    <xf numFmtId="164" fontId="8" fillId="0" borderId="30" xfId="36" applyNumberFormat="1" applyFont="1" applyFill="1" applyBorder="1" applyAlignment="1">
      <alignment horizontal="center" vertical="center"/>
    </xf>
    <xf numFmtId="164" fontId="5" fillId="0" borderId="21" xfId="36" applyNumberFormat="1" applyFont="1" applyFill="1" applyBorder="1" applyAlignment="1">
      <alignment horizontal="right" vertical="center" wrapText="1"/>
    </xf>
    <xf numFmtId="164" fontId="8" fillId="0" borderId="0" xfId="36" applyNumberFormat="1" applyFont="1" applyFill="1" applyBorder="1" applyAlignment="1">
      <alignment horizontal="center" vertical="center"/>
    </xf>
    <xf numFmtId="164" fontId="9" fillId="0" borderId="0" xfId="36" applyNumberFormat="1" applyFont="1" applyFill="1" applyBorder="1" applyAlignment="1">
      <alignment horizontal="center" vertical="center"/>
    </xf>
    <xf numFmtId="164" fontId="9" fillId="0" borderId="0" xfId="36" applyNumberFormat="1" applyFont="1" applyFill="1" applyAlignment="1">
      <alignment horizontal="center" vertical="center"/>
    </xf>
    <xf numFmtId="164" fontId="8" fillId="0" borderId="0" xfId="36" applyNumberFormat="1" applyFont="1" applyFill="1" applyAlignment="1">
      <alignment horizontal="center" vertical="center"/>
    </xf>
    <xf numFmtId="164" fontId="7" fillId="0" borderId="10" xfId="36" applyNumberFormat="1" applyFont="1" applyFill="1" applyBorder="1" applyAlignment="1">
      <alignment horizontal="center" vertical="center"/>
    </xf>
    <xf numFmtId="164" fontId="7" fillId="0" borderId="30" xfId="36" applyNumberFormat="1" applyFont="1" applyFill="1" applyBorder="1" applyAlignment="1">
      <alignment horizontal="center" vertical="center"/>
    </xf>
    <xf numFmtId="164" fontId="7" fillId="0" borderId="0" xfId="36" applyNumberFormat="1" applyFont="1" applyFill="1" applyBorder="1" applyAlignment="1">
      <alignment horizontal="center" vertical="center"/>
    </xf>
    <xf numFmtId="164" fontId="6" fillId="0" borderId="0" xfId="36" applyNumberFormat="1" applyFont="1" applyFill="1" applyBorder="1" applyAlignment="1">
      <alignment horizontal="center" vertical="center"/>
    </xf>
    <xf numFmtId="164" fontId="6" fillId="0" borderId="0" xfId="36" applyNumberFormat="1" applyFont="1" applyFill="1" applyAlignment="1">
      <alignment horizontal="center" vertical="center"/>
    </xf>
    <xf numFmtId="164" fontId="7" fillId="0" borderId="0" xfId="36" applyNumberFormat="1" applyFont="1" applyFill="1" applyAlignment="1">
      <alignment horizontal="center" vertical="center"/>
    </xf>
    <xf numFmtId="164" fontId="8" fillId="0" borderId="0" xfId="36" applyNumberFormat="1" applyFont="1" applyFill="1" applyAlignment="1">
      <alignment horizontal="right" vertical="center"/>
    </xf>
    <xf numFmtId="164" fontId="7" fillId="0" borderId="0" xfId="36" applyNumberFormat="1" applyFont="1" applyFill="1" applyAlignment="1">
      <alignment horizontal="right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" xfId="36" builtinId="3"/>
    <cellStyle name="Neutral" xfId="37" builtinId="28" customBuiltin="1"/>
    <cellStyle name="Normal" xfId="0" builtinId="0"/>
    <cellStyle name="Note" xfId="38"/>
    <cellStyle name="Output" xfId="39"/>
    <cellStyle name="Porcentaje" xfId="40" builtinId="5"/>
    <cellStyle name="Title" xfId="41"/>
    <cellStyle name="Total" xfId="42" builtinId="25" customBuiltin="1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general\uecb\I.%20PROYECTOS\CIUDAD%20BICENTENARIO\ORDENANZA%202009\26-03-2009\CUADROS%2017-04-2009\equipamiento_2009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IENTO"/>
    </sheetNames>
    <sheetDataSet>
      <sheetData sheetId="0" refreshError="1">
        <row r="54">
          <cell r="P54">
            <v>1365.4</v>
          </cell>
        </row>
        <row r="57">
          <cell r="P57">
            <v>37101.352699999996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tabSelected="1" view="pageBreakPreview" topLeftCell="A16" zoomScale="85" zoomScaleNormal="55" zoomScaleSheetLayoutView="85" zoomScalePageLayoutView="55" workbookViewId="0">
      <selection activeCell="E16" sqref="E16"/>
    </sheetView>
  </sheetViews>
  <sheetFormatPr baseColWidth="10" defaultRowHeight="24.75" customHeight="1" x14ac:dyDescent="0.2"/>
  <cols>
    <col min="1" max="1" width="33" style="121" customWidth="1"/>
    <col min="2" max="2" width="13.7109375" style="121" hidden="1" customWidth="1"/>
    <col min="3" max="3" width="44.42578125" style="122" customWidth="1"/>
    <col min="4" max="4" width="18.5703125" style="218" bestFit="1" customWidth="1"/>
    <col min="5" max="5" width="12.28515625" style="2" bestFit="1" customWidth="1"/>
    <col min="6" max="6" width="29.42578125" style="230" customWidth="1"/>
    <col min="7" max="7" width="18.28515625" style="8" bestFit="1" customWidth="1"/>
    <col min="8" max="8" width="27.7109375" style="236" customWidth="1"/>
    <col min="9" max="9" width="13.7109375" style="9" customWidth="1"/>
    <col min="10" max="10" width="15.7109375" style="12" customWidth="1"/>
    <col min="11" max="14" width="13.5703125" style="2" customWidth="1"/>
    <col min="15" max="15" width="13.5703125" style="1" customWidth="1"/>
    <col min="16" max="16" width="14.5703125" style="1" customWidth="1"/>
    <col min="17" max="17" width="11.42578125" style="1"/>
    <col min="18" max="18" width="12.140625" style="1" customWidth="1"/>
    <col min="19" max="16384" width="11.42578125" style="1"/>
  </cols>
  <sheetData>
    <row r="1" spans="1:15" s="122" customFormat="1" ht="24" customHeight="1" thickBot="1" x14ac:dyDescent="0.25">
      <c r="A1" s="180" t="s">
        <v>0</v>
      </c>
      <c r="B1" s="180"/>
      <c r="C1" s="180"/>
      <c r="D1" s="131"/>
      <c r="E1" s="131"/>
      <c r="F1" s="131"/>
      <c r="G1" s="131"/>
      <c r="H1" s="131"/>
      <c r="I1" s="131"/>
      <c r="J1" s="131"/>
      <c r="K1" s="22"/>
      <c r="L1" s="22"/>
      <c r="M1" s="22"/>
      <c r="N1" s="22"/>
      <c r="O1" s="22"/>
    </row>
    <row r="2" spans="1:15" s="122" customFormat="1" ht="30" customHeight="1" x14ac:dyDescent="0.2">
      <c r="A2" s="181" t="s">
        <v>116</v>
      </c>
      <c r="B2" s="150"/>
      <c r="C2" s="177" t="s">
        <v>144</v>
      </c>
      <c r="D2" s="178"/>
      <c r="E2" s="178"/>
      <c r="F2" s="178"/>
      <c r="G2" s="178"/>
      <c r="H2" s="178"/>
      <c r="I2" s="178"/>
      <c r="J2" s="179"/>
      <c r="K2" s="123"/>
      <c r="L2" s="123"/>
      <c r="M2" s="123"/>
      <c r="N2" s="123"/>
      <c r="O2" s="123"/>
    </row>
    <row r="3" spans="1:15" s="124" customFormat="1" ht="30" customHeight="1" x14ac:dyDescent="0.2">
      <c r="A3" s="182"/>
      <c r="B3" s="184" t="s">
        <v>20</v>
      </c>
      <c r="C3" s="184" t="s">
        <v>0</v>
      </c>
      <c r="D3" s="211" t="s">
        <v>128</v>
      </c>
      <c r="E3" s="174" t="s">
        <v>9</v>
      </c>
      <c r="F3" s="176"/>
      <c r="G3" s="174" t="s">
        <v>2</v>
      </c>
      <c r="H3" s="176"/>
      <c r="I3" s="174" t="s">
        <v>6</v>
      </c>
      <c r="J3" s="175"/>
      <c r="K3" s="119"/>
      <c r="L3" s="119"/>
      <c r="M3" s="119"/>
      <c r="N3" s="119"/>
      <c r="O3" s="119"/>
    </row>
    <row r="4" spans="1:15" s="126" customFormat="1" ht="52.5" customHeight="1" thickBot="1" x14ac:dyDescent="0.25">
      <c r="A4" s="183"/>
      <c r="B4" s="185"/>
      <c r="C4" s="185"/>
      <c r="D4" s="212"/>
      <c r="E4" s="151" t="s">
        <v>3</v>
      </c>
      <c r="F4" s="219" t="s">
        <v>10</v>
      </c>
      <c r="G4" s="152" t="s">
        <v>4</v>
      </c>
      <c r="H4" s="219" t="s">
        <v>10</v>
      </c>
      <c r="I4" s="152" t="s">
        <v>7</v>
      </c>
      <c r="J4" s="153" t="s">
        <v>8</v>
      </c>
      <c r="K4" s="22"/>
      <c r="L4" s="22"/>
      <c r="M4" s="22"/>
      <c r="N4" s="22"/>
      <c r="O4" s="125"/>
    </row>
    <row r="5" spans="1:15" ht="9.9499999999999993" customHeight="1" x14ac:dyDescent="0.2">
      <c r="A5" s="154"/>
      <c r="B5" s="138"/>
      <c r="C5" s="138"/>
      <c r="D5" s="213"/>
      <c r="E5" s="149"/>
      <c r="F5" s="220"/>
      <c r="G5" s="149"/>
      <c r="H5" s="220"/>
      <c r="I5" s="149"/>
      <c r="J5" s="155"/>
      <c r="K5" s="7"/>
      <c r="L5" s="7"/>
      <c r="M5" s="7"/>
      <c r="N5" s="7"/>
      <c r="O5" s="5"/>
    </row>
    <row r="6" spans="1:15" ht="30" customHeight="1" x14ac:dyDescent="0.2">
      <c r="A6" s="130" t="s">
        <v>24</v>
      </c>
      <c r="B6" s="114" t="s">
        <v>121</v>
      </c>
      <c r="C6" s="134" t="s">
        <v>127</v>
      </c>
      <c r="D6" s="140">
        <v>20626</v>
      </c>
      <c r="E6" s="115">
        <v>0.35</v>
      </c>
      <c r="F6" s="221">
        <f>D6*E6</f>
        <v>7219.0999999999995</v>
      </c>
      <c r="G6" s="115">
        <v>1.05</v>
      </c>
      <c r="H6" s="221">
        <f>F6*3</f>
        <v>21657.3</v>
      </c>
      <c r="I6" s="31"/>
      <c r="J6" s="156"/>
      <c r="K6" s="7"/>
      <c r="L6" s="7"/>
      <c r="M6" s="7"/>
      <c r="N6" s="7"/>
      <c r="O6" s="23"/>
    </row>
    <row r="7" spans="1:15" ht="9.9499999999999993" customHeight="1" x14ac:dyDescent="0.2">
      <c r="A7" s="130"/>
      <c r="B7" s="114"/>
      <c r="C7" s="134"/>
      <c r="D7" s="116"/>
      <c r="E7" s="115"/>
      <c r="F7" s="221"/>
      <c r="G7" s="115"/>
      <c r="H7" s="221"/>
      <c r="I7" s="31"/>
      <c r="J7" s="156"/>
      <c r="K7" s="7"/>
      <c r="L7" s="7"/>
      <c r="M7" s="7"/>
      <c r="N7" s="7"/>
      <c r="O7" s="23"/>
    </row>
    <row r="8" spans="1:15" s="6" customFormat="1" ht="65.25" customHeight="1" x14ac:dyDescent="0.2">
      <c r="A8" s="127" t="s">
        <v>136</v>
      </c>
      <c r="B8" s="114">
        <f>(10000/5000)*(400)</f>
        <v>800</v>
      </c>
      <c r="C8" s="134" t="s">
        <v>138</v>
      </c>
      <c r="D8" s="140">
        <f>1432+1032</f>
        <v>2464</v>
      </c>
      <c r="E8" s="115">
        <v>0.25</v>
      </c>
      <c r="F8" s="221">
        <f>D8*E8</f>
        <v>616</v>
      </c>
      <c r="G8" s="115">
        <v>0.75</v>
      </c>
      <c r="H8" s="221">
        <f>F8*3</f>
        <v>1848</v>
      </c>
      <c r="I8" s="32"/>
      <c r="J8" s="157"/>
      <c r="K8" s="11"/>
      <c r="L8" s="11"/>
      <c r="M8" s="11"/>
      <c r="N8" s="11"/>
      <c r="O8" s="23"/>
    </row>
    <row r="9" spans="1:15" s="4" customFormat="1" ht="9.9499999999999993" customHeight="1" x14ac:dyDescent="0.2">
      <c r="A9" s="127"/>
      <c r="B9" s="114"/>
      <c r="C9" s="134"/>
      <c r="D9" s="116"/>
      <c r="E9" s="115"/>
      <c r="F9" s="221"/>
      <c r="G9" s="115"/>
      <c r="H9" s="221"/>
      <c r="I9" s="32"/>
      <c r="J9" s="157"/>
      <c r="K9" s="11"/>
      <c r="L9" s="11"/>
      <c r="M9" s="11"/>
      <c r="N9" s="11"/>
      <c r="O9" s="23"/>
    </row>
    <row r="10" spans="1:15" s="6" customFormat="1" ht="30" customHeight="1" x14ac:dyDescent="0.2">
      <c r="A10" s="127" t="s">
        <v>120</v>
      </c>
      <c r="B10" s="114"/>
      <c r="C10" s="134" t="s">
        <v>143</v>
      </c>
      <c r="D10" s="116">
        <v>1157</v>
      </c>
      <c r="E10" s="115">
        <v>0.25</v>
      </c>
      <c r="F10" s="221">
        <f>D10*E10</f>
        <v>289.25</v>
      </c>
      <c r="G10" s="115">
        <v>0.75</v>
      </c>
      <c r="H10" s="221">
        <f t="shared" ref="H10:H11" si="0">F10*3</f>
        <v>867.75</v>
      </c>
      <c r="I10" s="32"/>
      <c r="J10" s="157"/>
      <c r="K10" s="11"/>
      <c r="L10" s="11"/>
      <c r="M10" s="11"/>
      <c r="N10" s="11"/>
      <c r="O10" s="23"/>
    </row>
    <row r="11" spans="1:15" ht="30" customHeight="1" x14ac:dyDescent="0.2">
      <c r="A11" s="130" t="s">
        <v>137</v>
      </c>
      <c r="B11" s="133">
        <f>SUM(B26:B37)</f>
        <v>16000</v>
      </c>
      <c r="C11" s="134" t="s">
        <v>146</v>
      </c>
      <c r="D11" s="116">
        <v>1132</v>
      </c>
      <c r="E11" s="115">
        <v>0.25</v>
      </c>
      <c r="F11" s="221">
        <f>D11*E11</f>
        <v>283</v>
      </c>
      <c r="G11" s="115">
        <v>0.75</v>
      </c>
      <c r="H11" s="221">
        <f t="shared" si="0"/>
        <v>849</v>
      </c>
      <c r="I11" s="111"/>
      <c r="J11" s="158"/>
      <c r="K11" s="7"/>
      <c r="L11" s="7"/>
      <c r="M11" s="7"/>
      <c r="N11" s="5"/>
      <c r="O11" s="5"/>
    </row>
    <row r="12" spans="1:15" ht="30" customHeight="1" x14ac:dyDescent="0.2">
      <c r="A12" s="130"/>
      <c r="B12" s="133"/>
      <c r="C12" s="134"/>
      <c r="D12" s="140">
        <f>+D10+D11</f>
        <v>2289</v>
      </c>
      <c r="E12" s="115"/>
      <c r="F12" s="221"/>
      <c r="G12" s="115"/>
      <c r="H12" s="221"/>
      <c r="I12" s="111"/>
      <c r="J12" s="158"/>
      <c r="K12" s="7"/>
      <c r="L12" s="7"/>
      <c r="M12" s="7"/>
      <c r="N12" s="5"/>
      <c r="O12" s="5"/>
    </row>
    <row r="13" spans="1:15" ht="9.9499999999999993" customHeight="1" x14ac:dyDescent="0.2">
      <c r="A13" s="159"/>
      <c r="B13" s="133"/>
      <c r="C13" s="169"/>
      <c r="D13" s="116"/>
      <c r="E13" s="141"/>
      <c r="F13" s="222"/>
      <c r="G13" s="141"/>
      <c r="H13" s="222"/>
      <c r="I13" s="144"/>
      <c r="J13" s="158"/>
      <c r="K13" s="7"/>
      <c r="L13" s="7"/>
      <c r="M13" s="7"/>
      <c r="N13" s="7"/>
      <c r="O13" s="23"/>
    </row>
    <row r="14" spans="1:15" ht="36" x14ac:dyDescent="0.2">
      <c r="A14" s="127" t="s">
        <v>16</v>
      </c>
      <c r="B14" s="114">
        <f>(10000/2000)*(300)</f>
        <v>1500</v>
      </c>
      <c r="C14" s="134" t="s">
        <v>140</v>
      </c>
      <c r="D14" s="116">
        <f>1500+2621+2135</f>
        <v>6256</v>
      </c>
      <c r="E14" s="115">
        <v>0.25</v>
      </c>
      <c r="F14" s="223">
        <f>D14*E14</f>
        <v>1564</v>
      </c>
      <c r="G14" s="115">
        <v>0.75</v>
      </c>
      <c r="H14" s="221">
        <f>F14*3</f>
        <v>4692</v>
      </c>
      <c r="I14" s="111"/>
      <c r="J14" s="128"/>
      <c r="K14" s="24"/>
      <c r="L14" s="24"/>
      <c r="M14" s="24"/>
      <c r="N14" s="24"/>
      <c r="O14" s="24"/>
    </row>
    <row r="15" spans="1:15" ht="30" customHeight="1" x14ac:dyDescent="0.2">
      <c r="A15" s="127" t="s">
        <v>11</v>
      </c>
      <c r="B15" s="114">
        <f>(10000/2000)*(300)</f>
        <v>1500</v>
      </c>
      <c r="C15" s="134" t="s">
        <v>129</v>
      </c>
      <c r="D15" s="116">
        <v>599</v>
      </c>
      <c r="E15" s="115">
        <v>0.25</v>
      </c>
      <c r="F15" s="221">
        <f>D15*E15</f>
        <v>149.75</v>
      </c>
      <c r="G15" s="115">
        <v>0.75</v>
      </c>
      <c r="H15" s="221">
        <f>F15*3</f>
        <v>449.25</v>
      </c>
      <c r="I15" s="111"/>
      <c r="J15" s="128"/>
      <c r="K15" s="7"/>
      <c r="L15" s="7"/>
      <c r="M15" s="7"/>
      <c r="N15" s="7"/>
      <c r="O15" s="23"/>
    </row>
    <row r="16" spans="1:15" ht="30" customHeight="1" x14ac:dyDescent="0.2">
      <c r="A16" s="127" t="s">
        <v>12</v>
      </c>
      <c r="B16" s="114">
        <f>(10000/2000)*(300)</f>
        <v>1500</v>
      </c>
      <c r="C16" s="134" t="s">
        <v>129</v>
      </c>
      <c r="D16" s="116">
        <v>1001</v>
      </c>
      <c r="E16" s="115">
        <v>0.25</v>
      </c>
      <c r="F16" s="221">
        <f>D16*E16</f>
        <v>250.25</v>
      </c>
      <c r="G16" s="115">
        <v>0.75</v>
      </c>
      <c r="H16" s="221">
        <f>F16*3</f>
        <v>750.75</v>
      </c>
      <c r="I16" s="111"/>
      <c r="J16" s="128"/>
      <c r="K16" s="7"/>
      <c r="L16" s="7"/>
      <c r="M16" s="7"/>
      <c r="N16" s="7"/>
      <c r="O16" s="23"/>
    </row>
    <row r="17" spans="1:15" ht="30" customHeight="1" x14ac:dyDescent="0.2">
      <c r="A17" s="127" t="s">
        <v>18</v>
      </c>
      <c r="B17" s="114">
        <f>(10000/2000)*(300)</f>
        <v>1500</v>
      </c>
      <c r="C17" s="134" t="s">
        <v>129</v>
      </c>
      <c r="D17" s="116">
        <v>755</v>
      </c>
      <c r="E17" s="115">
        <v>0.25</v>
      </c>
      <c r="F17" s="221">
        <f>D17*E17</f>
        <v>188.75</v>
      </c>
      <c r="G17" s="115">
        <v>0.75</v>
      </c>
      <c r="H17" s="221">
        <f>F17*3</f>
        <v>566.25</v>
      </c>
      <c r="I17" s="111"/>
      <c r="J17" s="128"/>
      <c r="K17" s="7"/>
      <c r="L17" s="7"/>
      <c r="M17" s="7"/>
      <c r="N17" s="7"/>
      <c r="O17" s="23"/>
    </row>
    <row r="18" spans="1:15" ht="30" customHeight="1" x14ac:dyDescent="0.2">
      <c r="A18" s="130" t="s">
        <v>145</v>
      </c>
      <c r="B18" s="114"/>
      <c r="C18" s="134" t="s">
        <v>129</v>
      </c>
      <c r="D18" s="116">
        <f>2973+3309</f>
        <v>6282</v>
      </c>
      <c r="E18" s="117" t="s">
        <v>17</v>
      </c>
      <c r="F18" s="223" t="s">
        <v>17</v>
      </c>
      <c r="G18" s="115" t="s">
        <v>17</v>
      </c>
      <c r="H18" s="223" t="s">
        <v>17</v>
      </c>
      <c r="I18" s="111"/>
      <c r="J18" s="128"/>
      <c r="K18" s="7"/>
      <c r="L18" s="7"/>
      <c r="M18" s="7"/>
      <c r="N18" s="7"/>
      <c r="O18" s="23"/>
    </row>
    <row r="19" spans="1:15" ht="30" customHeight="1" x14ac:dyDescent="0.2">
      <c r="A19" s="130" t="s">
        <v>125</v>
      </c>
      <c r="B19" s="114"/>
      <c r="C19" s="134" t="s">
        <v>129</v>
      </c>
      <c r="D19" s="116">
        <v>4033</v>
      </c>
      <c r="E19" s="117">
        <v>0.1</v>
      </c>
      <c r="F19" s="223">
        <f>D19*E19</f>
        <v>403.3</v>
      </c>
      <c r="G19" s="115">
        <v>0.75</v>
      </c>
      <c r="H19" s="221">
        <f>F19*3</f>
        <v>1209.9000000000001</v>
      </c>
      <c r="I19" s="148"/>
      <c r="J19" s="157"/>
      <c r="K19" s="7"/>
      <c r="L19" s="7"/>
      <c r="M19" s="7"/>
      <c r="N19" s="7"/>
      <c r="O19" s="23"/>
    </row>
    <row r="20" spans="1:15" s="15" customFormat="1" ht="30" customHeight="1" x14ac:dyDescent="0.2">
      <c r="A20" s="130"/>
      <c r="B20" s="114"/>
      <c r="C20" s="134"/>
      <c r="D20" s="140">
        <f>+D15+D16+D17+D18+D14+D19</f>
        <v>18926</v>
      </c>
      <c r="E20" s="115"/>
      <c r="F20" s="221"/>
      <c r="G20" s="115"/>
      <c r="H20" s="221"/>
      <c r="I20" s="113"/>
      <c r="J20" s="129"/>
      <c r="K20" s="7"/>
      <c r="L20" s="7"/>
      <c r="M20" s="7"/>
      <c r="N20" s="5"/>
      <c r="O20" s="5"/>
    </row>
    <row r="21" spans="1:15" s="6" customFormat="1" ht="9.9499999999999993" customHeight="1" x14ac:dyDescent="0.2">
      <c r="A21" s="159"/>
      <c r="B21" s="133"/>
      <c r="C21" s="169"/>
      <c r="D21" s="116"/>
      <c r="E21" s="115"/>
      <c r="F21" s="221"/>
      <c r="G21" s="115"/>
      <c r="H21" s="221"/>
      <c r="I21" s="144"/>
      <c r="J21" s="158"/>
      <c r="K21" s="11"/>
      <c r="L21" s="11"/>
      <c r="M21" s="11"/>
      <c r="N21" s="11"/>
      <c r="O21" s="23"/>
    </row>
    <row r="22" spans="1:15" ht="31.5" customHeight="1" x14ac:dyDescent="0.2">
      <c r="A22" s="127" t="s">
        <v>118</v>
      </c>
      <c r="B22" s="114">
        <f>(10000/5000)*(500)</f>
        <v>1000</v>
      </c>
      <c r="C22" s="140" t="s">
        <v>141</v>
      </c>
      <c r="D22" s="140">
        <f>1215+2135</f>
        <v>3350</v>
      </c>
      <c r="E22" s="115">
        <v>0.25</v>
      </c>
      <c r="F22" s="223">
        <f>D22*E22</f>
        <v>837.5</v>
      </c>
      <c r="G22" s="115">
        <v>0.75</v>
      </c>
      <c r="H22" s="221">
        <f>F22*3</f>
        <v>2512.5</v>
      </c>
      <c r="I22" s="112"/>
      <c r="J22" s="129"/>
      <c r="K22" s="7"/>
      <c r="L22" s="7"/>
      <c r="M22" s="7"/>
      <c r="N22" s="7"/>
      <c r="O22" s="23"/>
    </row>
    <row r="23" spans="1:15" s="6" customFormat="1" ht="11.25" customHeight="1" x14ac:dyDescent="0.2">
      <c r="A23" s="159"/>
      <c r="B23" s="133"/>
      <c r="C23" s="169"/>
      <c r="D23" s="116"/>
      <c r="E23" s="115"/>
      <c r="F23" s="221"/>
      <c r="G23" s="115"/>
      <c r="H23" s="221"/>
      <c r="I23" s="144"/>
      <c r="J23" s="158"/>
      <c r="K23" s="11"/>
      <c r="L23" s="11"/>
      <c r="M23" s="11"/>
      <c r="N23" s="11"/>
      <c r="O23" s="23"/>
    </row>
    <row r="24" spans="1:15" ht="52.5" customHeight="1" x14ac:dyDescent="0.2">
      <c r="A24" s="127" t="s">
        <v>139</v>
      </c>
      <c r="B24" s="114">
        <f>(10000/1000)*(800)</f>
        <v>8000</v>
      </c>
      <c r="C24" s="134" t="s">
        <v>130</v>
      </c>
      <c r="D24" s="140">
        <v>7875</v>
      </c>
      <c r="E24" s="115">
        <v>0.25</v>
      </c>
      <c r="F24" s="221">
        <f>D24*E24</f>
        <v>1968.75</v>
      </c>
      <c r="G24" s="115">
        <v>0.75</v>
      </c>
      <c r="H24" s="221">
        <f>F24*3</f>
        <v>5906.25</v>
      </c>
      <c r="I24" s="111"/>
      <c r="J24" s="128"/>
      <c r="K24" s="7"/>
      <c r="L24" s="7"/>
      <c r="M24" s="7"/>
      <c r="N24" s="7"/>
      <c r="O24" s="23"/>
    </row>
    <row r="25" spans="1:15" ht="9.9499999999999993" customHeight="1" x14ac:dyDescent="0.2">
      <c r="A25" s="127"/>
      <c r="B25" s="114"/>
      <c r="C25" s="134"/>
      <c r="D25" s="116"/>
      <c r="E25" s="115"/>
      <c r="F25" s="221"/>
      <c r="G25" s="115"/>
      <c r="H25" s="221"/>
      <c r="I25" s="32"/>
      <c r="J25" s="128"/>
      <c r="K25" s="7"/>
      <c r="L25" s="7"/>
      <c r="M25" s="7"/>
      <c r="N25" s="7"/>
      <c r="O25" s="23"/>
    </row>
    <row r="26" spans="1:15" s="6" customFormat="1" ht="30" customHeight="1" x14ac:dyDescent="0.2">
      <c r="A26" s="130" t="s">
        <v>15</v>
      </c>
      <c r="B26" s="114" t="s">
        <v>122</v>
      </c>
      <c r="C26" s="140" t="s">
        <v>142</v>
      </c>
      <c r="D26" s="116">
        <v>4903</v>
      </c>
      <c r="E26" s="115">
        <v>0.25</v>
      </c>
      <c r="F26" s="223">
        <f>D26*E26</f>
        <v>1225.75</v>
      </c>
      <c r="G26" s="115">
        <f>E26*3</f>
        <v>0.75</v>
      </c>
      <c r="H26" s="223">
        <f>F26*3</f>
        <v>3677.25</v>
      </c>
      <c r="I26" s="148"/>
      <c r="J26" s="157"/>
      <c r="K26" s="11"/>
      <c r="L26" s="11"/>
      <c r="M26" s="11"/>
      <c r="N26" s="11"/>
      <c r="O26" s="4"/>
    </row>
    <row r="27" spans="1:15" ht="30" customHeight="1" x14ac:dyDescent="0.2">
      <c r="A27" s="127" t="s">
        <v>117</v>
      </c>
      <c r="B27" s="116" t="s">
        <v>14</v>
      </c>
      <c r="C27" s="140" t="s">
        <v>142</v>
      </c>
      <c r="D27" s="116">
        <v>6388</v>
      </c>
      <c r="E27" s="115">
        <v>0.05</v>
      </c>
      <c r="F27" s="223">
        <f>D27*E27</f>
        <v>319.40000000000003</v>
      </c>
      <c r="G27" s="115">
        <f>E27*2</f>
        <v>0.1</v>
      </c>
      <c r="H27" s="221">
        <f>F27*2</f>
        <v>638.80000000000007</v>
      </c>
      <c r="I27" s="111"/>
      <c r="J27" s="128"/>
      <c r="K27" s="7"/>
      <c r="L27" s="7"/>
      <c r="M27" s="7"/>
      <c r="N27" s="7"/>
      <c r="O27" s="23"/>
    </row>
    <row r="28" spans="1:15" s="6" customFormat="1" ht="30" customHeight="1" x14ac:dyDescent="0.2">
      <c r="A28" s="127" t="s">
        <v>19</v>
      </c>
      <c r="B28" s="116" t="s">
        <v>124</v>
      </c>
      <c r="C28" s="140" t="s">
        <v>142</v>
      </c>
      <c r="D28" s="116">
        <v>3492</v>
      </c>
      <c r="E28" s="115">
        <v>0.05</v>
      </c>
      <c r="F28" s="223">
        <f>D28*E28</f>
        <v>174.60000000000002</v>
      </c>
      <c r="G28" s="115">
        <f>E28*2</f>
        <v>0.1</v>
      </c>
      <c r="H28" s="221">
        <f t="shared" ref="H28:H29" si="1">F28*2</f>
        <v>349.20000000000005</v>
      </c>
      <c r="I28" s="111"/>
      <c r="J28" s="128"/>
      <c r="K28" s="11"/>
      <c r="L28" s="11"/>
      <c r="M28" s="11"/>
      <c r="N28" s="11"/>
      <c r="O28" s="23"/>
    </row>
    <row r="29" spans="1:15" s="6" customFormat="1" ht="30" customHeight="1" x14ac:dyDescent="0.2">
      <c r="A29" s="127" t="s">
        <v>119</v>
      </c>
      <c r="B29" s="114">
        <f>(10000/5000)*2500</f>
        <v>5000</v>
      </c>
      <c r="C29" s="140" t="s">
        <v>142</v>
      </c>
      <c r="D29" s="116">
        <f>4169+804</f>
        <v>4973</v>
      </c>
      <c r="E29" s="115">
        <v>0.05</v>
      </c>
      <c r="F29" s="223">
        <f>D29*E29</f>
        <v>248.65</v>
      </c>
      <c r="G29" s="115">
        <f>E29*2</f>
        <v>0.1</v>
      </c>
      <c r="H29" s="221">
        <f t="shared" si="1"/>
        <v>497.3</v>
      </c>
      <c r="I29" s="111"/>
      <c r="J29" s="128"/>
      <c r="K29" s="20"/>
      <c r="L29" s="20"/>
      <c r="M29" s="20"/>
      <c r="N29" s="20"/>
      <c r="O29" s="20"/>
    </row>
    <row r="30" spans="1:15" s="6" customFormat="1" ht="18.75" thickBot="1" x14ac:dyDescent="0.25">
      <c r="A30" s="127"/>
      <c r="B30" s="114"/>
      <c r="C30" s="140"/>
      <c r="D30" s="140">
        <f>+D26+D27+D28+D29</f>
        <v>19756</v>
      </c>
      <c r="E30" s="115"/>
      <c r="F30" s="223"/>
      <c r="G30" s="115"/>
      <c r="H30" s="221"/>
      <c r="I30" s="111"/>
      <c r="J30" s="128"/>
      <c r="K30" s="20"/>
      <c r="L30" s="20"/>
      <c r="M30" s="20"/>
      <c r="N30" s="20"/>
      <c r="O30" s="20"/>
    </row>
    <row r="31" spans="1:15" s="137" customFormat="1" ht="9.9499999999999993" customHeight="1" thickBot="1" x14ac:dyDescent="0.25">
      <c r="A31" s="159"/>
      <c r="B31" s="133"/>
      <c r="C31" s="169"/>
      <c r="D31" s="116"/>
      <c r="E31" s="141"/>
      <c r="F31" s="222"/>
      <c r="G31" s="141"/>
      <c r="H31" s="222"/>
      <c r="I31" s="144"/>
      <c r="J31" s="158"/>
      <c r="K31" s="135"/>
      <c r="L31" s="135"/>
      <c r="M31" s="135"/>
      <c r="N31" s="135"/>
      <c r="O31" s="136"/>
    </row>
    <row r="32" spans="1:15" s="6" customFormat="1" ht="30" customHeight="1" x14ac:dyDescent="0.2">
      <c r="A32" s="127" t="s">
        <v>23</v>
      </c>
      <c r="B32" s="133">
        <f>(10000/1000)*100</f>
        <v>1000</v>
      </c>
      <c r="C32" s="140" t="s">
        <v>131</v>
      </c>
      <c r="D32" s="140">
        <v>1962</v>
      </c>
      <c r="E32" s="115">
        <v>0.25</v>
      </c>
      <c r="F32" s="221">
        <f>D32*E32</f>
        <v>490.5</v>
      </c>
      <c r="G32" s="115">
        <v>0.75</v>
      </c>
      <c r="H32" s="221">
        <f>F32*3</f>
        <v>1471.5</v>
      </c>
      <c r="I32" s="111"/>
      <c r="J32" s="128"/>
      <c r="K32" s="11"/>
      <c r="L32" s="11"/>
      <c r="M32" s="11"/>
      <c r="N32" s="11"/>
      <c r="O32" s="11"/>
    </row>
    <row r="33" spans="1:16" s="6" customFormat="1" ht="9.9499999999999993" customHeight="1" x14ac:dyDescent="0.2">
      <c r="A33" s="159"/>
      <c r="B33" s="133"/>
      <c r="C33" s="169"/>
      <c r="D33" s="116"/>
      <c r="E33" s="141"/>
      <c r="F33" s="222"/>
      <c r="G33" s="141"/>
      <c r="H33" s="222"/>
      <c r="I33" s="144"/>
      <c r="J33" s="158"/>
      <c r="K33" s="20"/>
      <c r="L33" s="20"/>
      <c r="M33" s="11"/>
      <c r="N33" s="11"/>
      <c r="O33" s="4"/>
    </row>
    <row r="34" spans="1:16" ht="30" customHeight="1" x14ac:dyDescent="0.2">
      <c r="A34" s="130" t="s">
        <v>13</v>
      </c>
      <c r="B34" s="114" t="s">
        <v>123</v>
      </c>
      <c r="C34" s="134" t="s">
        <v>132</v>
      </c>
      <c r="D34" s="116">
        <v>1438</v>
      </c>
      <c r="E34" s="117" t="s">
        <v>17</v>
      </c>
      <c r="F34" s="223" t="s">
        <v>17</v>
      </c>
      <c r="G34" s="115" t="s">
        <v>17</v>
      </c>
      <c r="H34" s="223" t="s">
        <v>17</v>
      </c>
      <c r="I34" s="113"/>
      <c r="J34" s="129"/>
      <c r="K34" s="3"/>
      <c r="L34" s="7"/>
      <c r="M34" s="7"/>
      <c r="N34" s="7"/>
      <c r="O34" s="5"/>
      <c r="P34" s="19"/>
    </row>
    <row r="35" spans="1:16" ht="30" customHeight="1" x14ac:dyDescent="0.2">
      <c r="A35" s="130" t="s">
        <v>21</v>
      </c>
      <c r="B35" s="114" t="s">
        <v>133</v>
      </c>
      <c r="C35" s="134" t="s">
        <v>132</v>
      </c>
      <c r="D35" s="116">
        <v>45701</v>
      </c>
      <c r="E35" s="145">
        <v>0.1</v>
      </c>
      <c r="F35" s="223">
        <f>E35*D35</f>
        <v>4570.1000000000004</v>
      </c>
      <c r="G35" s="115">
        <f>E35*3</f>
        <v>0.30000000000000004</v>
      </c>
      <c r="H35" s="223">
        <f>F35*3</f>
        <v>13710.300000000001</v>
      </c>
      <c r="I35" s="113"/>
      <c r="J35" s="129"/>
      <c r="K35" s="3"/>
      <c r="L35" s="3">
        <v>52096</v>
      </c>
      <c r="M35" s="3"/>
      <c r="N35" s="7"/>
      <c r="O35" s="5"/>
      <c r="P35" s="19"/>
    </row>
    <row r="36" spans="1:16" ht="30" customHeight="1" x14ac:dyDescent="0.2">
      <c r="A36" s="130" t="s">
        <v>22</v>
      </c>
      <c r="B36" s="114" t="s">
        <v>134</v>
      </c>
      <c r="C36" s="134" t="s">
        <v>132</v>
      </c>
      <c r="D36" s="116">
        <v>2328</v>
      </c>
      <c r="E36" s="145">
        <v>0.1</v>
      </c>
      <c r="F36" s="223">
        <f>E36*D36</f>
        <v>232.8</v>
      </c>
      <c r="G36" s="115">
        <f>E36*3</f>
        <v>0.30000000000000004</v>
      </c>
      <c r="H36" s="223">
        <f>F36*3</f>
        <v>698.40000000000009</v>
      </c>
      <c r="I36" s="113"/>
      <c r="J36" s="129"/>
      <c r="K36" s="7"/>
      <c r="L36" s="7">
        <v>6394</v>
      </c>
      <c r="M36" s="7"/>
      <c r="N36" s="5"/>
      <c r="O36" s="5"/>
    </row>
    <row r="37" spans="1:16" s="15" customFormat="1" ht="30" customHeight="1" x14ac:dyDescent="0.2">
      <c r="A37" s="130" t="s">
        <v>126</v>
      </c>
      <c r="B37" s="114">
        <f>(10000/5000)*(5000)</f>
        <v>10000</v>
      </c>
      <c r="C37" s="134" t="s">
        <v>132</v>
      </c>
      <c r="D37" s="116">
        <v>63537</v>
      </c>
      <c r="E37" s="117"/>
      <c r="F37" s="223" t="s">
        <v>17</v>
      </c>
      <c r="G37" s="118"/>
      <c r="H37" s="223" t="s">
        <v>17</v>
      </c>
      <c r="I37" s="113"/>
      <c r="J37" s="129"/>
      <c r="K37" s="7"/>
      <c r="L37" s="7">
        <f>L35-L36</f>
        <v>45702</v>
      </c>
      <c r="M37" s="7"/>
      <c r="N37" s="5"/>
      <c r="O37" s="5"/>
    </row>
    <row r="38" spans="1:16" ht="24.75" customHeight="1" x14ac:dyDescent="0.2">
      <c r="A38" s="139"/>
      <c r="B38" s="142"/>
      <c r="C38" s="143"/>
      <c r="D38" s="214">
        <f>+D34+D35+D36+D37</f>
        <v>113004</v>
      </c>
      <c r="E38" s="146"/>
      <c r="F38" s="224"/>
      <c r="G38" s="147"/>
      <c r="H38" s="231"/>
      <c r="I38" s="148"/>
      <c r="J38" s="160"/>
    </row>
    <row r="39" spans="1:16" s="5" customFormat="1" ht="9.9499999999999993" customHeight="1" thickBot="1" x14ac:dyDescent="0.25">
      <c r="A39" s="161"/>
      <c r="B39" s="162"/>
      <c r="C39" s="163"/>
      <c r="D39" s="215"/>
      <c r="E39" s="164"/>
      <c r="F39" s="225"/>
      <c r="G39" s="165"/>
      <c r="H39" s="232"/>
      <c r="I39" s="166"/>
      <c r="J39" s="167"/>
      <c r="K39" s="7"/>
      <c r="L39" s="7"/>
      <c r="M39" s="7"/>
      <c r="N39" s="7"/>
    </row>
    <row r="40" spans="1:16" s="16" customFormat="1" ht="39.75" customHeight="1" thickBot="1" x14ac:dyDescent="0.25">
      <c r="A40" s="170" t="s">
        <v>135</v>
      </c>
      <c r="B40" s="171"/>
      <c r="C40" s="171"/>
      <c r="D40" s="216">
        <f>D6+D8+D38+D32+D30+D24+D22+D20+D12</f>
        <v>190252</v>
      </c>
      <c r="E40" s="168"/>
      <c r="F40" s="226">
        <f>SUM(F6:F39)</f>
        <v>21031.449999999997</v>
      </c>
      <c r="G40" s="132" t="s">
        <v>5</v>
      </c>
      <c r="H40" s="226">
        <f>SUM(H6:H39)</f>
        <v>62351.700000000004</v>
      </c>
      <c r="I40" s="172"/>
      <c r="J40" s="173"/>
      <c r="K40" s="27"/>
      <c r="L40" s="27">
        <v>190252</v>
      </c>
      <c r="M40" s="210">
        <f>+L40-D40</f>
        <v>0</v>
      </c>
      <c r="N40" s="26"/>
      <c r="O40" s="25"/>
    </row>
    <row r="41" spans="1:16" ht="18" x14ac:dyDescent="0.2">
      <c r="A41" s="120"/>
      <c r="B41" s="120"/>
      <c r="C41" s="33"/>
      <c r="D41" s="217"/>
      <c r="E41" s="7"/>
      <c r="F41" s="227"/>
      <c r="G41" s="11"/>
      <c r="H41" s="233"/>
      <c r="I41" s="18"/>
      <c r="J41" s="3"/>
      <c r="K41" s="7"/>
      <c r="L41" s="7">
        <v>183970</v>
      </c>
      <c r="M41" s="7"/>
      <c r="N41" s="7"/>
      <c r="O41" s="5"/>
    </row>
    <row r="42" spans="1:16" s="14" customFormat="1" ht="18" x14ac:dyDescent="0.2">
      <c r="A42" s="120"/>
      <c r="B42" s="120"/>
      <c r="C42" s="33"/>
      <c r="D42" s="217"/>
      <c r="E42" s="28"/>
      <c r="F42" s="228"/>
      <c r="G42" s="29"/>
      <c r="H42" s="234"/>
      <c r="I42" s="30"/>
      <c r="J42" s="22"/>
      <c r="K42" s="28"/>
      <c r="L42" s="28">
        <f>L40-L41</f>
        <v>6282</v>
      </c>
      <c r="M42" s="28"/>
      <c r="N42" s="28"/>
      <c r="O42" s="28"/>
    </row>
    <row r="43" spans="1:16" s="14" customFormat="1" ht="18" x14ac:dyDescent="0.2">
      <c r="A43" s="121"/>
      <c r="B43" s="121"/>
      <c r="C43" s="122"/>
      <c r="D43" s="218"/>
      <c r="E43" s="13"/>
      <c r="F43" s="229"/>
      <c r="G43" s="21"/>
      <c r="H43" s="235"/>
      <c r="I43" s="17"/>
      <c r="J43" s="12"/>
      <c r="L43" s="14">
        <f>D35+L42</f>
        <v>51983</v>
      </c>
    </row>
    <row r="44" spans="1:16" ht="18" x14ac:dyDescent="0.2">
      <c r="G44" s="100"/>
      <c r="I44" s="10"/>
      <c r="K44" s="1"/>
      <c r="L44" s="1"/>
      <c r="M44" s="1"/>
      <c r="N44" s="1"/>
    </row>
    <row r="45" spans="1:16" ht="18" x14ac:dyDescent="0.2">
      <c r="G45" s="101"/>
      <c r="H45" s="237"/>
      <c r="I45" s="102"/>
      <c r="K45" s="1"/>
      <c r="L45" s="1"/>
      <c r="M45" s="1"/>
      <c r="N45" s="1"/>
    </row>
    <row r="46" spans="1:16" ht="18" x14ac:dyDescent="0.2">
      <c r="F46" s="230">
        <v>43460</v>
      </c>
      <c r="G46" s="101"/>
      <c r="H46" s="237"/>
      <c r="I46" s="102"/>
      <c r="K46" s="1"/>
      <c r="L46" s="1"/>
      <c r="M46" s="1"/>
      <c r="N46" s="1"/>
    </row>
    <row r="47" spans="1:16" ht="18" x14ac:dyDescent="0.2">
      <c r="G47" s="101"/>
      <c r="H47" s="237"/>
      <c r="I47" s="102"/>
      <c r="K47" s="1"/>
      <c r="L47" s="1"/>
      <c r="M47" s="1"/>
      <c r="N47" s="1"/>
    </row>
    <row r="48" spans="1:16" ht="18" x14ac:dyDescent="0.2">
      <c r="G48" s="103"/>
      <c r="H48" s="238"/>
      <c r="I48" s="103"/>
      <c r="K48" s="1"/>
      <c r="L48" s="1"/>
      <c r="M48" s="1"/>
      <c r="N48" s="1"/>
    </row>
    <row r="49" spans="1:14" ht="18" x14ac:dyDescent="0.2">
      <c r="K49" s="1"/>
      <c r="L49" s="1"/>
      <c r="M49" s="1"/>
      <c r="N49" s="1"/>
    </row>
    <row r="50" spans="1:14" ht="18" x14ac:dyDescent="0.2">
      <c r="A50" s="121">
        <v>2089.6570000000002</v>
      </c>
    </row>
    <row r="51" spans="1:14" ht="18" x14ac:dyDescent="0.2"/>
    <row r="52" spans="1:14" ht="18" x14ac:dyDescent="0.2"/>
    <row r="53" spans="1:14" ht="18" x14ac:dyDescent="0.2"/>
    <row r="54" spans="1:14" ht="18" x14ac:dyDescent="0.2"/>
    <row r="55" spans="1:14" ht="18" x14ac:dyDescent="0.2"/>
    <row r="56" spans="1:14" ht="18" x14ac:dyDescent="0.2"/>
  </sheetData>
  <mergeCells count="11">
    <mergeCell ref="C2:J2"/>
    <mergeCell ref="A1:C1"/>
    <mergeCell ref="A2:A4"/>
    <mergeCell ref="B3:B4"/>
    <mergeCell ref="C3:C4"/>
    <mergeCell ref="D3:D4"/>
    <mergeCell ref="A40:C40"/>
    <mergeCell ref="I40:J40"/>
    <mergeCell ref="I3:J3"/>
    <mergeCell ref="G3:H3"/>
    <mergeCell ref="E3:F3"/>
  </mergeCells>
  <printOptions horizontalCentered="1" verticalCentered="1"/>
  <pageMargins left="0.76" right="0.19685039370078741" top="0.19685039370078741" bottom="0.39370078740157483" header="0" footer="0"/>
  <pageSetup paperSize="9" scale="3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4" workbookViewId="0">
      <selection activeCell="F26" sqref="F26"/>
    </sheetView>
  </sheetViews>
  <sheetFormatPr baseColWidth="10" defaultRowHeight="12.75" x14ac:dyDescent="0.2"/>
  <cols>
    <col min="1" max="1" width="34.28515625" customWidth="1"/>
    <col min="2" max="3" width="13" customWidth="1"/>
  </cols>
  <sheetData>
    <row r="1" spans="1:3" ht="27" customHeight="1" x14ac:dyDescent="0.2">
      <c r="A1" s="186" t="s">
        <v>25</v>
      </c>
      <c r="B1" s="186"/>
      <c r="C1" s="186"/>
    </row>
    <row r="2" spans="1:3" ht="27" customHeight="1" x14ac:dyDescent="0.2">
      <c r="A2" s="187" t="s">
        <v>26</v>
      </c>
      <c r="B2" s="187"/>
      <c r="C2" s="187"/>
    </row>
    <row r="3" spans="1:3" ht="27" customHeight="1" x14ac:dyDescent="0.2">
      <c r="A3" s="188" t="s">
        <v>27</v>
      </c>
      <c r="B3" s="189" t="s">
        <v>1</v>
      </c>
      <c r="C3" s="189"/>
    </row>
    <row r="4" spans="1:3" ht="27" customHeight="1" x14ac:dyDescent="0.2">
      <c r="A4" s="188"/>
      <c r="B4" s="34" t="s">
        <v>28</v>
      </c>
      <c r="C4" s="35" t="s">
        <v>29</v>
      </c>
    </row>
    <row r="5" spans="1:3" ht="27" customHeight="1" x14ac:dyDescent="0.2">
      <c r="A5" s="36" t="s">
        <v>30</v>
      </c>
      <c r="B5" s="37">
        <v>297000</v>
      </c>
      <c r="C5" s="38">
        <v>1</v>
      </c>
    </row>
    <row r="6" spans="1:3" ht="27" customHeight="1" x14ac:dyDescent="0.2">
      <c r="A6" s="36" t="s">
        <v>31</v>
      </c>
      <c r="B6" s="37">
        <f>B7+B8+B9</f>
        <v>81479.372299999988</v>
      </c>
      <c r="C6" s="38">
        <f>B6/B5</f>
        <v>0.27434132087542085</v>
      </c>
    </row>
    <row r="7" spans="1:3" ht="27" customHeight="1" x14ac:dyDescent="0.2">
      <c r="A7" s="39" t="s">
        <v>32</v>
      </c>
      <c r="B7" s="40">
        <v>35441.919999999998</v>
      </c>
      <c r="C7" s="38">
        <f>B7/B5</f>
        <v>0.11933306397306397</v>
      </c>
    </row>
    <row r="8" spans="1:3" ht="27" customHeight="1" x14ac:dyDescent="0.2">
      <c r="A8" s="39" t="s">
        <v>33</v>
      </c>
      <c r="B8" s="40">
        <f>B5-B7-B10-B9</f>
        <v>40271.272300000004</v>
      </c>
      <c r="C8" s="38">
        <f>B8/B5</f>
        <v>0.13559350942760945</v>
      </c>
    </row>
    <row r="9" spans="1:3" ht="27" customHeight="1" x14ac:dyDescent="0.2">
      <c r="A9" s="39" t="s">
        <v>34</v>
      </c>
      <c r="B9" s="40">
        <f>622.29+608.98+606.39+696.69+612.79+625.23+706.5+645.06+642.25</f>
        <v>5766.18</v>
      </c>
      <c r="C9" s="38">
        <f>B9/B5</f>
        <v>1.9414747474747477E-2</v>
      </c>
    </row>
    <row r="10" spans="1:3" ht="27" customHeight="1" x14ac:dyDescent="0.2">
      <c r="A10" s="36" t="s">
        <v>35</v>
      </c>
      <c r="B10" s="41">
        <f>B22+B21</f>
        <v>215520.62770000001</v>
      </c>
      <c r="C10" s="38">
        <f>B10/B5</f>
        <v>0.72565867912457915</v>
      </c>
    </row>
    <row r="11" spans="1:3" ht="15" customHeight="1" x14ac:dyDescent="0.2">
      <c r="A11" s="42"/>
      <c r="B11" s="43"/>
      <c r="C11" s="44"/>
    </row>
    <row r="12" spans="1:3" ht="27" customHeight="1" x14ac:dyDescent="0.2">
      <c r="A12" s="190" t="s">
        <v>36</v>
      </c>
      <c r="B12" s="189" t="s">
        <v>1</v>
      </c>
      <c r="C12" s="189"/>
    </row>
    <row r="13" spans="1:3" ht="27" customHeight="1" x14ac:dyDescent="0.2">
      <c r="A13" s="191"/>
      <c r="B13" s="34" t="s">
        <v>28</v>
      </c>
      <c r="C13" s="35" t="s">
        <v>29</v>
      </c>
    </row>
    <row r="14" spans="1:3" ht="27" customHeight="1" x14ac:dyDescent="0.2">
      <c r="A14" s="36" t="s">
        <v>37</v>
      </c>
      <c r="B14" s="37">
        <f>B15+B16</f>
        <v>38466.752699999997</v>
      </c>
      <c r="C14" s="38">
        <f>B14/B5</f>
        <v>0.12951768585858586</v>
      </c>
    </row>
    <row r="15" spans="1:3" ht="27" customHeight="1" x14ac:dyDescent="0.2">
      <c r="A15" s="45" t="s">
        <v>38</v>
      </c>
      <c r="B15" s="40">
        <f>[1]EQUIPAMIENTO!$P$57</f>
        <v>37101.352699999996</v>
      </c>
      <c r="C15" s="38">
        <f>B15/B5</f>
        <v>0.12492037946127944</v>
      </c>
    </row>
    <row r="16" spans="1:3" ht="27" customHeight="1" x14ac:dyDescent="0.2">
      <c r="A16" s="39" t="s">
        <v>39</v>
      </c>
      <c r="B16" s="40">
        <f>[1]EQUIPAMIENTO!$P$54</f>
        <v>1365.4</v>
      </c>
      <c r="C16" s="38">
        <f>B16/B5</f>
        <v>4.5973063973063976E-3</v>
      </c>
    </row>
    <row r="17" spans="1:3" ht="15" customHeight="1" x14ac:dyDescent="0.2">
      <c r="A17" s="42"/>
      <c r="B17" s="43"/>
      <c r="C17" s="44"/>
    </row>
    <row r="18" spans="1:3" ht="27" customHeight="1" x14ac:dyDescent="0.2">
      <c r="A18" s="36" t="s">
        <v>0</v>
      </c>
      <c r="B18" s="37">
        <f>B19+B20</f>
        <v>53632.875</v>
      </c>
      <c r="C18" s="38">
        <f>B18/B5</f>
        <v>0.18058207070707072</v>
      </c>
    </row>
    <row r="19" spans="1:3" ht="27" customHeight="1" x14ac:dyDescent="0.2">
      <c r="A19" s="39" t="s">
        <v>40</v>
      </c>
      <c r="B19" s="40">
        <f>'MZ A3-4'!G26</f>
        <v>36602.875</v>
      </c>
      <c r="C19" s="38">
        <f>B19/B5</f>
        <v>0.12324200336700336</v>
      </c>
    </row>
    <row r="20" spans="1:3" ht="27" customHeight="1" x14ac:dyDescent="0.2">
      <c r="A20" s="39" t="s">
        <v>41</v>
      </c>
      <c r="B20" s="40">
        <f>'MZ A3-4'!G27</f>
        <v>17030</v>
      </c>
      <c r="C20" s="38">
        <f>B20/B5</f>
        <v>5.7340067340067337E-2</v>
      </c>
    </row>
    <row r="21" spans="1:3" ht="27" customHeight="1" x14ac:dyDescent="0.2">
      <c r="A21" s="36" t="s">
        <v>42</v>
      </c>
      <c r="B21" s="41">
        <f>B18+B14</f>
        <v>92099.627699999997</v>
      </c>
      <c r="C21" s="38">
        <f>B21/B5</f>
        <v>0.31009975656565658</v>
      </c>
    </row>
    <row r="22" spans="1:3" ht="27" customHeight="1" x14ac:dyDescent="0.2">
      <c r="A22" s="36" t="s">
        <v>43</v>
      </c>
      <c r="B22" s="104">
        <f>'MZ A3-4'!B24</f>
        <v>123421</v>
      </c>
      <c r="C22" s="38">
        <f>B22/B5</f>
        <v>0.41555892255892257</v>
      </c>
    </row>
    <row r="28" spans="1:3" x14ac:dyDescent="0.2">
      <c r="C28" s="46">
        <f>B21+'RESUMEN AREAS A3-3'!B21+'RESUMEN AREAS A3-2'!B22</f>
        <v>199780.06770000001</v>
      </c>
    </row>
  </sheetData>
  <mergeCells count="6">
    <mergeCell ref="A1:C1"/>
    <mergeCell ref="A2:C2"/>
    <mergeCell ref="A3:A4"/>
    <mergeCell ref="B3:C3"/>
    <mergeCell ref="A12:A13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F21" sqref="F21"/>
    </sheetView>
  </sheetViews>
  <sheetFormatPr baseColWidth="10" defaultRowHeight="12.75" x14ac:dyDescent="0.2"/>
  <cols>
    <col min="1" max="1" width="34.7109375" customWidth="1"/>
    <col min="2" max="3" width="13" customWidth="1"/>
  </cols>
  <sheetData>
    <row r="1" spans="1:3" ht="27" customHeight="1" x14ac:dyDescent="0.2">
      <c r="A1" s="192" t="s">
        <v>25</v>
      </c>
      <c r="B1" s="193"/>
      <c r="C1" s="194"/>
    </row>
    <row r="2" spans="1:3" ht="27" customHeight="1" x14ac:dyDescent="0.2">
      <c r="A2" s="195" t="s">
        <v>44</v>
      </c>
      <c r="B2" s="196"/>
      <c r="C2" s="197"/>
    </row>
    <row r="3" spans="1:3" ht="27" customHeight="1" x14ac:dyDescent="0.2">
      <c r="A3" s="200" t="s">
        <v>27</v>
      </c>
      <c r="B3" s="198" t="s">
        <v>1</v>
      </c>
      <c r="C3" s="199"/>
    </row>
    <row r="4" spans="1:3" ht="27" customHeight="1" x14ac:dyDescent="0.2">
      <c r="A4" s="201"/>
      <c r="B4" s="55" t="s">
        <v>28</v>
      </c>
      <c r="C4" s="55" t="s">
        <v>29</v>
      </c>
    </row>
    <row r="5" spans="1:3" ht="27" customHeight="1" x14ac:dyDescent="0.2">
      <c r="A5" s="57" t="s">
        <v>30</v>
      </c>
      <c r="B5" s="52">
        <v>223135</v>
      </c>
      <c r="C5" s="53">
        <v>1</v>
      </c>
    </row>
    <row r="6" spans="1:3" ht="27" customHeight="1" x14ac:dyDescent="0.2">
      <c r="A6" s="57" t="s">
        <v>31</v>
      </c>
      <c r="B6" s="52">
        <f>B5-B10</f>
        <v>40233.599999999977</v>
      </c>
      <c r="C6" s="53">
        <v>0.17</v>
      </c>
    </row>
    <row r="7" spans="1:3" ht="27" customHeight="1" x14ac:dyDescent="0.2">
      <c r="A7" s="57" t="s">
        <v>32</v>
      </c>
      <c r="B7" s="52">
        <v>22455</v>
      </c>
      <c r="C7" s="53">
        <v>0.1</v>
      </c>
    </row>
    <row r="8" spans="1:3" ht="27" customHeight="1" x14ac:dyDescent="0.2">
      <c r="A8" s="57" t="s">
        <v>33</v>
      </c>
      <c r="B8" s="52">
        <f>B6-B7</f>
        <v>17778.599999999977</v>
      </c>
      <c r="C8" s="53">
        <v>0.06</v>
      </c>
    </row>
    <row r="9" spans="1:3" ht="27" customHeight="1" x14ac:dyDescent="0.2">
      <c r="A9" s="57" t="s">
        <v>34</v>
      </c>
      <c r="B9" s="52">
        <v>1924</v>
      </c>
      <c r="C9" s="53">
        <v>0.01</v>
      </c>
    </row>
    <row r="10" spans="1:3" ht="27" customHeight="1" x14ac:dyDescent="0.2">
      <c r="A10" s="56" t="s">
        <v>45</v>
      </c>
      <c r="B10" s="106">
        <f>B21+B22</f>
        <v>182901.40000000002</v>
      </c>
      <c r="C10" s="53">
        <v>0.83</v>
      </c>
    </row>
    <row r="11" spans="1:3" ht="15" customHeight="1" x14ac:dyDescent="0.2">
      <c r="A11" s="54"/>
      <c r="B11" s="54"/>
      <c r="C11" s="54"/>
    </row>
    <row r="12" spans="1:3" ht="27" customHeight="1" x14ac:dyDescent="0.2">
      <c r="A12" s="200" t="s">
        <v>36</v>
      </c>
      <c r="B12" s="198" t="s">
        <v>1</v>
      </c>
      <c r="C12" s="199"/>
    </row>
    <row r="13" spans="1:3" ht="27" customHeight="1" x14ac:dyDescent="0.2">
      <c r="A13" s="201"/>
      <c r="B13" s="55" t="s">
        <v>28</v>
      </c>
      <c r="C13" s="55" t="s">
        <v>29</v>
      </c>
    </row>
    <row r="14" spans="1:3" ht="27" customHeight="1" x14ac:dyDescent="0.2">
      <c r="A14" s="57" t="s">
        <v>37</v>
      </c>
      <c r="B14" s="52">
        <f>B15+B16</f>
        <v>77832</v>
      </c>
      <c r="C14" s="53">
        <v>0.36</v>
      </c>
    </row>
    <row r="15" spans="1:3" ht="27" customHeight="1" x14ac:dyDescent="0.2">
      <c r="A15" s="57" t="s">
        <v>38</v>
      </c>
      <c r="B15" s="52">
        <v>34734</v>
      </c>
      <c r="C15" s="53">
        <v>0.17</v>
      </c>
    </row>
    <row r="16" spans="1:3" ht="27" customHeight="1" x14ac:dyDescent="0.2">
      <c r="A16" s="57" t="s">
        <v>39</v>
      </c>
      <c r="B16" s="52">
        <v>43098</v>
      </c>
      <c r="C16" s="53">
        <v>0.19</v>
      </c>
    </row>
    <row r="17" spans="1:4" ht="15" customHeight="1" x14ac:dyDescent="0.2">
      <c r="A17" s="54"/>
      <c r="B17" s="54"/>
      <c r="C17" s="54"/>
    </row>
    <row r="18" spans="1:4" ht="27" customHeight="1" x14ac:dyDescent="0.2">
      <c r="A18" s="56" t="s">
        <v>0</v>
      </c>
      <c r="B18" s="107">
        <f>B19+B20</f>
        <v>16618.439999999999</v>
      </c>
      <c r="C18" s="53">
        <v>7.0000000000000007E-2</v>
      </c>
    </row>
    <row r="19" spans="1:4" ht="27" customHeight="1" x14ac:dyDescent="0.2">
      <c r="A19" s="57" t="s">
        <v>40</v>
      </c>
      <c r="B19" s="107">
        <f>'MZ A3-3'!G15</f>
        <v>2355</v>
      </c>
      <c r="C19" s="53">
        <v>0</v>
      </c>
    </row>
    <row r="20" spans="1:4" ht="27" customHeight="1" x14ac:dyDescent="0.2">
      <c r="A20" s="57" t="s">
        <v>41</v>
      </c>
      <c r="B20" s="107">
        <f>'MZ A3-3'!G16</f>
        <v>14263.439999999999</v>
      </c>
      <c r="C20" s="53">
        <v>7.0000000000000007E-2</v>
      </c>
    </row>
    <row r="21" spans="1:4" ht="27" customHeight="1" x14ac:dyDescent="0.2">
      <c r="A21" s="56" t="s">
        <v>42</v>
      </c>
      <c r="B21" s="106">
        <f>B14+B18</f>
        <v>94450.44</v>
      </c>
      <c r="C21" s="53">
        <v>0.44</v>
      </c>
    </row>
    <row r="22" spans="1:4" ht="27" customHeight="1" x14ac:dyDescent="0.2">
      <c r="A22" s="56" t="s">
        <v>43</v>
      </c>
      <c r="B22" s="106">
        <f>'MZ A3-3'!B13</f>
        <v>88450.96</v>
      </c>
      <c r="C22" s="53">
        <v>0.4</v>
      </c>
    </row>
    <row r="31" spans="1:4" x14ac:dyDescent="0.2">
      <c r="D31" s="110"/>
    </row>
  </sheetData>
  <mergeCells count="6">
    <mergeCell ref="A1:C1"/>
    <mergeCell ref="A2:C2"/>
    <mergeCell ref="B3:C3"/>
    <mergeCell ref="A3:A4"/>
    <mergeCell ref="A12:A13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workbookViewId="0">
      <selection activeCell="B22" sqref="B22"/>
    </sheetView>
  </sheetViews>
  <sheetFormatPr baseColWidth="10" defaultRowHeight="12.75" x14ac:dyDescent="0.2"/>
  <cols>
    <col min="1" max="1" width="34.7109375" customWidth="1"/>
    <col min="2" max="3" width="13" customWidth="1"/>
  </cols>
  <sheetData>
    <row r="1" spans="1:3" ht="27" customHeight="1" x14ac:dyDescent="0.2">
      <c r="A1" s="204" t="s">
        <v>25</v>
      </c>
      <c r="B1" s="204"/>
      <c r="C1" s="204"/>
    </row>
    <row r="2" spans="1:3" ht="27" customHeight="1" x14ac:dyDescent="0.2">
      <c r="A2" s="205" t="s">
        <v>46</v>
      </c>
      <c r="B2" s="205"/>
      <c r="C2" s="205"/>
    </row>
    <row r="3" spans="1:3" ht="27" customHeight="1" x14ac:dyDescent="0.2">
      <c r="A3" s="205" t="s">
        <v>47</v>
      </c>
      <c r="B3" s="205"/>
      <c r="C3" s="205"/>
    </row>
    <row r="4" spans="1:3" ht="27" customHeight="1" x14ac:dyDescent="0.2">
      <c r="A4" s="203" t="s">
        <v>27</v>
      </c>
      <c r="B4" s="202" t="s">
        <v>1</v>
      </c>
      <c r="C4" s="202"/>
    </row>
    <row r="5" spans="1:3" ht="27" customHeight="1" x14ac:dyDescent="0.2">
      <c r="A5" s="203"/>
      <c r="B5" s="47" t="s">
        <v>28</v>
      </c>
      <c r="C5" s="47" t="s">
        <v>29</v>
      </c>
    </row>
    <row r="6" spans="1:3" ht="27" customHeight="1" x14ac:dyDescent="0.2">
      <c r="A6" s="67" t="s">
        <v>30</v>
      </c>
      <c r="B6" s="60">
        <v>52511</v>
      </c>
      <c r="C6" s="61">
        <v>1</v>
      </c>
    </row>
    <row r="7" spans="1:3" ht="27" customHeight="1" x14ac:dyDescent="0.2">
      <c r="A7" s="67" t="s">
        <v>31</v>
      </c>
      <c r="B7" s="60">
        <f>B6-B11</f>
        <v>15607</v>
      </c>
      <c r="C7" s="61">
        <v>0.3</v>
      </c>
    </row>
    <row r="8" spans="1:3" ht="27" customHeight="1" x14ac:dyDescent="0.2">
      <c r="A8" s="67" t="s">
        <v>32</v>
      </c>
      <c r="B8" s="60">
        <v>8898</v>
      </c>
      <c r="C8" s="61">
        <v>0.17</v>
      </c>
    </row>
    <row r="9" spans="1:3" ht="27" customHeight="1" x14ac:dyDescent="0.2">
      <c r="A9" s="67" t="s">
        <v>33</v>
      </c>
      <c r="B9" s="60">
        <f>B7-B8</f>
        <v>6709</v>
      </c>
      <c r="C9" s="61">
        <v>0.13</v>
      </c>
    </row>
    <row r="10" spans="1:3" ht="27" customHeight="1" x14ac:dyDescent="0.2">
      <c r="A10" s="67" t="s">
        <v>34</v>
      </c>
      <c r="B10" s="59">
        <v>0</v>
      </c>
      <c r="C10" s="61">
        <v>0</v>
      </c>
    </row>
    <row r="11" spans="1:3" ht="27" customHeight="1" x14ac:dyDescent="0.25">
      <c r="A11" s="66" t="s">
        <v>48</v>
      </c>
      <c r="B11" s="95">
        <f>B22+B23</f>
        <v>36904</v>
      </c>
      <c r="C11" s="61">
        <v>0.7</v>
      </c>
    </row>
    <row r="12" spans="1:3" ht="15" customHeight="1" x14ac:dyDescent="0.2">
      <c r="A12" s="62"/>
      <c r="B12" s="62"/>
      <c r="C12" s="62"/>
    </row>
    <row r="13" spans="1:3" ht="27" customHeight="1" x14ac:dyDescent="0.2">
      <c r="A13" s="203" t="s">
        <v>36</v>
      </c>
      <c r="B13" s="202" t="s">
        <v>1</v>
      </c>
      <c r="C13" s="202"/>
    </row>
    <row r="14" spans="1:3" ht="27" customHeight="1" x14ac:dyDescent="0.2">
      <c r="A14" s="203"/>
      <c r="B14" s="47" t="s">
        <v>28</v>
      </c>
      <c r="C14" s="47" t="s">
        <v>29</v>
      </c>
    </row>
    <row r="15" spans="1:3" ht="27" customHeight="1" x14ac:dyDescent="0.2">
      <c r="A15" s="67" t="s">
        <v>37</v>
      </c>
      <c r="B15" s="60">
        <f>B16+B17</f>
        <v>10766</v>
      </c>
      <c r="C15" s="61">
        <v>0.21</v>
      </c>
    </row>
    <row r="16" spans="1:3" ht="27" customHeight="1" x14ac:dyDescent="0.2">
      <c r="A16" s="68" t="s">
        <v>38</v>
      </c>
      <c r="B16" s="60">
        <v>10766</v>
      </c>
      <c r="C16" s="61">
        <v>0.21</v>
      </c>
    </row>
    <row r="17" spans="1:3" ht="27" customHeight="1" x14ac:dyDescent="0.25">
      <c r="A17" s="66" t="s">
        <v>39</v>
      </c>
      <c r="B17" s="63"/>
      <c r="C17" s="65">
        <v>0</v>
      </c>
    </row>
    <row r="18" spans="1:3" ht="15" customHeight="1" x14ac:dyDescent="0.2">
      <c r="A18" s="62"/>
      <c r="B18" s="62"/>
      <c r="C18" s="62"/>
    </row>
    <row r="19" spans="1:3" ht="27" customHeight="1" x14ac:dyDescent="0.25">
      <c r="A19" s="66" t="s">
        <v>0</v>
      </c>
      <c r="B19" s="64">
        <f>B20+B21</f>
        <v>2464</v>
      </c>
      <c r="C19" s="65">
        <v>0.05</v>
      </c>
    </row>
    <row r="20" spans="1:3" ht="27" customHeight="1" x14ac:dyDescent="0.25">
      <c r="A20" s="67" t="s">
        <v>40</v>
      </c>
      <c r="B20" s="63"/>
      <c r="C20" s="65">
        <v>0</v>
      </c>
    </row>
    <row r="21" spans="1:3" ht="27" customHeight="1" x14ac:dyDescent="0.25">
      <c r="A21" s="67" t="s">
        <v>41</v>
      </c>
      <c r="B21" s="64">
        <f>'MZ A3-2 '!B9</f>
        <v>2464</v>
      </c>
      <c r="C21" s="65">
        <v>0.05</v>
      </c>
    </row>
    <row r="22" spans="1:3" ht="27" customHeight="1" x14ac:dyDescent="0.25">
      <c r="A22" s="66" t="s">
        <v>42</v>
      </c>
      <c r="B22" s="95">
        <f>B15+B19</f>
        <v>13230</v>
      </c>
      <c r="C22" s="65">
        <v>0.25</v>
      </c>
    </row>
    <row r="23" spans="1:3" ht="27" customHeight="1" x14ac:dyDescent="0.25">
      <c r="A23" s="66" t="s">
        <v>43</v>
      </c>
      <c r="B23" s="95">
        <f>'MZ A3-2 '!B5</f>
        <v>23674</v>
      </c>
      <c r="C23" s="65">
        <v>0.45</v>
      </c>
    </row>
  </sheetData>
  <mergeCells count="7">
    <mergeCell ref="B13:C13"/>
    <mergeCell ref="A13:A14"/>
    <mergeCell ref="A1:C1"/>
    <mergeCell ref="A2:C2"/>
    <mergeCell ref="A3:C3"/>
    <mergeCell ref="B4:C4"/>
    <mergeCell ref="A4: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5" sqref="B5"/>
    </sheetView>
  </sheetViews>
  <sheetFormatPr baseColWidth="10" defaultRowHeight="12.75" x14ac:dyDescent="0.2"/>
  <cols>
    <col min="1" max="3" width="12.7109375" customWidth="1"/>
    <col min="4" max="4" width="15.7109375" customWidth="1"/>
    <col min="5" max="5" width="12.7109375" customWidth="1"/>
    <col min="6" max="6" width="15.7109375" customWidth="1"/>
  </cols>
  <sheetData>
    <row r="1" spans="1:6" ht="15" customHeight="1" x14ac:dyDescent="0.2">
      <c r="A1" s="202" t="s">
        <v>49</v>
      </c>
      <c r="B1" s="202" t="s">
        <v>50</v>
      </c>
      <c r="C1" s="202" t="s">
        <v>51</v>
      </c>
      <c r="D1" s="51" t="s">
        <v>52</v>
      </c>
      <c r="E1" s="202" t="s">
        <v>4</v>
      </c>
      <c r="F1" s="51" t="s">
        <v>53</v>
      </c>
    </row>
    <row r="2" spans="1:6" ht="15" customHeight="1" x14ac:dyDescent="0.25">
      <c r="A2" s="202"/>
      <c r="B2" s="202"/>
      <c r="C2" s="202"/>
      <c r="D2" s="71" t="s">
        <v>9</v>
      </c>
      <c r="E2" s="202"/>
      <c r="F2" s="71" t="s">
        <v>2</v>
      </c>
    </row>
    <row r="3" spans="1:6" ht="15" customHeight="1" x14ac:dyDescent="0.2">
      <c r="A3" s="75" t="s">
        <v>54</v>
      </c>
      <c r="B3" s="49">
        <v>11662</v>
      </c>
      <c r="C3" s="50">
        <v>0.35</v>
      </c>
      <c r="D3" s="105">
        <f>B3*C3</f>
        <v>4081.7</v>
      </c>
      <c r="E3" s="50">
        <v>1.4</v>
      </c>
      <c r="F3" s="49">
        <f>B3*E3</f>
        <v>16326.8</v>
      </c>
    </row>
    <row r="4" spans="1:6" ht="15" customHeight="1" x14ac:dyDescent="0.2">
      <c r="A4" s="75" t="s">
        <v>55</v>
      </c>
      <c r="B4" s="49">
        <v>12012</v>
      </c>
      <c r="C4" s="50">
        <v>0.35</v>
      </c>
      <c r="D4" s="105">
        <f>B4*C4</f>
        <v>4204.2</v>
      </c>
      <c r="E4" s="50">
        <v>1.4</v>
      </c>
      <c r="F4" s="49">
        <f>B4*E4</f>
        <v>16816.8</v>
      </c>
    </row>
    <row r="5" spans="1:6" ht="15" customHeight="1" x14ac:dyDescent="0.25">
      <c r="A5" s="75" t="s">
        <v>56</v>
      </c>
      <c r="B5" s="98">
        <f>B3+B4</f>
        <v>23674</v>
      </c>
      <c r="C5" s="99">
        <v>0.35</v>
      </c>
      <c r="D5" s="105">
        <f>B5*C5</f>
        <v>8285.9</v>
      </c>
      <c r="E5" s="99">
        <v>1.4</v>
      </c>
      <c r="F5" s="98">
        <f>F3+F4</f>
        <v>33143.599999999999</v>
      </c>
    </row>
    <row r="6" spans="1:6" ht="5.0999999999999996" customHeight="1" x14ac:dyDescent="0.2">
      <c r="A6" s="76"/>
      <c r="B6" s="70"/>
      <c r="C6" s="70"/>
      <c r="D6" s="70"/>
      <c r="E6" s="70"/>
      <c r="F6" s="70"/>
    </row>
    <row r="7" spans="1:6" ht="15" customHeight="1" x14ac:dyDescent="0.2">
      <c r="A7" s="75" t="s">
        <v>57</v>
      </c>
      <c r="B7" s="49">
        <v>1432</v>
      </c>
      <c r="C7" s="50">
        <v>0.25</v>
      </c>
      <c r="D7" s="48">
        <f>B7*C7</f>
        <v>358</v>
      </c>
      <c r="E7" s="50">
        <v>0.75</v>
      </c>
      <c r="F7" s="49">
        <f>B7*E7</f>
        <v>1074</v>
      </c>
    </row>
    <row r="8" spans="1:6" ht="15" customHeight="1" x14ac:dyDescent="0.2">
      <c r="A8" s="75" t="s">
        <v>58</v>
      </c>
      <c r="B8" s="49">
        <v>1032</v>
      </c>
      <c r="C8" s="50">
        <v>0.25</v>
      </c>
      <c r="D8" s="48">
        <f>B8*C8</f>
        <v>258</v>
      </c>
      <c r="E8" s="50">
        <v>0.75</v>
      </c>
      <c r="F8" s="49">
        <f>B8*E8</f>
        <v>774</v>
      </c>
    </row>
    <row r="9" spans="1:6" ht="15" customHeight="1" x14ac:dyDescent="0.25">
      <c r="A9" s="75" t="s">
        <v>59</v>
      </c>
      <c r="B9" s="98">
        <f>B7+B8</f>
        <v>2464</v>
      </c>
      <c r="C9" s="99">
        <v>0.25</v>
      </c>
      <c r="D9" s="48">
        <f>B9*C9</f>
        <v>616</v>
      </c>
      <c r="E9" s="99">
        <v>0.75</v>
      </c>
      <c r="F9" s="98">
        <f>F7+F8</f>
        <v>1848</v>
      </c>
    </row>
    <row r="10" spans="1:6" ht="5.0999999999999996" customHeight="1" x14ac:dyDescent="0.2">
      <c r="A10" s="70"/>
      <c r="B10" s="70"/>
      <c r="C10" s="70"/>
      <c r="D10" s="70"/>
      <c r="E10" s="70"/>
      <c r="F10" s="70"/>
    </row>
    <row r="11" spans="1:6" ht="15" customHeight="1" x14ac:dyDescent="0.25">
      <c r="A11" s="72" t="s">
        <v>2</v>
      </c>
      <c r="B11" s="73">
        <f>B5+B9</f>
        <v>26138</v>
      </c>
      <c r="C11" s="74">
        <v>0.34</v>
      </c>
      <c r="D11" s="73">
        <f>D5+D9</f>
        <v>8901.9</v>
      </c>
      <c r="E11" s="74">
        <v>1.34</v>
      </c>
      <c r="F11" s="73">
        <f>F5+F9</f>
        <v>34991.599999999999</v>
      </c>
    </row>
  </sheetData>
  <mergeCells count="4">
    <mergeCell ref="A1:A2"/>
    <mergeCell ref="B1:B2"/>
    <mergeCell ref="C1:C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3" sqref="B13"/>
    </sheetView>
  </sheetViews>
  <sheetFormatPr baseColWidth="10" defaultRowHeight="12.75" x14ac:dyDescent="0.2"/>
  <cols>
    <col min="1" max="1" width="15.7109375" customWidth="1"/>
    <col min="4" max="4" width="15.7109375" customWidth="1"/>
    <col min="6" max="6" width="15.7109375" customWidth="1"/>
  </cols>
  <sheetData>
    <row r="1" spans="1:12" ht="20.100000000000001" customHeight="1" x14ac:dyDescent="0.2">
      <c r="A1" s="206" t="s">
        <v>49</v>
      </c>
      <c r="B1" s="206" t="s">
        <v>50</v>
      </c>
      <c r="C1" s="206" t="s">
        <v>51</v>
      </c>
      <c r="D1" s="83" t="s">
        <v>52</v>
      </c>
      <c r="E1" s="206" t="s">
        <v>4</v>
      </c>
      <c r="F1" s="83" t="s">
        <v>53</v>
      </c>
      <c r="G1" s="77"/>
      <c r="H1" s="69"/>
    </row>
    <row r="2" spans="1:12" ht="20.100000000000001" customHeight="1" x14ac:dyDescent="0.2">
      <c r="A2" s="207"/>
      <c r="B2" s="207"/>
      <c r="C2" s="207"/>
      <c r="D2" s="83" t="s">
        <v>9</v>
      </c>
      <c r="E2" s="207"/>
      <c r="F2" s="83" t="s">
        <v>2</v>
      </c>
      <c r="G2" s="77"/>
      <c r="H2" s="69"/>
    </row>
    <row r="3" spans="1:12" x14ac:dyDescent="0.2">
      <c r="A3" s="84" t="s">
        <v>60</v>
      </c>
      <c r="B3" s="85">
        <v>12349.2</v>
      </c>
      <c r="C3" s="86">
        <v>0.35</v>
      </c>
      <c r="D3" s="85">
        <f t="shared" ref="D3:D12" si="0">B3*C3</f>
        <v>4322.22</v>
      </c>
      <c r="E3" s="86">
        <v>1.4</v>
      </c>
      <c r="F3" s="85">
        <f t="shared" ref="F3:F12" si="1">E3*B3</f>
        <v>17288.88</v>
      </c>
      <c r="G3" s="79"/>
    </row>
    <row r="4" spans="1:12" x14ac:dyDescent="0.2">
      <c r="A4" s="84" t="s">
        <v>61</v>
      </c>
      <c r="B4" s="85">
        <v>9574.07</v>
      </c>
      <c r="C4" s="86">
        <v>0.35</v>
      </c>
      <c r="D4" s="85">
        <f t="shared" si="0"/>
        <v>3350.9244999999996</v>
      </c>
      <c r="E4" s="86">
        <v>1.4</v>
      </c>
      <c r="F4" s="85">
        <f t="shared" si="1"/>
        <v>13403.697999999999</v>
      </c>
      <c r="G4" s="79"/>
    </row>
    <row r="5" spans="1:12" x14ac:dyDescent="0.2">
      <c r="A5" s="84" t="s">
        <v>62</v>
      </c>
      <c r="B5" s="85">
        <v>12881</v>
      </c>
      <c r="C5" s="86">
        <v>0.35</v>
      </c>
      <c r="D5" s="85">
        <f t="shared" si="0"/>
        <v>4508.3499999999995</v>
      </c>
      <c r="E5" s="86">
        <v>1.4</v>
      </c>
      <c r="F5" s="85">
        <f t="shared" si="1"/>
        <v>18033.399999999998</v>
      </c>
      <c r="G5" s="79"/>
    </row>
    <row r="6" spans="1:12" x14ac:dyDescent="0.2">
      <c r="A6" s="84" t="s">
        <v>63</v>
      </c>
      <c r="B6" s="85">
        <v>8097.13</v>
      </c>
      <c r="C6" s="86">
        <v>0.35</v>
      </c>
      <c r="D6" s="85">
        <f t="shared" si="0"/>
        <v>2833.9955</v>
      </c>
      <c r="E6" s="86">
        <v>1.4</v>
      </c>
      <c r="F6" s="85">
        <f t="shared" si="1"/>
        <v>11335.982</v>
      </c>
      <c r="G6" s="79"/>
    </row>
    <row r="7" spans="1:12" x14ac:dyDescent="0.2">
      <c r="A7" s="84" t="s">
        <v>64</v>
      </c>
      <c r="B7" s="85">
        <v>7801.75</v>
      </c>
      <c r="C7" s="86">
        <v>0.35</v>
      </c>
      <c r="D7" s="85">
        <f t="shared" si="0"/>
        <v>2730.6124999999997</v>
      </c>
      <c r="E7" s="86">
        <v>1.4</v>
      </c>
      <c r="F7" s="85">
        <f t="shared" si="1"/>
        <v>10922.449999999999</v>
      </c>
      <c r="G7" s="79"/>
    </row>
    <row r="8" spans="1:12" x14ac:dyDescent="0.2">
      <c r="A8" s="84" t="s">
        <v>65</v>
      </c>
      <c r="B8" s="85">
        <v>7357.12</v>
      </c>
      <c r="C8" s="86">
        <v>0.35</v>
      </c>
      <c r="D8" s="85">
        <f t="shared" si="0"/>
        <v>2574.9919999999997</v>
      </c>
      <c r="E8" s="86">
        <v>1.4</v>
      </c>
      <c r="F8" s="85">
        <f t="shared" si="1"/>
        <v>10299.967999999999</v>
      </c>
      <c r="G8" s="79"/>
    </row>
    <row r="9" spans="1:12" x14ac:dyDescent="0.2">
      <c r="A9" s="84" t="s">
        <v>66</v>
      </c>
      <c r="B9" s="87">
        <v>4624.9799999999996</v>
      </c>
      <c r="C9" s="86">
        <v>0.35</v>
      </c>
      <c r="D9" s="85">
        <f t="shared" si="0"/>
        <v>1618.7429999999997</v>
      </c>
      <c r="E9" s="86">
        <v>1.4</v>
      </c>
      <c r="F9" s="85">
        <f t="shared" si="1"/>
        <v>6474.9719999999988</v>
      </c>
      <c r="G9" s="79"/>
    </row>
    <row r="10" spans="1:12" x14ac:dyDescent="0.2">
      <c r="A10" s="84" t="s">
        <v>67</v>
      </c>
      <c r="B10" s="85">
        <v>7981.81</v>
      </c>
      <c r="C10" s="86">
        <v>0.35</v>
      </c>
      <c r="D10" s="85">
        <f t="shared" si="0"/>
        <v>2793.6334999999999</v>
      </c>
      <c r="E10" s="86">
        <v>1.4</v>
      </c>
      <c r="F10" s="85">
        <f t="shared" si="1"/>
        <v>11174.534</v>
      </c>
      <c r="G10" s="79"/>
    </row>
    <row r="11" spans="1:12" x14ac:dyDescent="0.2">
      <c r="A11" s="84" t="s">
        <v>68</v>
      </c>
      <c r="B11" s="85">
        <v>8419.57</v>
      </c>
      <c r="C11" s="86">
        <v>0.35</v>
      </c>
      <c r="D11" s="85">
        <f t="shared" si="0"/>
        <v>2946.8494999999998</v>
      </c>
      <c r="E11" s="86">
        <v>1.4</v>
      </c>
      <c r="F11" s="85">
        <f t="shared" si="1"/>
        <v>11787.397999999999</v>
      </c>
      <c r="G11" s="79"/>
    </row>
    <row r="12" spans="1:12" x14ac:dyDescent="0.2">
      <c r="A12" s="84" t="s">
        <v>69</v>
      </c>
      <c r="B12" s="85">
        <v>9364.33</v>
      </c>
      <c r="C12" s="86">
        <v>0.35</v>
      </c>
      <c r="D12" s="85">
        <f t="shared" si="0"/>
        <v>3277.5155</v>
      </c>
      <c r="E12" s="86">
        <v>1.4</v>
      </c>
      <c r="F12" s="85">
        <f t="shared" si="1"/>
        <v>13110.062</v>
      </c>
      <c r="G12" s="79"/>
    </row>
    <row r="13" spans="1:12" ht="15" x14ac:dyDescent="0.25">
      <c r="A13" s="88" t="s">
        <v>56</v>
      </c>
      <c r="B13" s="89">
        <f>SUM(B3:B12)</f>
        <v>88450.96</v>
      </c>
      <c r="C13" s="90">
        <f>D13/B13</f>
        <v>0.35</v>
      </c>
      <c r="D13" s="89">
        <f>SUM(D3:D12)</f>
        <v>30957.835999999999</v>
      </c>
      <c r="E13" s="90">
        <f>F13/D13</f>
        <v>4</v>
      </c>
      <c r="F13" s="89">
        <f>SUM(F3:F12)</f>
        <v>123831.344</v>
      </c>
      <c r="G13" s="80"/>
      <c r="H13" s="81"/>
      <c r="I13" s="81"/>
      <c r="J13" s="81"/>
      <c r="K13" s="81"/>
      <c r="L13" s="81"/>
    </row>
    <row r="14" spans="1:12" ht="5.0999999999999996" customHeight="1" x14ac:dyDescent="0.2">
      <c r="A14" s="91"/>
      <c r="B14" s="92"/>
      <c r="C14" s="93"/>
      <c r="D14" s="92"/>
      <c r="E14" s="93"/>
      <c r="F14" s="92"/>
      <c r="G14" s="79"/>
    </row>
    <row r="15" spans="1:12" x14ac:dyDescent="0.2">
      <c r="A15" s="84" t="s">
        <v>70</v>
      </c>
      <c r="B15" s="85">
        <f>K16+K17+K18</f>
        <v>2355</v>
      </c>
      <c r="C15" s="86">
        <v>0.25</v>
      </c>
      <c r="D15" s="85">
        <f>B15*C15</f>
        <v>588.75</v>
      </c>
      <c r="E15" s="86">
        <v>0.75</v>
      </c>
      <c r="F15" s="85">
        <f>E15*B15</f>
        <v>1766.25</v>
      </c>
      <c r="G15" s="109">
        <f>B15</f>
        <v>2355</v>
      </c>
      <c r="I15" t="s">
        <v>71</v>
      </c>
    </row>
    <row r="16" spans="1:12" ht="15" x14ac:dyDescent="0.25">
      <c r="A16" s="84" t="s">
        <v>72</v>
      </c>
      <c r="B16" s="85">
        <v>7875.44</v>
      </c>
      <c r="C16" s="86">
        <v>0.25</v>
      </c>
      <c r="D16" s="85">
        <f>B16*C16</f>
        <v>1968.86</v>
      </c>
      <c r="E16" s="86">
        <v>0.75</v>
      </c>
      <c r="F16" s="85">
        <f>E16*B16</f>
        <v>5906.58</v>
      </c>
      <c r="G16" s="109">
        <f>B16+B17</f>
        <v>14263.439999999999</v>
      </c>
      <c r="I16" t="s">
        <v>73</v>
      </c>
      <c r="J16" s="82" t="s">
        <v>74</v>
      </c>
      <c r="K16" s="78">
        <f>599</f>
        <v>599</v>
      </c>
      <c r="L16" s="58" t="s">
        <v>71</v>
      </c>
    </row>
    <row r="17" spans="1:12" ht="15" x14ac:dyDescent="0.25">
      <c r="A17" s="84" t="s">
        <v>75</v>
      </c>
      <c r="B17" s="85">
        <v>6388</v>
      </c>
      <c r="C17" s="86">
        <v>0.25</v>
      </c>
      <c r="D17" s="85">
        <f>B17*C17</f>
        <v>1597</v>
      </c>
      <c r="E17" s="86">
        <v>0.75</v>
      </c>
      <c r="F17" s="85">
        <f>E17*B17</f>
        <v>4791</v>
      </c>
      <c r="G17" s="79"/>
      <c r="I17" t="s">
        <v>71</v>
      </c>
      <c r="J17" s="82" t="s">
        <v>76</v>
      </c>
      <c r="K17" s="78">
        <v>1001</v>
      </c>
      <c r="L17" s="58" t="s">
        <v>71</v>
      </c>
    </row>
    <row r="18" spans="1:12" ht="15" x14ac:dyDescent="0.25">
      <c r="A18" s="84" t="s">
        <v>77</v>
      </c>
      <c r="B18" s="85">
        <v>43116.336000000003</v>
      </c>
      <c r="C18" s="86">
        <v>0.1</v>
      </c>
      <c r="D18" s="85">
        <f>B18*C18</f>
        <v>4311.6336000000001</v>
      </c>
      <c r="E18" s="86">
        <v>0.3</v>
      </c>
      <c r="F18" s="85">
        <f>E18*B18</f>
        <v>12934.900800000001</v>
      </c>
      <c r="G18" s="79"/>
      <c r="I18" t="s">
        <v>71</v>
      </c>
      <c r="J18" s="82" t="s">
        <v>78</v>
      </c>
      <c r="K18" s="78">
        <v>755</v>
      </c>
      <c r="L18" s="58" t="s">
        <v>71</v>
      </c>
    </row>
    <row r="19" spans="1:12" x14ac:dyDescent="0.2">
      <c r="A19" s="84" t="s">
        <v>79</v>
      </c>
      <c r="B19" s="85">
        <v>2327.7085999999999</v>
      </c>
      <c r="C19" s="86">
        <v>0.1</v>
      </c>
      <c r="D19" s="85">
        <f>B19*C19</f>
        <v>232.77086</v>
      </c>
      <c r="E19" s="86">
        <v>0.3</v>
      </c>
      <c r="F19" s="85">
        <f>E19*B19</f>
        <v>698.31257999999991</v>
      </c>
      <c r="G19" s="79"/>
      <c r="I19" t="s">
        <v>71</v>
      </c>
    </row>
    <row r="20" spans="1:12" ht="15" x14ac:dyDescent="0.25">
      <c r="A20" s="88" t="s">
        <v>59</v>
      </c>
      <c r="B20" s="89">
        <f>SUM(B15:B19)</f>
        <v>62062.484599999996</v>
      </c>
      <c r="C20" s="90">
        <f>D20/B20</f>
        <v>0.14016542386380709</v>
      </c>
      <c r="D20" s="89">
        <f>SUM(D15:D19)</f>
        <v>8699.0144600000003</v>
      </c>
      <c r="E20" s="90">
        <v>0.75</v>
      </c>
      <c r="F20" s="89">
        <f>SUM(F15:F19)</f>
        <v>26097.043380000003</v>
      </c>
      <c r="G20" s="80"/>
      <c r="H20" s="81"/>
      <c r="I20" s="81"/>
      <c r="J20" s="81"/>
      <c r="K20" s="108">
        <f>SUM(K16:K19)</f>
        <v>2355</v>
      </c>
      <c r="L20" s="81"/>
    </row>
    <row r="21" spans="1:12" ht="5.0999999999999996" customHeight="1" x14ac:dyDescent="0.2">
      <c r="A21" s="91"/>
      <c r="B21" s="92"/>
      <c r="C21" s="93"/>
      <c r="D21" s="92"/>
      <c r="E21" s="93"/>
      <c r="F21" s="92"/>
      <c r="G21" s="79"/>
    </row>
    <row r="22" spans="1:12" ht="15" x14ac:dyDescent="0.25">
      <c r="A22" s="88" t="s">
        <v>2</v>
      </c>
      <c r="B22" s="89">
        <f>B20+B13</f>
        <v>150513.44459999999</v>
      </c>
      <c r="C22" s="90">
        <f>D22/B22</f>
        <v>0.26347713033470771</v>
      </c>
      <c r="D22" s="89">
        <f>D20+D13</f>
        <v>39656.850460000001</v>
      </c>
      <c r="E22" s="90">
        <f>F22/B22</f>
        <v>0.99611292385504291</v>
      </c>
      <c r="F22" s="89">
        <f>F20+F13</f>
        <v>149928.38738</v>
      </c>
      <c r="G22" s="80"/>
      <c r="H22" s="81"/>
      <c r="I22" s="81"/>
      <c r="J22" s="81"/>
      <c r="K22" s="81"/>
      <c r="L22" s="81"/>
    </row>
    <row r="23" spans="1:12" x14ac:dyDescent="0.2">
      <c r="B23" s="58"/>
      <c r="C23" s="58"/>
      <c r="D23" s="58"/>
      <c r="E23" s="58"/>
      <c r="F23" s="58"/>
      <c r="G23" s="58"/>
    </row>
    <row r="25" spans="1:12" x14ac:dyDescent="0.2">
      <c r="B25" s="46">
        <f>SUM(B15+B16+B17)</f>
        <v>16618.439999999999</v>
      </c>
    </row>
  </sheetData>
  <mergeCells count="4">
    <mergeCell ref="A1:A2"/>
    <mergeCell ref="B1:B2"/>
    <mergeCell ref="C1:C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0" workbookViewId="0">
      <selection activeCell="G31" sqref="G31"/>
    </sheetView>
  </sheetViews>
  <sheetFormatPr baseColWidth="10" defaultRowHeight="12.75" x14ac:dyDescent="0.2"/>
  <cols>
    <col min="4" max="4" width="15.7109375" customWidth="1"/>
    <col min="6" max="6" width="15.7109375" customWidth="1"/>
  </cols>
  <sheetData>
    <row r="1" spans="1:6" ht="20.100000000000001" customHeight="1" x14ac:dyDescent="0.2">
      <c r="A1" s="208" t="s">
        <v>49</v>
      </c>
      <c r="B1" s="208" t="s">
        <v>50</v>
      </c>
      <c r="C1" s="208" t="s">
        <v>51</v>
      </c>
      <c r="D1" s="97" t="s">
        <v>52</v>
      </c>
      <c r="E1" s="208" t="s">
        <v>4</v>
      </c>
      <c r="F1" s="97" t="s">
        <v>53</v>
      </c>
    </row>
    <row r="2" spans="1:6" ht="20.100000000000001" customHeight="1" x14ac:dyDescent="0.2">
      <c r="A2" s="209"/>
      <c r="B2" s="209"/>
      <c r="C2" s="209"/>
      <c r="D2" s="97" t="s">
        <v>9</v>
      </c>
      <c r="E2" s="209"/>
      <c r="F2" s="97" t="s">
        <v>2</v>
      </c>
    </row>
    <row r="3" spans="1:6" x14ac:dyDescent="0.2">
      <c r="A3" s="59" t="s">
        <v>80</v>
      </c>
      <c r="B3" s="60">
        <v>5765</v>
      </c>
      <c r="C3" s="61">
        <v>0.35</v>
      </c>
      <c r="D3" s="60">
        <f t="shared" ref="D3:D23" si="0">B3*C3</f>
        <v>2017.7499999999998</v>
      </c>
      <c r="E3" s="61">
        <v>1.4</v>
      </c>
      <c r="F3" s="60">
        <f t="shared" ref="F3:F23" si="1">B3*E3</f>
        <v>8070.9999999999991</v>
      </c>
    </row>
    <row r="4" spans="1:6" x14ac:dyDescent="0.2">
      <c r="A4" s="59" t="s">
        <v>81</v>
      </c>
      <c r="B4" s="60">
        <v>5867</v>
      </c>
      <c r="C4" s="61">
        <v>0.35</v>
      </c>
      <c r="D4" s="60">
        <f t="shared" si="0"/>
        <v>2053.4499999999998</v>
      </c>
      <c r="E4" s="61">
        <v>1.4</v>
      </c>
      <c r="F4" s="60">
        <f t="shared" si="1"/>
        <v>8213.7999999999993</v>
      </c>
    </row>
    <row r="5" spans="1:6" x14ac:dyDescent="0.2">
      <c r="A5" s="59" t="s">
        <v>82</v>
      </c>
      <c r="B5" s="60">
        <v>5885</v>
      </c>
      <c r="C5" s="61">
        <v>0.35</v>
      </c>
      <c r="D5" s="60">
        <f t="shared" si="0"/>
        <v>2059.75</v>
      </c>
      <c r="E5" s="61">
        <v>1.4</v>
      </c>
      <c r="F5" s="60">
        <f t="shared" si="1"/>
        <v>8239</v>
      </c>
    </row>
    <row r="6" spans="1:6" x14ac:dyDescent="0.2">
      <c r="A6" s="59" t="s">
        <v>83</v>
      </c>
      <c r="B6" s="60">
        <v>5846</v>
      </c>
      <c r="C6" s="61">
        <v>0.35</v>
      </c>
      <c r="D6" s="60">
        <f t="shared" si="0"/>
        <v>2046.1</v>
      </c>
      <c r="E6" s="61">
        <v>1.4</v>
      </c>
      <c r="F6" s="60">
        <f t="shared" si="1"/>
        <v>8184.4</v>
      </c>
    </row>
    <row r="7" spans="1:6" x14ac:dyDescent="0.2">
      <c r="A7" s="59" t="s">
        <v>84</v>
      </c>
      <c r="B7" s="60">
        <v>6158</v>
      </c>
      <c r="C7" s="61">
        <v>0.35</v>
      </c>
      <c r="D7" s="60">
        <f t="shared" si="0"/>
        <v>2155.2999999999997</v>
      </c>
      <c r="E7" s="61">
        <v>1.4</v>
      </c>
      <c r="F7" s="60">
        <f t="shared" si="1"/>
        <v>8621.1999999999989</v>
      </c>
    </row>
    <row r="8" spans="1:6" x14ac:dyDescent="0.2">
      <c r="A8" s="59" t="s">
        <v>85</v>
      </c>
      <c r="B8" s="60">
        <v>6800</v>
      </c>
      <c r="C8" s="61">
        <v>0.4</v>
      </c>
      <c r="D8" s="60">
        <f t="shared" si="0"/>
        <v>2720</v>
      </c>
      <c r="E8" s="61">
        <v>1.6</v>
      </c>
      <c r="F8" s="60">
        <f t="shared" si="1"/>
        <v>10880</v>
      </c>
    </row>
    <row r="9" spans="1:6" x14ac:dyDescent="0.2">
      <c r="A9" s="59" t="s">
        <v>86</v>
      </c>
      <c r="B9" s="60">
        <v>6553</v>
      </c>
      <c r="C9" s="61">
        <v>0.4</v>
      </c>
      <c r="D9" s="60">
        <f t="shared" si="0"/>
        <v>2621.2000000000003</v>
      </c>
      <c r="E9" s="61">
        <v>1.6</v>
      </c>
      <c r="F9" s="60">
        <f t="shared" si="1"/>
        <v>10484.800000000001</v>
      </c>
    </row>
    <row r="10" spans="1:6" x14ac:dyDescent="0.2">
      <c r="A10" s="59" t="s">
        <v>87</v>
      </c>
      <c r="B10" s="60">
        <v>6630</v>
      </c>
      <c r="C10" s="61">
        <v>0.4</v>
      </c>
      <c r="D10" s="60">
        <f t="shared" si="0"/>
        <v>2652</v>
      </c>
      <c r="E10" s="61">
        <v>1.6</v>
      </c>
      <c r="F10" s="60">
        <f t="shared" si="1"/>
        <v>10608</v>
      </c>
    </row>
    <row r="11" spans="1:6" x14ac:dyDescent="0.2">
      <c r="A11" s="59" t="s">
        <v>88</v>
      </c>
      <c r="B11" s="60">
        <v>4635</v>
      </c>
      <c r="C11" s="61">
        <v>0.35</v>
      </c>
      <c r="D11" s="60">
        <f t="shared" si="0"/>
        <v>1622.25</v>
      </c>
      <c r="E11" s="61">
        <v>1.4</v>
      </c>
      <c r="F11" s="60">
        <f t="shared" si="1"/>
        <v>6489</v>
      </c>
    </row>
    <row r="12" spans="1:6" x14ac:dyDescent="0.2">
      <c r="A12" s="59" t="s">
        <v>89</v>
      </c>
      <c r="B12" s="60">
        <v>4415</v>
      </c>
      <c r="C12" s="61">
        <v>0.35</v>
      </c>
      <c r="D12" s="60">
        <f t="shared" si="0"/>
        <v>1545.25</v>
      </c>
      <c r="E12" s="61">
        <v>1.4</v>
      </c>
      <c r="F12" s="60">
        <f t="shared" si="1"/>
        <v>6181</v>
      </c>
    </row>
    <row r="13" spans="1:6" x14ac:dyDescent="0.2">
      <c r="A13" s="59" t="s">
        <v>90</v>
      </c>
      <c r="B13" s="60">
        <v>6672</v>
      </c>
      <c r="C13" s="61">
        <v>0.35</v>
      </c>
      <c r="D13" s="60">
        <f t="shared" si="0"/>
        <v>2335.1999999999998</v>
      </c>
      <c r="E13" s="61">
        <v>1.4</v>
      </c>
      <c r="F13" s="60">
        <f t="shared" si="1"/>
        <v>9340.7999999999993</v>
      </c>
    </row>
    <row r="14" spans="1:6" x14ac:dyDescent="0.2">
      <c r="A14" s="59" t="s">
        <v>91</v>
      </c>
      <c r="B14" s="60">
        <v>6606</v>
      </c>
      <c r="C14" s="61">
        <v>0.35</v>
      </c>
      <c r="D14" s="60">
        <f t="shared" si="0"/>
        <v>2312.1</v>
      </c>
      <c r="E14" s="61">
        <v>1.4</v>
      </c>
      <c r="F14" s="60">
        <f t="shared" si="1"/>
        <v>9248.4</v>
      </c>
    </row>
    <row r="15" spans="1:6" x14ac:dyDescent="0.2">
      <c r="A15" s="59" t="s">
        <v>92</v>
      </c>
      <c r="B15" s="60">
        <v>7084</v>
      </c>
      <c r="C15" s="61">
        <v>0.35</v>
      </c>
      <c r="D15" s="60">
        <f t="shared" si="0"/>
        <v>2479.3999999999996</v>
      </c>
      <c r="E15" s="61">
        <v>1.4</v>
      </c>
      <c r="F15" s="60">
        <f t="shared" si="1"/>
        <v>9917.5999999999985</v>
      </c>
    </row>
    <row r="16" spans="1:6" x14ac:dyDescent="0.2">
      <c r="A16" s="59" t="s">
        <v>93</v>
      </c>
      <c r="B16" s="60">
        <v>7139</v>
      </c>
      <c r="C16" s="61">
        <v>0.35</v>
      </c>
      <c r="D16" s="60">
        <f t="shared" si="0"/>
        <v>2498.6499999999996</v>
      </c>
      <c r="E16" s="61">
        <v>1.4</v>
      </c>
      <c r="F16" s="60">
        <f t="shared" si="1"/>
        <v>9994.5999999999985</v>
      </c>
    </row>
    <row r="17" spans="1:11" x14ac:dyDescent="0.2">
      <c r="A17" s="59" t="s">
        <v>94</v>
      </c>
      <c r="B17" s="60">
        <v>7169</v>
      </c>
      <c r="C17" s="61">
        <v>0.4</v>
      </c>
      <c r="D17" s="60">
        <f t="shared" si="0"/>
        <v>2867.6000000000004</v>
      </c>
      <c r="E17" s="61">
        <v>1.6</v>
      </c>
      <c r="F17" s="60">
        <f t="shared" si="1"/>
        <v>11470.400000000001</v>
      </c>
    </row>
    <row r="18" spans="1:11" x14ac:dyDescent="0.2">
      <c r="A18" s="59" t="s">
        <v>95</v>
      </c>
      <c r="B18" s="60">
        <v>7286</v>
      </c>
      <c r="C18" s="61">
        <v>0.4</v>
      </c>
      <c r="D18" s="60">
        <f t="shared" si="0"/>
        <v>2914.4</v>
      </c>
      <c r="E18" s="61">
        <v>1.6</v>
      </c>
      <c r="F18" s="60">
        <f t="shared" si="1"/>
        <v>11657.6</v>
      </c>
    </row>
    <row r="19" spans="1:11" x14ac:dyDescent="0.2">
      <c r="A19" s="59" t="s">
        <v>96</v>
      </c>
      <c r="B19" s="60">
        <v>7500</v>
      </c>
      <c r="C19" s="61">
        <v>0.4</v>
      </c>
      <c r="D19" s="60">
        <f t="shared" si="0"/>
        <v>3000</v>
      </c>
      <c r="E19" s="61">
        <v>1.6</v>
      </c>
      <c r="F19" s="60">
        <f t="shared" si="1"/>
        <v>12000</v>
      </c>
    </row>
    <row r="20" spans="1:11" x14ac:dyDescent="0.2">
      <c r="A20" s="59" t="s">
        <v>97</v>
      </c>
      <c r="B20" s="60">
        <v>3947</v>
      </c>
      <c r="C20" s="61">
        <v>0.4</v>
      </c>
      <c r="D20" s="60">
        <f t="shared" si="0"/>
        <v>1578.8000000000002</v>
      </c>
      <c r="E20" s="61">
        <v>1.6</v>
      </c>
      <c r="F20" s="60">
        <f t="shared" si="1"/>
        <v>6315.2000000000007</v>
      </c>
    </row>
    <row r="21" spans="1:11" x14ac:dyDescent="0.2">
      <c r="A21" s="59" t="s">
        <v>98</v>
      </c>
      <c r="B21" s="60">
        <v>2652</v>
      </c>
      <c r="C21" s="61">
        <v>0.35</v>
      </c>
      <c r="D21" s="60">
        <f t="shared" si="0"/>
        <v>928.19999999999993</v>
      </c>
      <c r="E21" s="61">
        <v>1.4</v>
      </c>
      <c r="F21" s="60">
        <f t="shared" si="1"/>
        <v>3712.7999999999997</v>
      </c>
    </row>
    <row r="22" spans="1:11" x14ac:dyDescent="0.2">
      <c r="A22" s="59" t="s">
        <v>99</v>
      </c>
      <c r="B22" s="60">
        <v>5318</v>
      </c>
      <c r="C22" s="61">
        <v>0.1</v>
      </c>
      <c r="D22" s="60">
        <f t="shared" si="0"/>
        <v>531.80000000000007</v>
      </c>
      <c r="E22" s="61">
        <v>0.4</v>
      </c>
      <c r="F22" s="60">
        <f t="shared" si="1"/>
        <v>2127.2000000000003</v>
      </c>
    </row>
    <row r="23" spans="1:11" x14ac:dyDescent="0.2">
      <c r="A23" s="59" t="s">
        <v>100</v>
      </c>
      <c r="B23" s="60">
        <v>3494</v>
      </c>
      <c r="C23" s="61">
        <v>0.1</v>
      </c>
      <c r="D23" s="60">
        <f t="shared" si="0"/>
        <v>349.40000000000003</v>
      </c>
      <c r="E23" s="61">
        <v>0.4</v>
      </c>
      <c r="F23" s="60">
        <f t="shared" si="1"/>
        <v>1397.6000000000001</v>
      </c>
    </row>
    <row r="24" spans="1:11" ht="15" x14ac:dyDescent="0.25">
      <c r="A24" s="66" t="s">
        <v>56</v>
      </c>
      <c r="B24" s="95">
        <f>SUM(B3:B23)</f>
        <v>123421</v>
      </c>
      <c r="C24" s="96">
        <v>0.35</v>
      </c>
      <c r="D24" s="95">
        <f>SUM(D3:D23)</f>
        <v>43288.600000000006</v>
      </c>
      <c r="E24" s="96">
        <v>1.4</v>
      </c>
      <c r="F24" s="95">
        <f>SUM(F3:F23)</f>
        <v>173154.40000000002</v>
      </c>
    </row>
    <row r="25" spans="1:11" ht="5.0999999999999996" customHeight="1" x14ac:dyDescent="0.2">
      <c r="A25" s="94"/>
      <c r="B25" s="94"/>
      <c r="C25" s="94"/>
      <c r="D25" s="94"/>
      <c r="E25" s="94"/>
      <c r="F25" s="94"/>
    </row>
    <row r="26" spans="1:11" x14ac:dyDescent="0.2">
      <c r="A26" s="59" t="s">
        <v>101</v>
      </c>
      <c r="B26" s="60">
        <v>4903</v>
      </c>
      <c r="C26" s="61">
        <v>0.25</v>
      </c>
      <c r="D26" s="60">
        <f t="shared" ref="D26:D39" si="2">B26*C26</f>
        <v>1225.75</v>
      </c>
      <c r="E26" s="61">
        <v>0.75</v>
      </c>
      <c r="F26" s="60">
        <f t="shared" ref="F26:F39" si="3">B26*E26</f>
        <v>3677.25</v>
      </c>
      <c r="G26" s="46">
        <f>B26+B27+B31+B32+B33+B34+B35+B37+B39</f>
        <v>36602.875</v>
      </c>
      <c r="H26" t="s">
        <v>115</v>
      </c>
      <c r="I26" t="s">
        <v>71</v>
      </c>
    </row>
    <row r="27" spans="1:11" x14ac:dyDescent="0.2">
      <c r="A27" s="59" t="s">
        <v>102</v>
      </c>
      <c r="B27" s="60">
        <v>1215</v>
      </c>
      <c r="C27" s="61">
        <v>0.25</v>
      </c>
      <c r="D27" s="60">
        <f t="shared" si="2"/>
        <v>303.75</v>
      </c>
      <c r="E27" s="61">
        <v>0.75</v>
      </c>
      <c r="F27" s="60">
        <f t="shared" si="3"/>
        <v>911.25</v>
      </c>
      <c r="G27" s="46">
        <f>B28+B29+B30+B36+B38</f>
        <v>17030</v>
      </c>
      <c r="H27" t="s">
        <v>8</v>
      </c>
      <c r="I27" t="s">
        <v>73</v>
      </c>
    </row>
    <row r="28" spans="1:11" x14ac:dyDescent="0.2">
      <c r="A28" s="59" t="s">
        <v>103</v>
      </c>
      <c r="B28" s="60">
        <v>1500</v>
      </c>
      <c r="C28" s="61">
        <v>0.25</v>
      </c>
      <c r="D28" s="60">
        <f t="shared" si="2"/>
        <v>375</v>
      </c>
      <c r="E28" s="61">
        <v>0.75</v>
      </c>
      <c r="F28" s="60">
        <f t="shared" si="3"/>
        <v>1125</v>
      </c>
      <c r="G28" s="46">
        <f>G26+G27</f>
        <v>53632.875</v>
      </c>
      <c r="I28" t="s">
        <v>71</v>
      </c>
    </row>
    <row r="29" spans="1:11" x14ac:dyDescent="0.2">
      <c r="A29" s="59" t="s">
        <v>104</v>
      </c>
      <c r="B29" s="60">
        <v>2621</v>
      </c>
      <c r="C29" s="61">
        <v>0.25</v>
      </c>
      <c r="D29" s="60">
        <f t="shared" si="2"/>
        <v>655.25</v>
      </c>
      <c r="E29" s="61">
        <v>0.75</v>
      </c>
      <c r="F29" s="60">
        <f t="shared" si="3"/>
        <v>1965.75</v>
      </c>
      <c r="I29" t="s">
        <v>71</v>
      </c>
    </row>
    <row r="30" spans="1:11" x14ac:dyDescent="0.2">
      <c r="A30" s="59" t="s">
        <v>105</v>
      </c>
      <c r="B30" s="60">
        <v>7282</v>
      </c>
      <c r="C30" s="61">
        <v>0.25</v>
      </c>
      <c r="D30" s="60">
        <f t="shared" si="2"/>
        <v>1820.5</v>
      </c>
      <c r="E30" s="61">
        <v>0.75</v>
      </c>
      <c r="F30" s="60">
        <f t="shared" si="3"/>
        <v>5461.5</v>
      </c>
      <c r="I30" t="s">
        <v>73</v>
      </c>
      <c r="J30">
        <v>8497.2270000000008</v>
      </c>
      <c r="K30" s="46">
        <v>1215</v>
      </c>
    </row>
    <row r="31" spans="1:11" x14ac:dyDescent="0.2">
      <c r="A31" s="59" t="s">
        <v>106</v>
      </c>
      <c r="B31" s="60">
        <v>9613</v>
      </c>
      <c r="C31" s="61">
        <v>0.35</v>
      </c>
      <c r="D31" s="60">
        <f t="shared" si="2"/>
        <v>3364.5499999999997</v>
      </c>
      <c r="E31" s="61">
        <v>1.05</v>
      </c>
      <c r="F31" s="60">
        <f t="shared" si="3"/>
        <v>10093.65</v>
      </c>
      <c r="G31" s="46">
        <f>B31+B32+B33</f>
        <v>20609.875</v>
      </c>
      <c r="I31" t="s">
        <v>73</v>
      </c>
    </row>
    <row r="32" spans="1:11" x14ac:dyDescent="0.2">
      <c r="A32" s="59" t="s">
        <v>107</v>
      </c>
      <c r="B32" s="60">
        <v>6938.1149999999998</v>
      </c>
      <c r="C32" s="61">
        <v>0.35</v>
      </c>
      <c r="D32" s="60">
        <f t="shared" si="2"/>
        <v>2428.3402499999997</v>
      </c>
      <c r="E32" s="61">
        <v>1.05</v>
      </c>
      <c r="F32" s="60">
        <f t="shared" si="3"/>
        <v>7285.0207499999997</v>
      </c>
      <c r="I32" t="s">
        <v>73</v>
      </c>
    </row>
    <row r="33" spans="1:9" x14ac:dyDescent="0.2">
      <c r="A33" s="59" t="s">
        <v>108</v>
      </c>
      <c r="B33" s="60">
        <v>4058.76</v>
      </c>
      <c r="C33" s="61">
        <v>0.25</v>
      </c>
      <c r="D33" s="60">
        <f t="shared" si="2"/>
        <v>1014.69</v>
      </c>
      <c r="E33" s="61">
        <v>0.75</v>
      </c>
      <c r="F33" s="60">
        <f t="shared" si="3"/>
        <v>3044.07</v>
      </c>
      <c r="I33" t="s">
        <v>71</v>
      </c>
    </row>
    <row r="34" spans="1:9" x14ac:dyDescent="0.2">
      <c r="A34" s="59" t="s">
        <v>109</v>
      </c>
      <c r="B34" s="60">
        <v>1962</v>
      </c>
      <c r="C34" s="61">
        <v>0.25</v>
      </c>
      <c r="D34" s="60">
        <f t="shared" si="2"/>
        <v>490.5</v>
      </c>
      <c r="E34" s="61">
        <v>0.75</v>
      </c>
      <c r="F34" s="60">
        <f t="shared" si="3"/>
        <v>1471.5</v>
      </c>
      <c r="I34" t="s">
        <v>71</v>
      </c>
    </row>
    <row r="35" spans="1:9" x14ac:dyDescent="0.2">
      <c r="A35" s="59" t="s">
        <v>110</v>
      </c>
      <c r="B35" s="60">
        <v>1157</v>
      </c>
      <c r="C35" s="61">
        <v>0.25</v>
      </c>
      <c r="D35" s="60">
        <f t="shared" si="2"/>
        <v>289.25</v>
      </c>
      <c r="E35" s="61">
        <v>0.75</v>
      </c>
      <c r="F35" s="60">
        <f t="shared" si="3"/>
        <v>867.75</v>
      </c>
      <c r="I35" t="s">
        <v>71</v>
      </c>
    </row>
    <row r="36" spans="1:9" x14ac:dyDescent="0.2">
      <c r="A36" s="59" t="s">
        <v>111</v>
      </c>
      <c r="B36" s="60">
        <v>3492</v>
      </c>
      <c r="C36" s="61">
        <v>0.25</v>
      </c>
      <c r="D36" s="60">
        <f t="shared" si="2"/>
        <v>873</v>
      </c>
      <c r="E36" s="61">
        <v>0.75</v>
      </c>
      <c r="F36" s="60">
        <f t="shared" si="3"/>
        <v>2619</v>
      </c>
    </row>
    <row r="37" spans="1:9" x14ac:dyDescent="0.2">
      <c r="A37" s="59" t="s">
        <v>112</v>
      </c>
      <c r="B37" s="60">
        <v>1438</v>
      </c>
      <c r="C37" s="61">
        <v>0</v>
      </c>
      <c r="D37" s="60">
        <f t="shared" si="2"/>
        <v>0</v>
      </c>
      <c r="E37" s="61">
        <v>0</v>
      </c>
      <c r="F37" s="60">
        <f t="shared" si="3"/>
        <v>0</v>
      </c>
      <c r="I37" t="s">
        <v>71</v>
      </c>
    </row>
    <row r="38" spans="1:9" x14ac:dyDescent="0.2">
      <c r="A38" s="59" t="s">
        <v>113</v>
      </c>
      <c r="B38" s="60">
        <v>2135</v>
      </c>
      <c r="C38" s="61">
        <v>0.25</v>
      </c>
      <c r="D38" s="60">
        <f t="shared" si="2"/>
        <v>533.75</v>
      </c>
      <c r="E38" s="61">
        <v>0.75</v>
      </c>
      <c r="F38" s="60">
        <f t="shared" si="3"/>
        <v>1601.25</v>
      </c>
    </row>
    <row r="39" spans="1:9" x14ac:dyDescent="0.2">
      <c r="A39" s="59" t="s">
        <v>114</v>
      </c>
      <c r="B39" s="60">
        <v>5318</v>
      </c>
      <c r="C39" s="61">
        <v>0.25</v>
      </c>
      <c r="D39" s="60">
        <f t="shared" si="2"/>
        <v>1329.5</v>
      </c>
      <c r="E39" s="61">
        <v>0.75</v>
      </c>
      <c r="F39" s="60">
        <f t="shared" si="3"/>
        <v>3988.5</v>
      </c>
    </row>
    <row r="40" spans="1:9" ht="15" x14ac:dyDescent="0.25">
      <c r="A40" s="66" t="s">
        <v>59</v>
      </c>
      <c r="B40" s="95">
        <f>SUM(B26:B39)</f>
        <v>53632.875</v>
      </c>
      <c r="C40" s="96">
        <v>0.25</v>
      </c>
      <c r="D40" s="95">
        <f>SUM(D26:D39)</f>
        <v>14703.830249999999</v>
      </c>
      <c r="E40" s="96">
        <v>0.75</v>
      </c>
      <c r="F40" s="95">
        <f>SUM(F26:F39)</f>
        <v>44111.490750000004</v>
      </c>
    </row>
    <row r="41" spans="1:9" ht="5.0999999999999996" customHeight="1" x14ac:dyDescent="0.2">
      <c r="A41" s="94"/>
      <c r="B41" s="94"/>
      <c r="C41" s="94"/>
      <c r="D41" s="94"/>
      <c r="E41" s="94"/>
      <c r="F41" s="94"/>
    </row>
    <row r="42" spans="1:9" ht="15" x14ac:dyDescent="0.25">
      <c r="A42" s="66" t="s">
        <v>2</v>
      </c>
      <c r="B42" s="95">
        <f>B24+B40</f>
        <v>177053.875</v>
      </c>
      <c r="C42" s="96">
        <v>0.34</v>
      </c>
      <c r="D42" s="95">
        <f>D24+D40</f>
        <v>57992.430250000005</v>
      </c>
      <c r="E42" s="96">
        <v>1.26</v>
      </c>
      <c r="F42" s="95">
        <f>F24+F40</f>
        <v>217265.89075000002</v>
      </c>
    </row>
  </sheetData>
  <mergeCells count="4">
    <mergeCell ref="A1:A2"/>
    <mergeCell ref="B1:B2"/>
    <mergeCell ref="C1:C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EQUIPAMIENTO18</vt:lpstr>
      <vt:lpstr>RESUMEN AREAS A3-4</vt:lpstr>
      <vt:lpstr>RESUMEN AREAS A3-3</vt:lpstr>
      <vt:lpstr>RESUMEN AREAS A3-2</vt:lpstr>
      <vt:lpstr>MZ A3-2 </vt:lpstr>
      <vt:lpstr>MZ A3-3</vt:lpstr>
      <vt:lpstr>MZ A3-4</vt:lpstr>
      <vt:lpstr>EQUIPAMIENTO18!Área_de_impresión</vt:lpstr>
    </vt:vector>
  </TitlesOfParts>
  <Company>bhm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xxbv</dc:creator>
  <cp:lastModifiedBy>María Isabel Atti Guaita</cp:lastModifiedBy>
  <cp:lastPrinted>2018-04-03T15:44:17Z</cp:lastPrinted>
  <dcterms:created xsi:type="dcterms:W3CDTF">2001-10-19T18:21:10Z</dcterms:created>
  <dcterms:modified xsi:type="dcterms:W3CDTF">2018-06-22T01:02:57Z</dcterms:modified>
</cp:coreProperties>
</file>